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_l_000\Dropbox\Supervisionado_I\"/>
    </mc:Choice>
  </mc:AlternateContent>
  <bookViews>
    <workbookView xWindow="0" yWindow="0" windowWidth="20490" windowHeight="7755" firstSheet="7" activeTab="11"/>
  </bookViews>
  <sheets>
    <sheet name="Premissas SaintL" sheetId="1" r:id="rId1"/>
    <sheet name="Rec-Desp-Fin" sheetId="2" r:id="rId2"/>
    <sheet name="DFC-DRE" sheetId="3" r:id="rId3"/>
    <sheet name="BP-WACC-Valuation" sheetId="4" r:id="rId4"/>
    <sheet name="Premissa FrangoB" sheetId="5" r:id="rId5"/>
    <sheet name="Rec-Desp-Fin (2)" sheetId="12" r:id="rId6"/>
    <sheet name="DFC-DRE2" sheetId="6" r:id="rId7"/>
    <sheet name="BP-WACC-Val2" sheetId="7" r:id="rId8"/>
    <sheet name="Premissa EmpComb" sheetId="8" r:id="rId9"/>
    <sheet name="BP-DREComb" sheetId="9" r:id="rId10"/>
    <sheet name="Rec-Desp-FinComb" sheetId="10" r:id="rId11"/>
    <sheet name="DFC-DRE-BPComb" sheetId="11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1" l="1"/>
  <c r="C19" i="11"/>
  <c r="K18" i="7" l="1"/>
  <c r="M17" i="11"/>
  <c r="N17" i="11"/>
  <c r="O17" i="11"/>
  <c r="P17" i="11"/>
  <c r="L17" i="11"/>
  <c r="C18" i="6"/>
  <c r="D20" i="11" l="1"/>
  <c r="E20" i="11"/>
  <c r="F20" i="11"/>
  <c r="G20" i="11"/>
  <c r="C20" i="11"/>
  <c r="C21" i="11"/>
  <c r="D49" i="10" l="1"/>
  <c r="B47" i="10"/>
  <c r="B46" i="10"/>
  <c r="B45" i="10"/>
  <c r="B42" i="10"/>
  <c r="C13" i="11"/>
  <c r="D10" i="11"/>
  <c r="E10" i="11"/>
  <c r="F10" i="11"/>
  <c r="G10" i="11"/>
  <c r="C10" i="11"/>
  <c r="D9" i="11"/>
  <c r="E9" i="11"/>
  <c r="F9" i="11"/>
  <c r="G9" i="11"/>
  <c r="C9" i="11"/>
  <c r="D80" i="11"/>
  <c r="E80" i="11"/>
  <c r="F80" i="11"/>
  <c r="G80" i="11"/>
  <c r="C80" i="11"/>
  <c r="D64" i="11"/>
  <c r="E64" i="11"/>
  <c r="F64" i="11"/>
  <c r="G64" i="11"/>
  <c r="C64" i="11"/>
  <c r="D63" i="11"/>
  <c r="E63" i="11"/>
  <c r="F63" i="11"/>
  <c r="G63" i="11"/>
  <c r="C63" i="11"/>
  <c r="D62" i="11"/>
  <c r="E62" i="11"/>
  <c r="F62" i="11"/>
  <c r="G62" i="11"/>
  <c r="C62" i="11"/>
  <c r="P16" i="7"/>
  <c r="P17" i="7"/>
  <c r="G28" i="7"/>
  <c r="C79" i="12"/>
  <c r="J107" i="12"/>
  <c r="J106" i="12"/>
  <c r="G79" i="12"/>
  <c r="F28" i="7"/>
  <c r="C77" i="11" l="1"/>
  <c r="D77" i="11"/>
  <c r="E77" i="11"/>
  <c r="F77" i="11"/>
  <c r="G77" i="11"/>
  <c r="D74" i="11"/>
  <c r="E74" i="11"/>
  <c r="F74" i="11"/>
  <c r="G74" i="11"/>
  <c r="C74" i="11"/>
  <c r="D73" i="11"/>
  <c r="E73" i="11"/>
  <c r="F73" i="11"/>
  <c r="G73" i="11"/>
  <c r="C73" i="11"/>
  <c r="E18" i="11"/>
  <c r="F18" i="11"/>
  <c r="G18" i="11"/>
  <c r="D18" i="11"/>
  <c r="F17" i="11"/>
  <c r="E17" i="11"/>
  <c r="D17" i="11"/>
  <c r="D14" i="11"/>
  <c r="E14" i="11"/>
  <c r="F14" i="11"/>
  <c r="G14" i="11"/>
  <c r="E16" i="11"/>
  <c r="F16" i="11"/>
  <c r="G16" i="11"/>
  <c r="D16" i="11"/>
  <c r="D78" i="11" l="1"/>
  <c r="E78" i="11"/>
  <c r="F78" i="11"/>
  <c r="G78" i="11"/>
  <c r="C78" i="11"/>
  <c r="D46" i="11"/>
  <c r="E46" i="11"/>
  <c r="F46" i="11"/>
  <c r="G46" i="11"/>
  <c r="C45" i="6"/>
  <c r="C18" i="11"/>
  <c r="C17" i="11"/>
  <c r="C16" i="11"/>
  <c r="C14" i="11"/>
  <c r="C46" i="11" s="1"/>
  <c r="E115" i="10" l="1"/>
  <c r="E113" i="10"/>
  <c r="D113" i="10"/>
  <c r="E116" i="10"/>
  <c r="D116" i="10"/>
  <c r="D115" i="10"/>
  <c r="E114" i="10"/>
  <c r="F114" i="10"/>
  <c r="G114" i="10"/>
  <c r="D114" i="10"/>
  <c r="C117" i="10"/>
  <c r="D112" i="10" s="1"/>
  <c r="C118" i="10"/>
  <c r="C115" i="10"/>
  <c r="C114" i="10"/>
  <c r="E107" i="10"/>
  <c r="F109" i="10" s="1"/>
  <c r="D107" i="10"/>
  <c r="E109" i="10" s="1"/>
  <c r="G109" i="10"/>
  <c r="D109" i="10"/>
  <c r="D108" i="10"/>
  <c r="C106" i="10"/>
  <c r="C110" i="10" s="1"/>
  <c r="D105" i="10" s="1"/>
  <c r="D106" i="10" s="1"/>
  <c r="L95" i="12"/>
  <c r="K95" i="12"/>
  <c r="J95" i="12"/>
  <c r="K122" i="10"/>
  <c r="C107" i="10"/>
  <c r="J96" i="12"/>
  <c r="L109" i="10"/>
  <c r="K119" i="10" s="1"/>
  <c r="M109" i="10"/>
  <c r="K125" i="10" s="1"/>
  <c r="N109" i="10"/>
  <c r="K131" i="10" s="1"/>
  <c r="O109" i="10"/>
  <c r="K137" i="10" s="1"/>
  <c r="K109" i="10"/>
  <c r="K113" i="10" s="1"/>
  <c r="D93" i="10"/>
  <c r="E93" i="10"/>
  <c r="F93" i="10"/>
  <c r="G93" i="10"/>
  <c r="D94" i="10"/>
  <c r="E94" i="10"/>
  <c r="F94" i="10"/>
  <c r="G94" i="10"/>
  <c r="D95" i="10"/>
  <c r="E95" i="10"/>
  <c r="F95" i="10"/>
  <c r="G95" i="10"/>
  <c r="D96" i="10"/>
  <c r="E96" i="10"/>
  <c r="F96" i="10"/>
  <c r="G96" i="10"/>
  <c r="D97" i="10"/>
  <c r="E97" i="10"/>
  <c r="F97" i="10"/>
  <c r="G97" i="10"/>
  <c r="D98" i="10"/>
  <c r="E98" i="10"/>
  <c r="F98" i="10"/>
  <c r="G98" i="10"/>
  <c r="D99" i="10"/>
  <c r="E99" i="10"/>
  <c r="F99" i="10"/>
  <c r="G99" i="10"/>
  <c r="C94" i="10"/>
  <c r="C95" i="10"/>
  <c r="C96" i="10"/>
  <c r="C97" i="10"/>
  <c r="C98" i="10"/>
  <c r="C99" i="10"/>
  <c r="C93" i="10"/>
  <c r="F77" i="10"/>
  <c r="B79" i="10"/>
  <c r="C75" i="10" s="1"/>
  <c r="B73" i="10"/>
  <c r="C68" i="10" s="1"/>
  <c r="C77" i="12"/>
  <c r="D72" i="10"/>
  <c r="E72" i="10"/>
  <c r="F72" i="10"/>
  <c r="C72" i="10"/>
  <c r="C72" i="12"/>
  <c r="C71" i="12"/>
  <c r="C70" i="12"/>
  <c r="D117" i="10" l="1"/>
  <c r="E112" i="10" s="1"/>
  <c r="E117" i="10" s="1"/>
  <c r="E118" i="10" s="1"/>
  <c r="D110" i="10"/>
  <c r="E105" i="10" s="1"/>
  <c r="L132" i="10"/>
  <c r="K133" i="10"/>
  <c r="M132" i="10"/>
  <c r="K132" i="10"/>
  <c r="K134" i="10" s="1"/>
  <c r="L131" i="10" s="1"/>
  <c r="L126" i="10"/>
  <c r="K127" i="10"/>
  <c r="M126" i="10"/>
  <c r="K126" i="10"/>
  <c r="K128" i="10" s="1"/>
  <c r="L125" i="10" s="1"/>
  <c r="L120" i="10"/>
  <c r="K121" i="10"/>
  <c r="M120" i="10"/>
  <c r="K120" i="10"/>
  <c r="L119" i="10" s="1"/>
  <c r="K115" i="10"/>
  <c r="L114" i="10"/>
  <c r="M114" i="10"/>
  <c r="K114" i="10"/>
  <c r="K116" i="10" s="1"/>
  <c r="L113" i="10" s="1"/>
  <c r="B80" i="10"/>
  <c r="C70" i="10"/>
  <c r="C77" i="10" s="1"/>
  <c r="C45" i="11"/>
  <c r="C43" i="6"/>
  <c r="C47" i="10"/>
  <c r="D47" i="10" s="1"/>
  <c r="E47" i="10" s="1"/>
  <c r="F47" i="10" s="1"/>
  <c r="G47" i="10" s="1"/>
  <c r="C46" i="10"/>
  <c r="D46" i="10" s="1"/>
  <c r="E46" i="10" s="1"/>
  <c r="F46" i="10" s="1"/>
  <c r="G46" i="10" s="1"/>
  <c r="C45" i="10"/>
  <c r="D45" i="10" s="1"/>
  <c r="E45" i="10" s="1"/>
  <c r="F45" i="10" s="1"/>
  <c r="G45" i="10" s="1"/>
  <c r="D42" i="10"/>
  <c r="D41" i="11" s="1"/>
  <c r="E42" i="10"/>
  <c r="E41" i="11" s="1"/>
  <c r="F42" i="10"/>
  <c r="F41" i="11" s="1"/>
  <c r="G42" i="10"/>
  <c r="G41" i="11" s="1"/>
  <c r="C42" i="10"/>
  <c r="C41" i="11" s="1"/>
  <c r="C36" i="10"/>
  <c r="C4" i="11" s="1"/>
  <c r="G36" i="10"/>
  <c r="E36" i="10"/>
  <c r="F36" i="10"/>
  <c r="D36" i="10"/>
  <c r="D4" i="11" s="1"/>
  <c r="C35" i="10"/>
  <c r="D35" i="10" s="1"/>
  <c r="E35" i="10" s="1"/>
  <c r="F35" i="10" s="1"/>
  <c r="G35" i="10" s="1"/>
  <c r="C34" i="10"/>
  <c r="D34" i="10" s="1"/>
  <c r="E34" i="10" s="1"/>
  <c r="F34" i="10" s="1"/>
  <c r="G34" i="10" s="1"/>
  <c r="C9" i="8"/>
  <c r="L30" i="7"/>
  <c r="M30" i="7"/>
  <c r="N30" i="7"/>
  <c r="O30" i="7"/>
  <c r="K30" i="7"/>
  <c r="P9" i="7"/>
  <c r="P8" i="7"/>
  <c r="P7" i="7"/>
  <c r="P6" i="7"/>
  <c r="P10" i="7" s="1"/>
  <c r="F4" i="11" l="1"/>
  <c r="E4" i="11"/>
  <c r="G4" i="11"/>
  <c r="D118" i="10"/>
  <c r="F112" i="10"/>
  <c r="E106" i="10"/>
  <c r="L121" i="10"/>
  <c r="L122" i="10"/>
  <c r="M119" i="10" s="1"/>
  <c r="L133" i="10"/>
  <c r="L134" i="10"/>
  <c r="M131" i="10" s="1"/>
  <c r="L127" i="10"/>
  <c r="L128" i="10"/>
  <c r="M125" i="10" s="1"/>
  <c r="L116" i="10"/>
  <c r="M113" i="10" s="1"/>
  <c r="L115" i="10"/>
  <c r="C49" i="10"/>
  <c r="C42" i="11" s="1"/>
  <c r="F29" i="7"/>
  <c r="E28" i="7"/>
  <c r="D28" i="7"/>
  <c r="C28" i="7"/>
  <c r="C13" i="4"/>
  <c r="D13" i="4" s="1"/>
  <c r="G17" i="6"/>
  <c r="G45" i="6" s="1"/>
  <c r="F16" i="6"/>
  <c r="F17" i="6"/>
  <c r="F45" i="6" s="1"/>
  <c r="C45" i="3"/>
  <c r="E17" i="6"/>
  <c r="E45" i="6" s="1"/>
  <c r="E16" i="6"/>
  <c r="D18" i="3"/>
  <c r="D17" i="6"/>
  <c r="D45" i="6" s="1"/>
  <c r="D16" i="6"/>
  <c r="K108" i="12"/>
  <c r="L105" i="12" s="1"/>
  <c r="K105" i="12"/>
  <c r="K107" i="12" s="1"/>
  <c r="J108" i="12"/>
  <c r="K106" i="12"/>
  <c r="L106" i="12"/>
  <c r="J105" i="12"/>
  <c r="K101" i="12"/>
  <c r="K102" i="12"/>
  <c r="L102" i="12"/>
  <c r="L99" i="12"/>
  <c r="L101" i="12" s="1"/>
  <c r="J94" i="12"/>
  <c r="K90" i="12"/>
  <c r="J90" i="12"/>
  <c r="J99" i="12" s="1"/>
  <c r="I90" i="12"/>
  <c r="K94" i="12" s="1"/>
  <c r="D12" i="3"/>
  <c r="C21" i="3"/>
  <c r="C69" i="2"/>
  <c r="J59" i="12"/>
  <c r="J58" i="12"/>
  <c r="J57" i="12"/>
  <c r="J56" i="12"/>
  <c r="J38" i="7"/>
  <c r="O35" i="4"/>
  <c r="J40" i="4"/>
  <c r="F113" i="10" l="1"/>
  <c r="F116" i="10" s="1"/>
  <c r="E108" i="10"/>
  <c r="E110" i="10" s="1"/>
  <c r="F105" i="10" s="1"/>
  <c r="F106" i="10" s="1"/>
  <c r="M115" i="10"/>
  <c r="M116" i="10"/>
  <c r="M134" i="10"/>
  <c r="M133" i="10"/>
  <c r="M128" i="10"/>
  <c r="M127" i="10"/>
  <c r="M122" i="10"/>
  <c r="M121" i="10"/>
  <c r="L107" i="12"/>
  <c r="L108" i="12"/>
  <c r="L100" i="12"/>
  <c r="J100" i="12"/>
  <c r="J102" i="12" s="1"/>
  <c r="K99" i="12" s="1"/>
  <c r="K100" i="12"/>
  <c r="J101" i="12"/>
  <c r="J93" i="12"/>
  <c r="L94" i="12"/>
  <c r="B21" i="4"/>
  <c r="F117" i="10" l="1"/>
  <c r="F108" i="10"/>
  <c r="F110" i="10" s="1"/>
  <c r="G105" i="10" s="1"/>
  <c r="G106" i="10" s="1"/>
  <c r="K93" i="12"/>
  <c r="C30" i="2"/>
  <c r="C29" i="2"/>
  <c r="C28" i="2"/>
  <c r="C27" i="2"/>
  <c r="C26" i="2"/>
  <c r="C25" i="2"/>
  <c r="F118" i="10" l="1"/>
  <c r="G112" i="10"/>
  <c r="G108" i="10"/>
  <c r="G110" i="10" s="1"/>
  <c r="K96" i="12"/>
  <c r="L93" i="12" s="1"/>
  <c r="L7" i="1"/>
  <c r="K7" i="1"/>
  <c r="J7" i="1"/>
  <c r="I7" i="1"/>
  <c r="D25" i="2"/>
  <c r="E25" i="2"/>
  <c r="F25" i="2"/>
  <c r="G25" i="2"/>
  <c r="F27" i="2"/>
  <c r="G27" i="2"/>
  <c r="E27" i="2"/>
  <c r="D27" i="2"/>
  <c r="D26" i="2"/>
  <c r="E26" i="2"/>
  <c r="F26" i="2"/>
  <c r="G26" i="2"/>
  <c r="D28" i="2"/>
  <c r="E28" i="2"/>
  <c r="F28" i="2"/>
  <c r="G28" i="2"/>
  <c r="D29" i="2"/>
  <c r="E29" i="2"/>
  <c r="F29" i="2"/>
  <c r="G29" i="2"/>
  <c r="D30" i="2"/>
  <c r="E30" i="2"/>
  <c r="F30" i="2"/>
  <c r="G30" i="2"/>
  <c r="D36" i="2"/>
  <c r="C18" i="3"/>
  <c r="C20" i="3"/>
  <c r="C44" i="3"/>
  <c r="C13" i="3"/>
  <c r="C12" i="3"/>
  <c r="G113" i="10" l="1"/>
  <c r="G116" i="10" s="1"/>
  <c r="L96" i="12"/>
  <c r="M31" i="4"/>
  <c r="N31" i="4"/>
  <c r="O31" i="4"/>
  <c r="K31" i="4"/>
  <c r="B9" i="4"/>
  <c r="D3" i="3"/>
  <c r="L31" i="4" s="1"/>
  <c r="E3" i="3"/>
  <c r="F3" i="3"/>
  <c r="G3" i="3"/>
  <c r="C3" i="3"/>
  <c r="D40" i="3"/>
  <c r="E40" i="3"/>
  <c r="F40" i="3"/>
  <c r="G40" i="3"/>
  <c r="C40" i="3"/>
  <c r="B48" i="3"/>
  <c r="B46" i="3"/>
  <c r="B43" i="3"/>
  <c r="B40" i="3"/>
  <c r="C30" i="3"/>
  <c r="C24" i="3"/>
  <c r="G117" i="10" l="1"/>
  <c r="G118" i="10" s="1"/>
  <c r="L28" i="11"/>
  <c r="M28" i="11"/>
  <c r="N28" i="11"/>
  <c r="O28" i="11"/>
  <c r="K28" i="11"/>
  <c r="M18" i="11"/>
  <c r="N18" i="11"/>
  <c r="O18" i="11"/>
  <c r="P18" i="11"/>
  <c r="M14" i="11" l="1"/>
  <c r="N14" i="11"/>
  <c r="O14" i="11"/>
  <c r="P14" i="11"/>
  <c r="L14" i="11"/>
  <c r="M13" i="11"/>
  <c r="N13" i="11"/>
  <c r="O13" i="11"/>
  <c r="P13" i="11"/>
  <c r="L13" i="11"/>
  <c r="M12" i="11"/>
  <c r="N12" i="11"/>
  <c r="O12" i="11"/>
  <c r="P12" i="11"/>
  <c r="L12" i="11"/>
  <c r="M11" i="11"/>
  <c r="N11" i="11"/>
  <c r="O11" i="11"/>
  <c r="P11" i="11"/>
  <c r="L11" i="11"/>
  <c r="M10" i="11"/>
  <c r="N10" i="11"/>
  <c r="O10" i="11"/>
  <c r="P10" i="11"/>
  <c r="P9" i="11"/>
  <c r="M9" i="11"/>
  <c r="N9" i="11"/>
  <c r="O9" i="11"/>
  <c r="M8" i="11"/>
  <c r="N8" i="11"/>
  <c r="O8" i="11"/>
  <c r="P8" i="11"/>
  <c r="M7" i="11"/>
  <c r="N7" i="11"/>
  <c r="O7" i="11"/>
  <c r="P7" i="11"/>
  <c r="L10" i="11"/>
  <c r="L9" i="11"/>
  <c r="L8" i="11"/>
  <c r="L7" i="11"/>
  <c r="M4" i="11"/>
  <c r="N4" i="11"/>
  <c r="O4" i="11"/>
  <c r="P4" i="11"/>
  <c r="L4" i="11"/>
  <c r="B41" i="11"/>
  <c r="C29" i="6"/>
  <c r="D8" i="11"/>
  <c r="L29" i="11" s="1"/>
  <c r="E8" i="11"/>
  <c r="M29" i="11" s="1"/>
  <c r="F8" i="11"/>
  <c r="N29" i="11" s="1"/>
  <c r="G8" i="11"/>
  <c r="O29" i="11" s="1"/>
  <c r="C8" i="11"/>
  <c r="K29" i="11" s="1"/>
  <c r="C59" i="2"/>
  <c r="D65" i="10"/>
  <c r="E65" i="10"/>
  <c r="F65" i="10"/>
  <c r="G65" i="10"/>
  <c r="C65" i="10"/>
  <c r="B52" i="2"/>
  <c r="E49" i="10"/>
  <c r="E42" i="11" s="1"/>
  <c r="F49" i="10"/>
  <c r="F42" i="11" s="1"/>
  <c r="G49" i="10"/>
  <c r="G42" i="11" s="1"/>
  <c r="D42" i="11"/>
  <c r="D37" i="10"/>
  <c r="E37" i="10"/>
  <c r="F37" i="10"/>
  <c r="G37" i="10"/>
  <c r="C37" i="10"/>
  <c r="D22" i="10"/>
  <c r="E22" i="10"/>
  <c r="F22" i="10"/>
  <c r="C22" i="10"/>
  <c r="D21" i="10"/>
  <c r="E21" i="10"/>
  <c r="F21" i="10"/>
  <c r="C21" i="10"/>
  <c r="G18" i="10"/>
  <c r="D18" i="10"/>
  <c r="E18" i="10"/>
  <c r="F18" i="10"/>
  <c r="C18" i="10"/>
  <c r="C10" i="10"/>
  <c r="D10" i="10" s="1"/>
  <c r="E10" i="10" s="1"/>
  <c r="F10" i="10" s="1"/>
  <c r="G10" i="10" s="1"/>
  <c r="C9" i="2"/>
  <c r="D8" i="10"/>
  <c r="E8" i="10"/>
  <c r="G8" i="10" s="1"/>
  <c r="C8" i="10"/>
  <c r="D6" i="10"/>
  <c r="E6" i="10"/>
  <c r="F6" i="10"/>
  <c r="G6" i="10"/>
  <c r="C6" i="10"/>
  <c r="D4" i="10"/>
  <c r="D16" i="10" s="1"/>
  <c r="E4" i="10"/>
  <c r="E16" i="10" s="1"/>
  <c r="F4" i="10"/>
  <c r="G4" i="10" s="1"/>
  <c r="G16" i="10" s="1"/>
  <c r="C4" i="10"/>
  <c r="C16" i="10" s="1"/>
  <c r="D3" i="10"/>
  <c r="D15" i="10" s="1"/>
  <c r="E3" i="10"/>
  <c r="E5" i="10" s="1"/>
  <c r="F3" i="10"/>
  <c r="F5" i="10" s="1"/>
  <c r="G3" i="10"/>
  <c r="C3" i="10"/>
  <c r="C15" i="10" s="1"/>
  <c r="C47" i="9"/>
  <c r="C35" i="9"/>
  <c r="C36" i="9"/>
  <c r="C37" i="9"/>
  <c r="C38" i="9"/>
  <c r="C39" i="9"/>
  <c r="C40" i="9"/>
  <c r="C41" i="9"/>
  <c r="C42" i="9"/>
  <c r="C43" i="9"/>
  <c r="C44" i="9"/>
  <c r="C45" i="9"/>
  <c r="C46" i="9"/>
  <c r="C34" i="9"/>
  <c r="C29" i="9"/>
  <c r="C30" i="9"/>
  <c r="C31" i="9"/>
  <c r="C28" i="9"/>
  <c r="C26" i="9"/>
  <c r="C25" i="9"/>
  <c r="C23" i="9"/>
  <c r="C22" i="9"/>
  <c r="C21" i="9"/>
  <c r="C20" i="9"/>
  <c r="C19" i="9"/>
  <c r="C18" i="9"/>
  <c r="C17" i="9"/>
  <c r="B19" i="9"/>
  <c r="C10" i="9"/>
  <c r="C11" i="9"/>
  <c r="C12" i="9"/>
  <c r="C9" i="9"/>
  <c r="C4" i="9"/>
  <c r="C5" i="9"/>
  <c r="C6" i="9"/>
  <c r="C7" i="9"/>
  <c r="C3" i="9"/>
  <c r="B6" i="9"/>
  <c r="D6" i="9" s="1"/>
  <c r="B58" i="10" s="1"/>
  <c r="C76" i="10" l="1"/>
  <c r="C69" i="10"/>
  <c r="C71" i="10" s="1"/>
  <c r="C73" i="10" s="1"/>
  <c r="G21" i="10"/>
  <c r="G22" i="10"/>
  <c r="F58" i="10"/>
  <c r="F58" i="11" s="1"/>
  <c r="G58" i="10"/>
  <c r="G58" i="11" s="1"/>
  <c r="D58" i="10"/>
  <c r="D58" i="11" s="1"/>
  <c r="C58" i="10"/>
  <c r="C58" i="11" s="1"/>
  <c r="E58" i="10"/>
  <c r="E58" i="11" s="1"/>
  <c r="B58" i="11"/>
  <c r="D19" i="9"/>
  <c r="B73" i="11" s="1"/>
  <c r="G5" i="10"/>
  <c r="F17" i="10"/>
  <c r="F7" i="10"/>
  <c r="E17" i="10"/>
  <c r="E27" i="10" s="1"/>
  <c r="E7" i="10"/>
  <c r="E9" i="10" s="1"/>
  <c r="E12" i="10" s="1"/>
  <c r="E36" i="11" s="1"/>
  <c r="E37" i="11" s="1"/>
  <c r="E38" i="11" s="1"/>
  <c r="C5" i="10"/>
  <c r="D5" i="10"/>
  <c r="G15" i="10"/>
  <c r="F15" i="10"/>
  <c r="F16" i="10"/>
  <c r="F8" i="10"/>
  <c r="E15" i="10"/>
  <c r="B32" i="7"/>
  <c r="B29" i="9" s="1"/>
  <c r="D29" i="9" s="1"/>
  <c r="B81" i="11" s="1"/>
  <c r="C31" i="7"/>
  <c r="D31" i="7"/>
  <c r="E31" i="7"/>
  <c r="F31" i="7"/>
  <c r="G31" i="7"/>
  <c r="B31" i="7"/>
  <c r="B28" i="9" s="1"/>
  <c r="D28" i="9" s="1"/>
  <c r="B80" i="11" s="1"/>
  <c r="G29" i="7"/>
  <c r="C25" i="7"/>
  <c r="D25" i="7"/>
  <c r="E25" i="7"/>
  <c r="F25" i="7"/>
  <c r="G25" i="7"/>
  <c r="B14" i="7"/>
  <c r="B13" i="7"/>
  <c r="B6" i="7"/>
  <c r="E15" i="6"/>
  <c r="F38" i="5"/>
  <c r="G38" i="5"/>
  <c r="E38" i="5"/>
  <c r="D68" i="10" l="1"/>
  <c r="C78" i="10"/>
  <c r="C79" i="10" s="1"/>
  <c r="F19" i="10"/>
  <c r="F26" i="10" s="1"/>
  <c r="F28" i="10"/>
  <c r="E19" i="10"/>
  <c r="E26" i="10" s="1"/>
  <c r="E28" i="10"/>
  <c r="E25" i="10"/>
  <c r="F27" i="10"/>
  <c r="F25" i="10"/>
  <c r="B3" i="9"/>
  <c r="D3" i="9" s="1"/>
  <c r="C13" i="7"/>
  <c r="D13" i="7" s="1"/>
  <c r="E13" i="7" s="1"/>
  <c r="F13" i="7" s="1"/>
  <c r="G13" i="7" s="1"/>
  <c r="B9" i="9"/>
  <c r="D9" i="9" s="1"/>
  <c r="B62" i="11" s="1"/>
  <c r="C14" i="7"/>
  <c r="D14" i="7" s="1"/>
  <c r="E14" i="7" s="1"/>
  <c r="F14" i="7" s="1"/>
  <c r="B10" i="9"/>
  <c r="D10" i="9" s="1"/>
  <c r="B63" i="11" s="1"/>
  <c r="E30" i="10"/>
  <c r="E29" i="10"/>
  <c r="E56" i="10"/>
  <c r="E56" i="11" s="1"/>
  <c r="E59" i="10"/>
  <c r="E70" i="11" s="1"/>
  <c r="G7" i="10"/>
  <c r="G9" i="10" s="1"/>
  <c r="G12" i="10" s="1"/>
  <c r="G36" i="11" s="1"/>
  <c r="G37" i="11" s="1"/>
  <c r="G38" i="11" s="1"/>
  <c r="G17" i="10"/>
  <c r="G25" i="10" s="1"/>
  <c r="D7" i="10"/>
  <c r="D9" i="10" s="1"/>
  <c r="D12" i="10" s="1"/>
  <c r="D36" i="11" s="1"/>
  <c r="D37" i="11" s="1"/>
  <c r="D38" i="11" s="1"/>
  <c r="D17" i="10"/>
  <c r="F9" i="10"/>
  <c r="F12" i="10" s="1"/>
  <c r="F36" i="11" s="1"/>
  <c r="F37" i="11" s="1"/>
  <c r="F38" i="11" s="1"/>
  <c r="C7" i="10"/>
  <c r="C9" i="10" s="1"/>
  <c r="C12" i="10" s="1"/>
  <c r="C36" i="11" s="1"/>
  <c r="C37" i="11" s="1"/>
  <c r="C38" i="11" s="1"/>
  <c r="C17" i="10"/>
  <c r="B15" i="7"/>
  <c r="B33" i="7"/>
  <c r="B30" i="9" s="1"/>
  <c r="D30" i="9" s="1"/>
  <c r="B82" i="11" s="1"/>
  <c r="C15" i="7"/>
  <c r="C44" i="6"/>
  <c r="D75" i="10" l="1"/>
  <c r="D76" i="10" s="1"/>
  <c r="D78" i="10" s="1"/>
  <c r="C80" i="10"/>
  <c r="G27" i="10"/>
  <c r="F29" i="10"/>
  <c r="F31" i="10" s="1"/>
  <c r="F38" i="10" s="1"/>
  <c r="F40" i="10" s="1"/>
  <c r="D70" i="10"/>
  <c r="D77" i="10" s="1"/>
  <c r="D69" i="10"/>
  <c r="D71" i="10" s="1"/>
  <c r="C19" i="10"/>
  <c r="C28" i="10"/>
  <c r="C25" i="10"/>
  <c r="C27" i="10"/>
  <c r="F30" i="10"/>
  <c r="D19" i="10"/>
  <c r="D26" i="10" s="1"/>
  <c r="D28" i="10"/>
  <c r="D27" i="10"/>
  <c r="D25" i="10"/>
  <c r="G19" i="10"/>
  <c r="G26" i="10" s="1"/>
  <c r="G28" i="10"/>
  <c r="D15" i="7"/>
  <c r="E15" i="7"/>
  <c r="B55" i="11"/>
  <c r="K37" i="11" s="1"/>
  <c r="C30" i="11"/>
  <c r="B11" i="9"/>
  <c r="D11" i="9" s="1"/>
  <c r="B64" i="11" s="1"/>
  <c r="E31" i="10"/>
  <c r="E38" i="10" s="1"/>
  <c r="E40" i="10" s="1"/>
  <c r="F59" i="10"/>
  <c r="F70" i="11" s="1"/>
  <c r="F56" i="10"/>
  <c r="F56" i="11" s="1"/>
  <c r="D56" i="10"/>
  <c r="D59" i="10"/>
  <c r="D70" i="11" s="1"/>
  <c r="G59" i="10"/>
  <c r="G70" i="11" s="1"/>
  <c r="G56" i="10"/>
  <c r="G56" i="11" s="1"/>
  <c r="C59" i="10"/>
  <c r="C70" i="11" s="1"/>
  <c r="C56" i="10"/>
  <c r="G14" i="7"/>
  <c r="G15" i="7" s="1"/>
  <c r="F15" i="7"/>
  <c r="D95" i="12"/>
  <c r="D15" i="6" s="1"/>
  <c r="C95" i="12"/>
  <c r="C15" i="6" s="1"/>
  <c r="C75" i="12"/>
  <c r="D72" i="12"/>
  <c r="E72" i="12"/>
  <c r="F72" i="12"/>
  <c r="G72" i="12"/>
  <c r="C16" i="6"/>
  <c r="B25" i="7" s="1"/>
  <c r="B20" i="9" s="1"/>
  <c r="D20" i="9" s="1"/>
  <c r="B74" i="11" s="1"/>
  <c r="D65" i="12"/>
  <c r="E65" i="12"/>
  <c r="F65" i="12"/>
  <c r="G65" i="12"/>
  <c r="C65" i="12"/>
  <c r="B61" i="12"/>
  <c r="B60" i="12"/>
  <c r="B20" i="7" s="1"/>
  <c r="B59" i="12"/>
  <c r="B21" i="7" s="1"/>
  <c r="B18" i="9" s="1"/>
  <c r="D18" i="9" s="1"/>
  <c r="B58" i="12"/>
  <c r="D58" i="12" s="1"/>
  <c r="B57" i="12"/>
  <c r="B8" i="7" s="1"/>
  <c r="B5" i="9" s="1"/>
  <c r="D5" i="9" s="1"/>
  <c r="B56" i="12"/>
  <c r="B52" i="12"/>
  <c r="C46" i="12"/>
  <c r="D46" i="12" s="1"/>
  <c r="E46" i="12" s="1"/>
  <c r="F46" i="12" s="1"/>
  <c r="G46" i="12" s="1"/>
  <c r="C47" i="12"/>
  <c r="B47" i="12" s="1"/>
  <c r="C45" i="12"/>
  <c r="B45" i="2"/>
  <c r="E42" i="12"/>
  <c r="E40" i="6" s="1"/>
  <c r="F42" i="12"/>
  <c r="F40" i="6" s="1"/>
  <c r="G42" i="12"/>
  <c r="G40" i="6" s="1"/>
  <c r="D42" i="12"/>
  <c r="D40" i="6" s="1"/>
  <c r="C42" i="2"/>
  <c r="C42" i="12"/>
  <c r="C40" i="6" s="1"/>
  <c r="E36" i="12"/>
  <c r="F36" i="12"/>
  <c r="G36" i="12"/>
  <c r="D36" i="12"/>
  <c r="C36" i="12"/>
  <c r="C35" i="12"/>
  <c r="C34" i="12"/>
  <c r="C37" i="12" s="1"/>
  <c r="G22" i="12"/>
  <c r="G21" i="12"/>
  <c r="F22" i="12"/>
  <c r="F21" i="12"/>
  <c r="D22" i="12"/>
  <c r="E22" i="12"/>
  <c r="D21" i="12"/>
  <c r="E21" i="12"/>
  <c r="C22" i="12"/>
  <c r="C21" i="12"/>
  <c r="D18" i="12"/>
  <c r="E18" i="12"/>
  <c r="F18" i="12"/>
  <c r="G18" i="12"/>
  <c r="C18" i="12"/>
  <c r="C10" i="12"/>
  <c r="D10" i="12" s="1"/>
  <c r="E10" i="12" s="1"/>
  <c r="F10" i="12" s="1"/>
  <c r="G10" i="12" s="1"/>
  <c r="D8" i="12"/>
  <c r="E8" i="12"/>
  <c r="F8" i="12"/>
  <c r="G8" i="12"/>
  <c r="C8" i="12"/>
  <c r="F4" i="12"/>
  <c r="G4" i="12"/>
  <c r="E4" i="12"/>
  <c r="E5" i="12" s="1"/>
  <c r="E28" i="12" s="1"/>
  <c r="D4" i="12"/>
  <c r="D5" i="12" s="1"/>
  <c r="D28" i="12" s="1"/>
  <c r="C4" i="12"/>
  <c r="G83" i="12"/>
  <c r="F83" i="12"/>
  <c r="E83" i="12"/>
  <c r="D83" i="12"/>
  <c r="C83" i="12"/>
  <c r="B80" i="12"/>
  <c r="E52" i="12"/>
  <c r="D45" i="12"/>
  <c r="D35" i="12"/>
  <c r="E35" i="12" s="1"/>
  <c r="F35" i="12" s="1"/>
  <c r="G35" i="12" s="1"/>
  <c r="D34" i="12"/>
  <c r="G15" i="12"/>
  <c r="F15" i="12"/>
  <c r="E15" i="12"/>
  <c r="D15" i="12"/>
  <c r="C15" i="12"/>
  <c r="F16" i="12"/>
  <c r="E16" i="12"/>
  <c r="E17" i="12" s="1"/>
  <c r="C5" i="12"/>
  <c r="C28" i="12" s="1"/>
  <c r="J39" i="4"/>
  <c r="C56" i="2"/>
  <c r="D56" i="11" l="1"/>
  <c r="C56" i="11"/>
  <c r="D73" i="10"/>
  <c r="E68" i="10" s="1"/>
  <c r="D29" i="10"/>
  <c r="F60" i="10"/>
  <c r="F69" i="11" s="1"/>
  <c r="F39" i="11"/>
  <c r="F40" i="11" s="1"/>
  <c r="D79" i="10"/>
  <c r="E75" i="10" s="1"/>
  <c r="E57" i="10"/>
  <c r="E57" i="11" s="1"/>
  <c r="E39" i="11"/>
  <c r="E40" i="11" s="1"/>
  <c r="D30" i="10"/>
  <c r="C30" i="10"/>
  <c r="C29" i="10"/>
  <c r="C26" i="10"/>
  <c r="C31" i="10" s="1"/>
  <c r="C38" i="10" s="1"/>
  <c r="C40" i="10" s="1"/>
  <c r="C39" i="11" s="1"/>
  <c r="C40" i="11" s="1"/>
  <c r="G30" i="10"/>
  <c r="G29" i="10"/>
  <c r="D3" i="6"/>
  <c r="G3" i="6"/>
  <c r="D47" i="12"/>
  <c r="E47" i="12" s="1"/>
  <c r="F47" i="12" s="1"/>
  <c r="G47" i="12" s="1"/>
  <c r="C98" i="12"/>
  <c r="C99" i="12" s="1"/>
  <c r="D25" i="12"/>
  <c r="F3" i="6"/>
  <c r="C25" i="12"/>
  <c r="E27" i="12"/>
  <c r="B70" i="11"/>
  <c r="B59" i="10"/>
  <c r="C8" i="6"/>
  <c r="C7" i="6" s="1"/>
  <c r="K31" i="7" s="1"/>
  <c r="C3" i="6"/>
  <c r="E3" i="6"/>
  <c r="B62" i="12"/>
  <c r="B7" i="7"/>
  <c r="B17" i="9"/>
  <c r="B57" i="11"/>
  <c r="B57" i="10"/>
  <c r="G61" i="12"/>
  <c r="G23" i="7" s="1"/>
  <c r="B23" i="7"/>
  <c r="B22" i="9" s="1"/>
  <c r="D22" i="9" s="1"/>
  <c r="C76" i="12"/>
  <c r="C78" i="12" s="1"/>
  <c r="E60" i="10"/>
  <c r="E69" i="11" s="1"/>
  <c r="F57" i="10"/>
  <c r="F57" i="11" s="1"/>
  <c r="D31" i="10"/>
  <c r="D38" i="10" s="1"/>
  <c r="D40" i="10" s="1"/>
  <c r="D60" i="10" s="1"/>
  <c r="E19" i="12"/>
  <c r="D8" i="6"/>
  <c r="D7" i="6" s="1"/>
  <c r="L31" i="7" s="1"/>
  <c r="G8" i="6"/>
  <c r="G7" i="6" s="1"/>
  <c r="O31" i="7" s="1"/>
  <c r="E8" i="6"/>
  <c r="E7" i="6" s="1"/>
  <c r="M31" i="7" s="1"/>
  <c r="E25" i="12"/>
  <c r="C49" i="12"/>
  <c r="C41" i="6" s="1"/>
  <c r="C7" i="12"/>
  <c r="C9" i="12" s="1"/>
  <c r="C12" i="12" s="1"/>
  <c r="F8" i="6"/>
  <c r="F7" i="6" s="1"/>
  <c r="N31" i="7" s="1"/>
  <c r="D61" i="12"/>
  <c r="D23" i="7" s="1"/>
  <c r="E61" i="12"/>
  <c r="E23" i="7" s="1"/>
  <c r="F58" i="12"/>
  <c r="G58" i="12"/>
  <c r="C58" i="12"/>
  <c r="E58" i="12"/>
  <c r="B46" i="12"/>
  <c r="D37" i="12"/>
  <c r="E34" i="12"/>
  <c r="E37" i="12" s="1"/>
  <c r="F17" i="12"/>
  <c r="F27" i="12" s="1"/>
  <c r="F19" i="12"/>
  <c r="F26" i="12" s="1"/>
  <c r="D7" i="12"/>
  <c r="D9" i="12" s="1"/>
  <c r="D12" i="12" s="1"/>
  <c r="D93" i="12"/>
  <c r="D94" i="12" s="1"/>
  <c r="F52" i="12"/>
  <c r="F5" i="12"/>
  <c r="F28" i="12" s="1"/>
  <c r="E7" i="12"/>
  <c r="E9" i="12" s="1"/>
  <c r="E12" i="12" s="1"/>
  <c r="C16" i="12"/>
  <c r="C17" i="12" s="1"/>
  <c r="C27" i="12" s="1"/>
  <c r="F34" i="12"/>
  <c r="B45" i="12"/>
  <c r="E45" i="12"/>
  <c r="C52" i="12"/>
  <c r="G52" i="12"/>
  <c r="F61" i="12"/>
  <c r="F23" i="7" s="1"/>
  <c r="D16" i="12"/>
  <c r="D17" i="12" s="1"/>
  <c r="D27" i="12" s="1"/>
  <c r="D52" i="12"/>
  <c r="C61" i="12"/>
  <c r="C23" i="7" s="1"/>
  <c r="C68" i="12"/>
  <c r="C69" i="12" s="1"/>
  <c r="G31" i="10" l="1"/>
  <c r="G38" i="10" s="1"/>
  <c r="G40" i="10" s="1"/>
  <c r="G39" i="11" s="1"/>
  <c r="G40" i="11" s="1"/>
  <c r="D69" i="11"/>
  <c r="D39" i="11"/>
  <c r="D40" i="11" s="1"/>
  <c r="D80" i="10"/>
  <c r="E76" i="10"/>
  <c r="E78" i="10" s="1"/>
  <c r="E70" i="10"/>
  <c r="E69" i="10"/>
  <c r="E71" i="10" s="1"/>
  <c r="D49" i="12"/>
  <c r="D41" i="6" s="1"/>
  <c r="C56" i="12"/>
  <c r="C7" i="7" s="1"/>
  <c r="C59" i="12"/>
  <c r="C21" i="7" s="1"/>
  <c r="B4" i="9"/>
  <c r="D4" i="9" s="1"/>
  <c r="B10" i="7"/>
  <c r="B61" i="10"/>
  <c r="B72" i="11"/>
  <c r="C19" i="12"/>
  <c r="D17" i="9"/>
  <c r="C53" i="12"/>
  <c r="C42" i="6" s="1"/>
  <c r="E29" i="12"/>
  <c r="E26" i="12"/>
  <c r="D57" i="10"/>
  <c r="G57" i="10"/>
  <c r="G57" i="11" s="1"/>
  <c r="C60" i="10"/>
  <c r="C69" i="11" s="1"/>
  <c r="C57" i="10"/>
  <c r="E30" i="12"/>
  <c r="C35" i="6"/>
  <c r="C36" i="6" s="1"/>
  <c r="E56" i="12"/>
  <c r="E7" i="7" s="1"/>
  <c r="E35" i="6"/>
  <c r="E36" i="6" s="1"/>
  <c r="F30" i="12"/>
  <c r="F29" i="12"/>
  <c r="D56" i="12"/>
  <c r="D7" i="7" s="1"/>
  <c r="D35" i="6"/>
  <c r="D36" i="6" s="1"/>
  <c r="F25" i="12"/>
  <c r="D53" i="12"/>
  <c r="D42" i="6" s="1"/>
  <c r="E59" i="12"/>
  <c r="E21" i="7" s="1"/>
  <c r="D19" i="12"/>
  <c r="D26" i="12" s="1"/>
  <c r="F45" i="12"/>
  <c r="E49" i="12"/>
  <c r="E41" i="6" s="1"/>
  <c r="D59" i="12"/>
  <c r="D21" i="7" s="1"/>
  <c r="F7" i="12"/>
  <c r="F9" i="12" s="1"/>
  <c r="F12" i="12" s="1"/>
  <c r="F35" i="6" s="1"/>
  <c r="F36" i="6" s="1"/>
  <c r="C17" i="6"/>
  <c r="F37" i="12"/>
  <c r="G34" i="12"/>
  <c r="G37" i="12" s="1"/>
  <c r="G5" i="12"/>
  <c r="G16" i="12"/>
  <c r="G17" i="12" s="1"/>
  <c r="G27" i="12" s="1"/>
  <c r="D97" i="12"/>
  <c r="E53" i="12"/>
  <c r="E42" i="6" s="1"/>
  <c r="D57" i="11" l="1"/>
  <c r="D62" i="10"/>
  <c r="C57" i="11"/>
  <c r="C62" i="10"/>
  <c r="C6" i="11" s="1"/>
  <c r="G60" i="10"/>
  <c r="G69" i="11" s="1"/>
  <c r="E73" i="10"/>
  <c r="E77" i="10"/>
  <c r="E79" i="10" s="1"/>
  <c r="F75" i="10" s="1"/>
  <c r="E31" i="12"/>
  <c r="E38" i="12" s="1"/>
  <c r="E40" i="12" s="1"/>
  <c r="E60" i="12" s="1"/>
  <c r="E20" i="7" s="1"/>
  <c r="B69" i="11"/>
  <c r="B60" i="10"/>
  <c r="B56" i="11"/>
  <c r="B56" i="10"/>
  <c r="B7" i="9"/>
  <c r="D7" i="9" s="1"/>
  <c r="B59" i="11" s="1"/>
  <c r="B16" i="7"/>
  <c r="B12" i="9" s="1"/>
  <c r="D12" i="9" s="1"/>
  <c r="B65" i="11" s="1"/>
  <c r="F61" i="10"/>
  <c r="C61" i="10"/>
  <c r="E61" i="10"/>
  <c r="G61" i="10"/>
  <c r="D61" i="10"/>
  <c r="C26" i="12"/>
  <c r="C29" i="12"/>
  <c r="C73" i="12"/>
  <c r="D68" i="12" s="1"/>
  <c r="D75" i="12"/>
  <c r="D76" i="12" s="1"/>
  <c r="D78" i="12" s="1"/>
  <c r="B28" i="7"/>
  <c r="K16" i="7" s="1"/>
  <c r="D29" i="12"/>
  <c r="D30" i="12"/>
  <c r="C30" i="12"/>
  <c r="G28" i="12"/>
  <c r="G25" i="12"/>
  <c r="D98" i="12"/>
  <c r="E93" i="12" s="1"/>
  <c r="E94" i="12" s="1"/>
  <c r="F31" i="12"/>
  <c r="F38" i="12" s="1"/>
  <c r="F40" i="12" s="1"/>
  <c r="F38" i="6" s="1"/>
  <c r="G45" i="12"/>
  <c r="G49" i="12" s="1"/>
  <c r="G41" i="6" s="1"/>
  <c r="F49" i="12"/>
  <c r="F41" i="6" s="1"/>
  <c r="F56" i="12"/>
  <c r="F7" i="7" s="1"/>
  <c r="F59" i="12"/>
  <c r="F21" i="7" s="1"/>
  <c r="G7" i="12"/>
  <c r="F53" i="12"/>
  <c r="F42" i="6" s="1"/>
  <c r="G19" i="12"/>
  <c r="G26" i="12" s="1"/>
  <c r="E62" i="10" l="1"/>
  <c r="E72" i="11"/>
  <c r="G62" i="10"/>
  <c r="G72" i="11"/>
  <c r="C72" i="11"/>
  <c r="F76" i="10"/>
  <c r="F78" i="10" s="1"/>
  <c r="D72" i="11"/>
  <c r="F62" i="10"/>
  <c r="G6" i="11" s="1"/>
  <c r="O30" i="11" s="1"/>
  <c r="F72" i="11"/>
  <c r="F68" i="10"/>
  <c r="E80" i="10"/>
  <c r="E38" i="6"/>
  <c r="C31" i="12"/>
  <c r="E57" i="12"/>
  <c r="B62" i="10"/>
  <c r="B29" i="7"/>
  <c r="B25" i="9"/>
  <c r="D25" i="9" s="1"/>
  <c r="B77" i="11" s="1"/>
  <c r="E62" i="12"/>
  <c r="E8" i="7"/>
  <c r="C38" i="12"/>
  <c r="C40" i="12" s="1"/>
  <c r="G30" i="12"/>
  <c r="G29" i="12"/>
  <c r="G9" i="12"/>
  <c r="G12" i="12" s="1"/>
  <c r="D69" i="12"/>
  <c r="D71" i="12" s="1"/>
  <c r="D70" i="12"/>
  <c r="D77" i="12" s="1"/>
  <c r="D79" i="12" s="1"/>
  <c r="D99" i="12"/>
  <c r="C80" i="12"/>
  <c r="D31" i="12"/>
  <c r="D38" i="12" s="1"/>
  <c r="D40" i="12" s="1"/>
  <c r="D38" i="6" s="1"/>
  <c r="E97" i="12"/>
  <c r="F57" i="12"/>
  <c r="F8" i="7" s="1"/>
  <c r="F60" i="12"/>
  <c r="F20" i="7" s="1"/>
  <c r="E6" i="11" l="1"/>
  <c r="M30" i="11" s="1"/>
  <c r="D6" i="11"/>
  <c r="L30" i="11" s="1"/>
  <c r="F6" i="11"/>
  <c r="N30" i="11" s="1"/>
  <c r="K30" i="11"/>
  <c r="F79" i="10"/>
  <c r="G75" i="10" s="1"/>
  <c r="F69" i="10"/>
  <c r="F71" i="10" s="1"/>
  <c r="E75" i="12"/>
  <c r="E76" i="12" s="1"/>
  <c r="K17" i="7"/>
  <c r="B26" i="9"/>
  <c r="J39" i="7"/>
  <c r="C38" i="6"/>
  <c r="C60" i="12"/>
  <c r="C20" i="7" s="1"/>
  <c r="C57" i="12"/>
  <c r="C8" i="7" s="1"/>
  <c r="G35" i="6"/>
  <c r="G36" i="6" s="1"/>
  <c r="G56" i="12"/>
  <c r="G7" i="7" s="1"/>
  <c r="G59" i="12"/>
  <c r="G21" i="7" s="1"/>
  <c r="G53" i="12"/>
  <c r="G42" i="6" s="1"/>
  <c r="G31" i="12"/>
  <c r="G38" i="12" s="1"/>
  <c r="G40" i="12" s="1"/>
  <c r="F62" i="12"/>
  <c r="F5" i="6" s="1"/>
  <c r="N32" i="7" s="1"/>
  <c r="D73" i="12"/>
  <c r="D80" i="12" s="1"/>
  <c r="E98" i="12"/>
  <c r="D60" i="12"/>
  <c r="D20" i="7" s="1"/>
  <c r="D57" i="12"/>
  <c r="D8" i="7" s="1"/>
  <c r="E78" i="12"/>
  <c r="G76" i="10" l="1"/>
  <c r="G78" i="10" s="1"/>
  <c r="F73" i="10"/>
  <c r="D26" i="9"/>
  <c r="B78" i="11" s="1"/>
  <c r="C29" i="7"/>
  <c r="L16" i="7"/>
  <c r="C62" i="12"/>
  <c r="C5" i="6" s="1"/>
  <c r="K32" i="7" s="1"/>
  <c r="G57" i="12"/>
  <c r="G8" i="7" s="1"/>
  <c r="G38" i="6"/>
  <c r="G60" i="12"/>
  <c r="G20" i="7" s="1"/>
  <c r="D62" i="12"/>
  <c r="E68" i="12"/>
  <c r="E99" i="12"/>
  <c r="F93" i="12"/>
  <c r="F94" i="12" s="1"/>
  <c r="G68" i="10" l="1"/>
  <c r="F80" i="10"/>
  <c r="K38" i="11"/>
  <c r="G62" i="12"/>
  <c r="G5" i="6" s="1"/>
  <c r="O32" i="7" s="1"/>
  <c r="D5" i="6"/>
  <c r="L32" i="7" s="1"/>
  <c r="E5" i="6"/>
  <c r="M32" i="7" s="1"/>
  <c r="E69" i="12"/>
  <c r="E71" i="12" s="1"/>
  <c r="E70" i="12"/>
  <c r="E77" i="12"/>
  <c r="E79" i="12" s="1"/>
  <c r="F97" i="12"/>
  <c r="G70" i="10" l="1"/>
  <c r="G77" i="10" s="1"/>
  <c r="G79" i="10" s="1"/>
  <c r="G69" i="10"/>
  <c r="G71" i="10" s="1"/>
  <c r="F75" i="12"/>
  <c r="F76" i="12" s="1"/>
  <c r="F78" i="12" s="1"/>
  <c r="F98" i="12"/>
  <c r="G93" i="12" s="1"/>
  <c r="G94" i="12" s="1"/>
  <c r="E73" i="12"/>
  <c r="G73" i="10" l="1"/>
  <c r="G80" i="10" s="1"/>
  <c r="D29" i="7"/>
  <c r="M16" i="7"/>
  <c r="F99" i="12"/>
  <c r="E80" i="12"/>
  <c r="F68" i="12"/>
  <c r="G97" i="12"/>
  <c r="F69" i="12" l="1"/>
  <c r="F71" i="12" s="1"/>
  <c r="F70" i="12"/>
  <c r="F77" i="12" s="1"/>
  <c r="F79" i="12" s="1"/>
  <c r="G98" i="12"/>
  <c r="G99" i="12" s="1"/>
  <c r="G75" i="12" l="1"/>
  <c r="G76" i="12" s="1"/>
  <c r="G78" i="12" s="1"/>
  <c r="F73" i="12"/>
  <c r="F80" i="12" s="1"/>
  <c r="E29" i="7" l="1"/>
  <c r="N16" i="7"/>
  <c r="G68" i="12"/>
  <c r="G69" i="12" l="1"/>
  <c r="G71" i="12" s="1"/>
  <c r="G70" i="12"/>
  <c r="G77" i="12" s="1"/>
  <c r="O16" i="7" l="1"/>
  <c r="G73" i="12"/>
  <c r="G80" i="12" s="1"/>
  <c r="D30" i="4" l="1"/>
  <c r="E30" i="4"/>
  <c r="F30" i="4"/>
  <c r="G30" i="4"/>
  <c r="C30" i="4"/>
  <c r="B25" i="4"/>
  <c r="D20" i="4"/>
  <c r="E20" i="4"/>
  <c r="F20" i="4"/>
  <c r="G20" i="4"/>
  <c r="C20" i="4"/>
  <c r="D12" i="4"/>
  <c r="E12" i="4" s="1"/>
  <c r="C12" i="4"/>
  <c r="C14" i="4" l="1"/>
  <c r="F12" i="4"/>
  <c r="G12" i="4" l="1"/>
  <c r="E36" i="2" l="1"/>
  <c r="E8" i="3" s="1"/>
  <c r="E7" i="3" s="1"/>
  <c r="M32" i="4" s="1"/>
  <c r="F36" i="2"/>
  <c r="F8" i="3" s="1"/>
  <c r="F7" i="3" s="1"/>
  <c r="N32" i="4" s="1"/>
  <c r="G36" i="2"/>
  <c r="G8" i="3" s="1"/>
  <c r="G7" i="3" s="1"/>
  <c r="O32" i="4" s="1"/>
  <c r="D8" i="3"/>
  <c r="D7" i="3" s="1"/>
  <c r="L32" i="4" s="1"/>
  <c r="C36" i="2"/>
  <c r="C8" i="3" s="1"/>
  <c r="C7" i="3" s="1"/>
  <c r="K32" i="4" s="1"/>
  <c r="E42" i="2"/>
  <c r="F42" i="2"/>
  <c r="G42" i="2"/>
  <c r="D42" i="2"/>
  <c r="E13" i="4" l="1"/>
  <c r="D14" i="4"/>
  <c r="B31" i="4"/>
  <c r="B30" i="4"/>
  <c r="B27" i="4"/>
  <c r="B24" i="4"/>
  <c r="B23" i="4"/>
  <c r="B22" i="4"/>
  <c r="B20" i="4"/>
  <c r="B19" i="4"/>
  <c r="B13" i="4"/>
  <c r="B12" i="4"/>
  <c r="B5" i="4"/>
  <c r="B6" i="4"/>
  <c r="B7" i="4"/>
  <c r="B8" i="4"/>
  <c r="C29" i="3"/>
  <c r="G16" i="3"/>
  <c r="F15" i="3"/>
  <c r="G15" i="3"/>
  <c r="F13" i="4" l="1"/>
  <c r="E14" i="4"/>
  <c r="E95" i="2"/>
  <c r="E15" i="3" s="1"/>
  <c r="D95" i="2"/>
  <c r="D15" i="3" s="1"/>
  <c r="C95" i="2"/>
  <c r="C15" i="3" s="1"/>
  <c r="F77" i="2"/>
  <c r="G77" i="2"/>
  <c r="B79" i="2"/>
  <c r="C75" i="2" s="1"/>
  <c r="F72" i="2"/>
  <c r="F16" i="3" s="1"/>
  <c r="D72" i="2"/>
  <c r="D16" i="3" s="1"/>
  <c r="E72" i="2"/>
  <c r="E16" i="3" s="1"/>
  <c r="C72" i="2"/>
  <c r="C16" i="3" s="1"/>
  <c r="G13" i="4" l="1"/>
  <c r="G14" i="4" s="1"/>
  <c r="F14" i="4"/>
  <c r="C98" i="2"/>
  <c r="C99" i="2" s="1"/>
  <c r="C76" i="2"/>
  <c r="C78" i="2" s="1"/>
  <c r="B73" i="2"/>
  <c r="C68" i="2" s="1"/>
  <c r="C70" i="2" s="1"/>
  <c r="C77" i="2" s="1"/>
  <c r="D93" i="2" l="1"/>
  <c r="D94" i="2" s="1"/>
  <c r="D97" i="2" s="1"/>
  <c r="C79" i="2"/>
  <c r="B80" i="2"/>
  <c r="D98" i="2"/>
  <c r="D99" i="2" s="1"/>
  <c r="J59" i="2"/>
  <c r="J58" i="2"/>
  <c r="J57" i="2"/>
  <c r="J56" i="2"/>
  <c r="B61" i="2"/>
  <c r="B60" i="2"/>
  <c r="B59" i="2"/>
  <c r="B58" i="2"/>
  <c r="E58" i="2" s="1"/>
  <c r="E8" i="4" s="1"/>
  <c r="B57" i="2"/>
  <c r="B56" i="2"/>
  <c r="D52" i="2"/>
  <c r="C46" i="2"/>
  <c r="C47" i="2"/>
  <c r="C45" i="2"/>
  <c r="C34" i="2"/>
  <c r="C37" i="6"/>
  <c r="C39" i="6" s="1"/>
  <c r="D37" i="6"/>
  <c r="D39" i="6" s="1"/>
  <c r="D43" i="6" s="1"/>
  <c r="E37" i="6"/>
  <c r="E39" i="6" s="1"/>
  <c r="E43" i="6" s="1"/>
  <c r="F37" i="6"/>
  <c r="F39" i="6" s="1"/>
  <c r="F43" i="6" s="1"/>
  <c r="G37" i="6"/>
  <c r="G39" i="6" s="1"/>
  <c r="G43" i="6" s="1"/>
  <c r="B36" i="6"/>
  <c r="B35" i="9" s="1"/>
  <c r="D35" i="9" s="1"/>
  <c r="B37" i="11" s="1"/>
  <c r="B38" i="6"/>
  <c r="B37" i="9" s="1"/>
  <c r="D37" i="9" s="1"/>
  <c r="B39" i="11" s="1"/>
  <c r="B40" i="6"/>
  <c r="B39" i="9" s="1"/>
  <c r="D39" i="9" s="1"/>
  <c r="B41" i="6"/>
  <c r="B40" i="9" s="1"/>
  <c r="D40" i="9" s="1"/>
  <c r="B42" i="11" s="1"/>
  <c r="B42" i="6"/>
  <c r="B41" i="9" s="1"/>
  <c r="D41" i="9" s="1"/>
  <c r="B44" i="6"/>
  <c r="B43" i="9" s="1"/>
  <c r="D43" i="9" s="1"/>
  <c r="B45" i="11" s="1"/>
  <c r="B45" i="6"/>
  <c r="B44" i="9" s="1"/>
  <c r="D44" i="9" s="1"/>
  <c r="B46" i="11" s="1"/>
  <c r="B35" i="6"/>
  <c r="L17" i="7"/>
  <c r="O17" i="7"/>
  <c r="N17" i="7"/>
  <c r="M17" i="7"/>
  <c r="O12" i="7"/>
  <c r="P12" i="7" s="1"/>
  <c r="P13" i="7" s="1"/>
  <c r="N12" i="7"/>
  <c r="M12" i="7"/>
  <c r="L12" i="7"/>
  <c r="K12" i="7"/>
  <c r="O11" i="7"/>
  <c r="P11" i="7" s="1"/>
  <c r="N11" i="7"/>
  <c r="M11" i="7"/>
  <c r="L11" i="7"/>
  <c r="K11" i="7"/>
  <c r="O9" i="7"/>
  <c r="N9" i="7"/>
  <c r="M9" i="7"/>
  <c r="L9" i="7"/>
  <c r="K9" i="7"/>
  <c r="O8" i="7"/>
  <c r="N8" i="7"/>
  <c r="M8" i="7"/>
  <c r="L8" i="7"/>
  <c r="K8" i="7"/>
  <c r="O7" i="7"/>
  <c r="N7" i="7"/>
  <c r="M7" i="7"/>
  <c r="L7" i="7"/>
  <c r="K7" i="7"/>
  <c r="O6" i="7"/>
  <c r="N6" i="7"/>
  <c r="M6" i="7"/>
  <c r="L6" i="7"/>
  <c r="K6" i="7"/>
  <c r="B46" i="5"/>
  <c r="B42" i="5"/>
  <c r="B39" i="5"/>
  <c r="B28" i="5"/>
  <c r="B24" i="5"/>
  <c r="B5" i="5"/>
  <c r="B7" i="5" s="1"/>
  <c r="B11" i="5" s="1"/>
  <c r="B14" i="5" s="1"/>
  <c r="B43" i="11" l="1"/>
  <c r="B37" i="6"/>
  <c r="B34" i="9"/>
  <c r="D34" i="9" s="1"/>
  <c r="B36" i="11" s="1"/>
  <c r="L18" i="11"/>
  <c r="L20" i="11" s="1"/>
  <c r="D75" i="2"/>
  <c r="C27" i="4"/>
  <c r="C28" i="4" s="1"/>
  <c r="G2" i="6"/>
  <c r="F2" i="6"/>
  <c r="E2" i="6"/>
  <c r="D2" i="6"/>
  <c r="C2" i="6"/>
  <c r="C46" i="6"/>
  <c r="D47" i="2"/>
  <c r="E47" i="2" s="1"/>
  <c r="F47" i="2" s="1"/>
  <c r="G47" i="2" s="1"/>
  <c r="B47" i="2"/>
  <c r="K10" i="7"/>
  <c r="K13" i="7" s="1"/>
  <c r="K19" i="7" s="1"/>
  <c r="D46" i="2"/>
  <c r="E46" i="2" s="1"/>
  <c r="F46" i="2" s="1"/>
  <c r="G46" i="2" s="1"/>
  <c r="B46" i="2"/>
  <c r="D45" i="2"/>
  <c r="E45" i="2" s="1"/>
  <c r="E93" i="2"/>
  <c r="C17" i="3"/>
  <c r="C71" i="2"/>
  <c r="D76" i="2"/>
  <c r="D78" i="2" s="1"/>
  <c r="F52" i="2"/>
  <c r="G52" i="2"/>
  <c r="C52" i="2"/>
  <c r="C58" i="2"/>
  <c r="C8" i="4" s="1"/>
  <c r="N10" i="7"/>
  <c r="N13" i="7" s="1"/>
  <c r="D58" i="2"/>
  <c r="D8" i="4" s="1"/>
  <c r="O10" i="7"/>
  <c r="O13" i="7" s="1"/>
  <c r="C49" i="2"/>
  <c r="C41" i="3" s="1"/>
  <c r="E52" i="2"/>
  <c r="G58" i="2"/>
  <c r="G8" i="4" s="1"/>
  <c r="D61" i="2"/>
  <c r="D22" i="4" s="1"/>
  <c r="E61" i="2"/>
  <c r="E22" i="4" s="1"/>
  <c r="F61" i="2"/>
  <c r="F22" i="4" s="1"/>
  <c r="G61" i="2"/>
  <c r="G22" i="4" s="1"/>
  <c r="C61" i="2"/>
  <c r="C22" i="4" s="1"/>
  <c r="F58" i="2"/>
  <c r="F8" i="4" s="1"/>
  <c r="M10" i="7"/>
  <c r="M13" i="7" s="1"/>
  <c r="L10" i="7"/>
  <c r="L13" i="7" s="1"/>
  <c r="B62" i="2"/>
  <c r="B47" i="5"/>
  <c r="B29" i="5"/>
  <c r="B15" i="5"/>
  <c r="B16" i="5" s="1"/>
  <c r="B52" i="10" l="1"/>
  <c r="F52" i="10" s="1"/>
  <c r="F53" i="10" s="1"/>
  <c r="F43" i="11" s="1"/>
  <c r="F44" i="11" s="1"/>
  <c r="B39" i="6"/>
  <c r="B36" i="9"/>
  <c r="D36" i="9" s="1"/>
  <c r="B38" i="11" s="1"/>
  <c r="K15" i="4"/>
  <c r="K18" i="4" s="1"/>
  <c r="C4" i="6"/>
  <c r="K27" i="7"/>
  <c r="K28" i="7" s="1"/>
  <c r="K29" i="7" s="1"/>
  <c r="K33" i="7" s="1"/>
  <c r="K35" i="7" s="1"/>
  <c r="K36" i="7" s="1"/>
  <c r="D4" i="6"/>
  <c r="D6" i="6" s="1"/>
  <c r="L27" i="7"/>
  <c r="L28" i="7" s="1"/>
  <c r="L29" i="7" s="1"/>
  <c r="L33" i="7" s="1"/>
  <c r="L35" i="7" s="1"/>
  <c r="F4" i="6"/>
  <c r="F6" i="6" s="1"/>
  <c r="N27" i="7"/>
  <c r="N28" i="7" s="1"/>
  <c r="N29" i="7" s="1"/>
  <c r="N33" i="7" s="1"/>
  <c r="N35" i="7" s="1"/>
  <c r="E4" i="6"/>
  <c r="E6" i="6" s="1"/>
  <c r="M27" i="7"/>
  <c r="M28" i="7" s="1"/>
  <c r="M29" i="7" s="1"/>
  <c r="M33" i="7" s="1"/>
  <c r="M35" i="7" s="1"/>
  <c r="G4" i="6"/>
  <c r="G6" i="6" s="1"/>
  <c r="O27" i="7"/>
  <c r="O28" i="7" s="1"/>
  <c r="O29" i="7" s="1"/>
  <c r="C47" i="6"/>
  <c r="C21" i="6" s="1"/>
  <c r="D49" i="2"/>
  <c r="D41" i="3" s="1"/>
  <c r="E94" i="2"/>
  <c r="E97" i="2" s="1"/>
  <c r="C73" i="2"/>
  <c r="C24" i="4" s="1"/>
  <c r="F45" i="2"/>
  <c r="E49" i="2"/>
  <c r="E41" i="3" s="1"/>
  <c r="L11" i="4"/>
  <c r="M11" i="4"/>
  <c r="N11" i="4"/>
  <c r="O11" i="4"/>
  <c r="K11" i="4"/>
  <c r="L10" i="4"/>
  <c r="M10" i="4"/>
  <c r="N10" i="4"/>
  <c r="O10" i="4"/>
  <c r="K10" i="4"/>
  <c r="L8" i="4"/>
  <c r="M8" i="4"/>
  <c r="N8" i="4"/>
  <c r="O8" i="4"/>
  <c r="K8" i="4"/>
  <c r="L7" i="4"/>
  <c r="M7" i="4"/>
  <c r="N7" i="4"/>
  <c r="O7" i="4"/>
  <c r="K7" i="4"/>
  <c r="L6" i="4"/>
  <c r="M6" i="4"/>
  <c r="N6" i="4"/>
  <c r="O6" i="4"/>
  <c r="K6" i="4"/>
  <c r="L5" i="4"/>
  <c r="M5" i="4"/>
  <c r="N5" i="4"/>
  <c r="O5" i="4"/>
  <c r="K5" i="4"/>
  <c r="B36" i="3"/>
  <c r="B38" i="3"/>
  <c r="B41" i="3"/>
  <c r="B42" i="3"/>
  <c r="B44" i="3"/>
  <c r="B45" i="3"/>
  <c r="B47" i="3"/>
  <c r="B35" i="3"/>
  <c r="D83" i="2"/>
  <c r="E83" i="2"/>
  <c r="F83" i="2"/>
  <c r="G83" i="2"/>
  <c r="C83" i="2"/>
  <c r="D65" i="2"/>
  <c r="E65" i="2"/>
  <c r="F65" i="2"/>
  <c r="G65" i="2"/>
  <c r="C65" i="2"/>
  <c r="C22" i="11" l="1"/>
  <c r="C10" i="6"/>
  <c r="F3" i="11"/>
  <c r="F5" i="11" s="1"/>
  <c r="F7" i="11" s="1"/>
  <c r="N25" i="11"/>
  <c r="N26" i="11" s="1"/>
  <c r="N27" i="11" s="1"/>
  <c r="N31" i="11" s="1"/>
  <c r="N34" i="11" s="1"/>
  <c r="G52" i="10"/>
  <c r="G53" i="10" s="1"/>
  <c r="G43" i="11" s="1"/>
  <c r="G44" i="11" s="1"/>
  <c r="D52" i="10"/>
  <c r="D53" i="10" s="1"/>
  <c r="D43" i="11" s="1"/>
  <c r="D44" i="11" s="1"/>
  <c r="C52" i="10"/>
  <c r="C53" i="10" s="1"/>
  <c r="C43" i="11" s="1"/>
  <c r="C44" i="11" s="1"/>
  <c r="E52" i="10"/>
  <c r="E53" i="10" s="1"/>
  <c r="E43" i="11" s="1"/>
  <c r="E44" i="11" s="1"/>
  <c r="B43" i="6"/>
  <c r="B38" i="9"/>
  <c r="D38" i="9" s="1"/>
  <c r="B40" i="11" s="1"/>
  <c r="B44" i="11" s="1"/>
  <c r="B47" i="11" s="1"/>
  <c r="B48" i="11" s="1"/>
  <c r="B49" i="11" s="1"/>
  <c r="C48" i="6"/>
  <c r="D20" i="6" s="1"/>
  <c r="D21" i="11" s="1"/>
  <c r="O33" i="7"/>
  <c r="O34" i="7" s="1"/>
  <c r="C6" i="6"/>
  <c r="K19" i="4"/>
  <c r="K16" i="4"/>
  <c r="K20" i="4" s="1"/>
  <c r="D68" i="2"/>
  <c r="C80" i="2"/>
  <c r="E98" i="2"/>
  <c r="N9" i="4"/>
  <c r="N12" i="4" s="1"/>
  <c r="K9" i="4"/>
  <c r="K12" i="4" s="1"/>
  <c r="L9" i="4"/>
  <c r="L12" i="4" s="1"/>
  <c r="M9" i="4"/>
  <c r="M12" i="4" s="1"/>
  <c r="O9" i="4"/>
  <c r="O12" i="4" s="1"/>
  <c r="G45" i="2"/>
  <c r="G49" i="2" s="1"/>
  <c r="G41" i="3" s="1"/>
  <c r="F49" i="2"/>
  <c r="F41" i="3" s="1"/>
  <c r="C35" i="2"/>
  <c r="D34" i="2"/>
  <c r="D22" i="2"/>
  <c r="E22" i="2"/>
  <c r="F22" i="2"/>
  <c r="G22" i="2"/>
  <c r="G21" i="2"/>
  <c r="D21" i="2"/>
  <c r="E21" i="2"/>
  <c r="F21" i="2"/>
  <c r="C22" i="2"/>
  <c r="C21" i="2"/>
  <c r="D18" i="2"/>
  <c r="D19" i="2" s="1"/>
  <c r="E18" i="2"/>
  <c r="F18" i="2"/>
  <c r="G18" i="2"/>
  <c r="C18" i="2"/>
  <c r="C19" i="2" s="1"/>
  <c r="D8" i="2"/>
  <c r="E8" i="2"/>
  <c r="F8" i="2"/>
  <c r="G8" i="2"/>
  <c r="C8" i="2"/>
  <c r="D15" i="2"/>
  <c r="E15" i="2"/>
  <c r="F15" i="2"/>
  <c r="G15" i="2"/>
  <c r="C15" i="2"/>
  <c r="D4" i="2"/>
  <c r="D16" i="2" s="1"/>
  <c r="E4" i="2"/>
  <c r="E5" i="2" s="1"/>
  <c r="E7" i="2" s="1"/>
  <c r="F4" i="2"/>
  <c r="G4" i="2" s="1"/>
  <c r="C4" i="2"/>
  <c r="C10" i="2"/>
  <c r="D10" i="2" s="1"/>
  <c r="E10" i="2" s="1"/>
  <c r="F10" i="2" s="1"/>
  <c r="G10" i="2" s="1"/>
  <c r="G3" i="11" l="1"/>
  <c r="G5" i="11" s="1"/>
  <c r="G7" i="11" s="1"/>
  <c r="O25" i="11"/>
  <c r="O26" i="11" s="1"/>
  <c r="O27" i="11" s="1"/>
  <c r="O31" i="11" s="1"/>
  <c r="O32" i="11" s="1"/>
  <c r="O34" i="11" s="1"/>
  <c r="E3" i="11"/>
  <c r="E5" i="11" s="1"/>
  <c r="E7" i="11" s="1"/>
  <c r="M25" i="11"/>
  <c r="M26" i="11" s="1"/>
  <c r="M27" i="11" s="1"/>
  <c r="M31" i="11" s="1"/>
  <c r="M34" i="11" s="1"/>
  <c r="C3" i="11"/>
  <c r="C5" i="11" s="1"/>
  <c r="C7" i="11" s="1"/>
  <c r="C47" i="11"/>
  <c r="K25" i="11"/>
  <c r="K26" i="11" s="1"/>
  <c r="K27" i="11" s="1"/>
  <c r="D3" i="11"/>
  <c r="D5" i="11" s="1"/>
  <c r="D7" i="11" s="1"/>
  <c r="L25" i="11"/>
  <c r="L26" i="11" s="1"/>
  <c r="L27" i="11" s="1"/>
  <c r="L31" i="11" s="1"/>
  <c r="L34" i="11" s="1"/>
  <c r="B46" i="6"/>
  <c r="B42" i="9"/>
  <c r="D42" i="9" s="1"/>
  <c r="C32" i="7"/>
  <c r="C22" i="7"/>
  <c r="C26" i="7" s="1"/>
  <c r="O35" i="7"/>
  <c r="F93" i="2"/>
  <c r="F94" i="2" s="1"/>
  <c r="E99" i="2"/>
  <c r="C16" i="2"/>
  <c r="C5" i="2"/>
  <c r="D69" i="2"/>
  <c r="D70" i="2"/>
  <c r="D77" i="2" s="1"/>
  <c r="D79" i="2" s="1"/>
  <c r="E34" i="2"/>
  <c r="E9" i="2"/>
  <c r="E12" i="2" s="1"/>
  <c r="E35" i="3" s="1"/>
  <c r="E36" i="3" s="1"/>
  <c r="E37" i="3" s="1"/>
  <c r="D35" i="2"/>
  <c r="E35" i="2" s="1"/>
  <c r="F35" i="2" s="1"/>
  <c r="G35" i="2" s="1"/>
  <c r="C37" i="2"/>
  <c r="D17" i="2"/>
  <c r="C17" i="2"/>
  <c r="D5" i="2"/>
  <c r="D7" i="2" s="1"/>
  <c r="D9" i="2" s="1"/>
  <c r="D12" i="2" s="1"/>
  <c r="D35" i="3" s="1"/>
  <c r="G16" i="2"/>
  <c r="G17" i="2" s="1"/>
  <c r="G19" i="2" s="1"/>
  <c r="G5" i="2"/>
  <c r="G7" i="2" s="1"/>
  <c r="G9" i="2" s="1"/>
  <c r="F16" i="2"/>
  <c r="F17" i="2" s="1"/>
  <c r="F19" i="2" s="1"/>
  <c r="F5" i="2"/>
  <c r="F7" i="2" s="1"/>
  <c r="F9" i="2" s="1"/>
  <c r="E16" i="2"/>
  <c r="E17" i="2" s="1"/>
  <c r="E19" i="2" s="1"/>
  <c r="H7" i="1"/>
  <c r="K31" i="11" l="1"/>
  <c r="K34" i="11" s="1"/>
  <c r="K35" i="11" s="1"/>
  <c r="C33" i="7"/>
  <c r="L18" i="7" s="1"/>
  <c r="L19" i="7" s="1"/>
  <c r="L36" i="7" s="1"/>
  <c r="C81" i="11"/>
  <c r="C82" i="11" s="1"/>
  <c r="C48" i="11"/>
  <c r="B47" i="6"/>
  <c r="B45" i="9"/>
  <c r="D45" i="9" s="1"/>
  <c r="E75" i="2"/>
  <c r="D27" i="4"/>
  <c r="D28" i="4" s="1"/>
  <c r="C7" i="2"/>
  <c r="C12" i="2" s="1"/>
  <c r="C35" i="3" s="1"/>
  <c r="C36" i="3" s="1"/>
  <c r="C37" i="3" s="1"/>
  <c r="D36" i="3"/>
  <c r="D37" i="3" s="1"/>
  <c r="E76" i="2"/>
  <c r="E78" i="2" s="1"/>
  <c r="D71" i="2"/>
  <c r="D17" i="3"/>
  <c r="F97" i="2"/>
  <c r="F98" i="2" s="1"/>
  <c r="C6" i="4"/>
  <c r="D53" i="2"/>
  <c r="D42" i="3" s="1"/>
  <c r="D56" i="2"/>
  <c r="D6" i="4" s="1"/>
  <c r="D59" i="2"/>
  <c r="D37" i="2"/>
  <c r="E59" i="2"/>
  <c r="E56" i="2"/>
  <c r="E6" i="4" s="1"/>
  <c r="E53" i="2"/>
  <c r="E42" i="3" s="1"/>
  <c r="F34" i="2"/>
  <c r="E37" i="2"/>
  <c r="F12" i="2"/>
  <c r="F35" i="3" s="1"/>
  <c r="F36" i="3" s="1"/>
  <c r="F37" i="3" s="1"/>
  <c r="G12" i="2"/>
  <c r="G35" i="3" s="1"/>
  <c r="G36" i="3" s="1"/>
  <c r="G37" i="3" s="1"/>
  <c r="C47" i="1"/>
  <c r="D47" i="1"/>
  <c r="B32" i="4" s="1"/>
  <c r="B47" i="1"/>
  <c r="C43" i="1"/>
  <c r="D43" i="1"/>
  <c r="B28" i="4" s="1"/>
  <c r="B43" i="1"/>
  <c r="C40" i="1"/>
  <c r="D40" i="1"/>
  <c r="B40" i="1"/>
  <c r="C29" i="1"/>
  <c r="D29" i="1"/>
  <c r="B14" i="4" s="1"/>
  <c r="B29" i="1"/>
  <c r="C25" i="1"/>
  <c r="D25" i="1"/>
  <c r="B25" i="1"/>
  <c r="D8" i="1"/>
  <c r="B39" i="3" s="1"/>
  <c r="C6" i="1"/>
  <c r="C8" i="1" s="1"/>
  <c r="C12" i="1" s="1"/>
  <c r="C15" i="1" s="1"/>
  <c r="C17" i="1" s="1"/>
  <c r="D6" i="1"/>
  <c r="B37" i="3" s="1"/>
  <c r="B6" i="1"/>
  <c r="B8" i="1" s="1"/>
  <c r="C34" i="7" l="1"/>
  <c r="M19" i="11"/>
  <c r="M20" i="11" s="1"/>
  <c r="L35" i="11" s="1"/>
  <c r="C49" i="11"/>
  <c r="B48" i="6"/>
  <c r="B46" i="9"/>
  <c r="D46" i="9" s="1"/>
  <c r="B12" i="1"/>
  <c r="B15" i="1" s="1"/>
  <c r="B17" i="1" s="1"/>
  <c r="C53" i="2"/>
  <c r="C42" i="3" s="1"/>
  <c r="G93" i="2"/>
  <c r="G94" i="2" s="1"/>
  <c r="G97" i="2" s="1"/>
  <c r="G98" i="2" s="1"/>
  <c r="G99" i="2" s="1"/>
  <c r="F99" i="2"/>
  <c r="D73" i="2"/>
  <c r="D24" i="4" s="1"/>
  <c r="C31" i="2"/>
  <c r="C38" i="2" s="1"/>
  <c r="C40" i="2" s="1"/>
  <c r="C60" i="2" s="1"/>
  <c r="D12" i="1"/>
  <c r="F59" i="2"/>
  <c r="F53" i="2"/>
  <c r="F42" i="3" s="1"/>
  <c r="F56" i="2"/>
  <c r="F6" i="4" s="1"/>
  <c r="G59" i="2"/>
  <c r="G56" i="2"/>
  <c r="G6" i="4" s="1"/>
  <c r="G53" i="2"/>
  <c r="G42" i="3" s="1"/>
  <c r="G34" i="2"/>
  <c r="G37" i="2" s="1"/>
  <c r="F37" i="2"/>
  <c r="D48" i="1"/>
  <c r="B33" i="4" s="1"/>
  <c r="C48" i="1"/>
  <c r="B48" i="1"/>
  <c r="D30" i="1"/>
  <c r="B15" i="4" s="1"/>
  <c r="C30" i="1"/>
  <c r="B30" i="1"/>
  <c r="C71" i="11" l="1"/>
  <c r="C75" i="11" s="1"/>
  <c r="C83" i="11" s="1"/>
  <c r="C11" i="11"/>
  <c r="C20" i="6"/>
  <c r="C23" i="6" s="1"/>
  <c r="C24" i="6" s="1"/>
  <c r="B47" i="9"/>
  <c r="D47" i="9" s="1"/>
  <c r="B22" i="7"/>
  <c r="E68" i="2"/>
  <c r="D80" i="2"/>
  <c r="C19" i="4"/>
  <c r="C38" i="3"/>
  <c r="C39" i="3" s="1"/>
  <c r="C43" i="3" s="1"/>
  <c r="D31" i="2"/>
  <c r="C57" i="2"/>
  <c r="C7" i="4" s="1"/>
  <c r="D15" i="1"/>
  <c r="C24" i="11" l="1"/>
  <c r="C25" i="11" s="1"/>
  <c r="C31" i="11" s="1"/>
  <c r="B21" i="9"/>
  <c r="B26" i="7"/>
  <c r="B34" i="7" s="1"/>
  <c r="C30" i="6"/>
  <c r="D38" i="2"/>
  <c r="D40" i="2" s="1"/>
  <c r="D57" i="2" s="1"/>
  <c r="D7" i="4" s="1"/>
  <c r="E69" i="2"/>
  <c r="E70" i="2"/>
  <c r="E77" i="2" s="1"/>
  <c r="E79" i="2" s="1"/>
  <c r="C62" i="2"/>
  <c r="C2" i="3"/>
  <c r="D17" i="1"/>
  <c r="E31" i="2"/>
  <c r="E38" i="2" s="1"/>
  <c r="E40" i="2" s="1"/>
  <c r="E38" i="3" s="1"/>
  <c r="E39" i="3" s="1"/>
  <c r="E43" i="3" s="1"/>
  <c r="C26" i="11" l="1"/>
  <c r="C32" i="11" s="1"/>
  <c r="C25" i="6"/>
  <c r="C27" i="6" s="1"/>
  <c r="C31" i="6" s="1"/>
  <c r="C32" i="6" s="1"/>
  <c r="D18" i="6" s="1"/>
  <c r="D21" i="9"/>
  <c r="B71" i="11" s="1"/>
  <c r="B75" i="11" s="1"/>
  <c r="B23" i="9"/>
  <c r="D38" i="3"/>
  <c r="D39" i="3" s="1"/>
  <c r="D43" i="3" s="1"/>
  <c r="D2" i="3" s="1"/>
  <c r="D60" i="2"/>
  <c r="D19" i="4" s="1"/>
  <c r="F75" i="2"/>
  <c r="E27" i="4"/>
  <c r="E28" i="4" s="1"/>
  <c r="C5" i="3"/>
  <c r="K33" i="4"/>
  <c r="F76" i="2"/>
  <c r="F78" i="2" s="1"/>
  <c r="E71" i="2"/>
  <c r="E17" i="3"/>
  <c r="K28" i="4"/>
  <c r="C4" i="3"/>
  <c r="E2" i="3"/>
  <c r="F31" i="2"/>
  <c r="F38" i="2" s="1"/>
  <c r="F40" i="2" s="1"/>
  <c r="F57" i="2" s="1"/>
  <c r="F7" i="4" s="1"/>
  <c r="E57" i="2"/>
  <c r="E7" i="4" s="1"/>
  <c r="E60" i="2"/>
  <c r="E19" i="4" s="1"/>
  <c r="C28" i="11" l="1"/>
  <c r="C33" i="11"/>
  <c r="C55" i="11" s="1"/>
  <c r="D44" i="6"/>
  <c r="D46" i="6" s="1"/>
  <c r="C6" i="7"/>
  <c r="C10" i="7" s="1"/>
  <c r="C16" i="7" s="1"/>
  <c r="D29" i="6"/>
  <c r="D23" i="9"/>
  <c r="B31" i="9"/>
  <c r="D31" i="9" s="1"/>
  <c r="B83" i="11" s="1"/>
  <c r="D62" i="2"/>
  <c r="D5" i="3" s="1"/>
  <c r="C6" i="3"/>
  <c r="K29" i="4"/>
  <c r="K30" i="4" s="1"/>
  <c r="K34" i="4" s="1"/>
  <c r="K36" i="4" s="1"/>
  <c r="E73" i="2"/>
  <c r="F79" i="2"/>
  <c r="L28" i="4"/>
  <c r="D4" i="3"/>
  <c r="M28" i="4"/>
  <c r="E4" i="3"/>
  <c r="F60" i="2"/>
  <c r="F38" i="3"/>
  <c r="F39" i="3" s="1"/>
  <c r="F43" i="3" s="1"/>
  <c r="E62" i="2"/>
  <c r="G31" i="2"/>
  <c r="G38" i="2" s="1"/>
  <c r="G40" i="2" s="1"/>
  <c r="G38" i="3" s="1"/>
  <c r="G39" i="3" s="1"/>
  <c r="G43" i="3" s="1"/>
  <c r="D30" i="11" l="1"/>
  <c r="D19" i="11" s="1"/>
  <c r="D47" i="6"/>
  <c r="L33" i="4"/>
  <c r="E80" i="2"/>
  <c r="E24" i="4"/>
  <c r="G75" i="2"/>
  <c r="G76" i="2" s="1"/>
  <c r="G78" i="2" s="1"/>
  <c r="F27" i="4"/>
  <c r="F28" i="4" s="1"/>
  <c r="D6" i="3"/>
  <c r="E5" i="3"/>
  <c r="E6" i="3" s="1"/>
  <c r="M33" i="4"/>
  <c r="L29" i="4"/>
  <c r="L30" i="4" s="1"/>
  <c r="M29" i="4"/>
  <c r="M30" i="4" s="1"/>
  <c r="F62" i="2"/>
  <c r="F19" i="4"/>
  <c r="F68" i="2"/>
  <c r="F69" i="2" s="1"/>
  <c r="G2" i="3"/>
  <c r="F2" i="3"/>
  <c r="G57" i="2"/>
  <c r="G7" i="4" s="1"/>
  <c r="G60" i="2"/>
  <c r="G19" i="4" s="1"/>
  <c r="C59" i="11" l="1"/>
  <c r="C65" i="11" s="1"/>
  <c r="D21" i="6"/>
  <c r="D48" i="6"/>
  <c r="L34" i="4"/>
  <c r="L36" i="4" s="1"/>
  <c r="M34" i="4"/>
  <c r="M36" i="4" s="1"/>
  <c r="F5" i="3"/>
  <c r="N33" i="4"/>
  <c r="G79" i="2"/>
  <c r="G27" i="4" s="1"/>
  <c r="G28" i="4" s="1"/>
  <c r="F71" i="2"/>
  <c r="F17" i="3"/>
  <c r="O28" i="4"/>
  <c r="O29" i="4" s="1"/>
  <c r="G4" i="3"/>
  <c r="N28" i="4"/>
  <c r="F4" i="3"/>
  <c r="G62" i="2"/>
  <c r="D10" i="6" l="1"/>
  <c r="D23" i="6" s="1"/>
  <c r="D24" i="6" s="1"/>
  <c r="D30" i="6" s="1"/>
  <c r="D22" i="11"/>
  <c r="D45" i="11"/>
  <c r="D47" i="11" s="1"/>
  <c r="D22" i="7"/>
  <c r="D26" i="7" s="1"/>
  <c r="E20" i="6"/>
  <c r="E21" i="11" s="1"/>
  <c r="D32" i="7"/>
  <c r="F6" i="3"/>
  <c r="G5" i="3"/>
  <c r="G6" i="3" s="1"/>
  <c r="O33" i="4"/>
  <c r="O30" i="4"/>
  <c r="N29" i="4"/>
  <c r="N30" i="4" s="1"/>
  <c r="N34" i="4" s="1"/>
  <c r="N36" i="4" s="1"/>
  <c r="F73" i="2"/>
  <c r="F24" i="4" s="1"/>
  <c r="D25" i="6" l="1"/>
  <c r="D27" i="6" s="1"/>
  <c r="D31" i="6" s="1"/>
  <c r="D32" i="6" s="1"/>
  <c r="E18" i="6" s="1"/>
  <c r="D33" i="7"/>
  <c r="M18" i="7" s="1"/>
  <c r="M19" i="7" s="1"/>
  <c r="M36" i="7" s="1"/>
  <c r="D81" i="11"/>
  <c r="D82" i="11" s="1"/>
  <c r="D48" i="11"/>
  <c r="D34" i="7"/>
  <c r="O34" i="4"/>
  <c r="G68" i="2"/>
  <c r="F80" i="2"/>
  <c r="E29" i="6" l="1"/>
  <c r="D6" i="7"/>
  <c r="D10" i="7" s="1"/>
  <c r="D16" i="7" s="1"/>
  <c r="E44" i="6"/>
  <c r="E46" i="6" s="1"/>
  <c r="E47" i="6" s="1"/>
  <c r="E21" i="6" s="1"/>
  <c r="N19" i="11"/>
  <c r="N20" i="11" s="1"/>
  <c r="M35" i="11" s="1"/>
  <c r="D49" i="11"/>
  <c r="O36" i="4"/>
  <c r="G69" i="2"/>
  <c r="E48" i="6" l="1"/>
  <c r="F20" i="6" s="1"/>
  <c r="F21" i="11" s="1"/>
  <c r="E10" i="6"/>
  <c r="E23" i="6" s="1"/>
  <c r="E24" i="6" s="1"/>
  <c r="E30" i="6" s="1"/>
  <c r="E22" i="11"/>
  <c r="D71" i="11"/>
  <c r="D75" i="11" s="1"/>
  <c r="D83" i="11" s="1"/>
  <c r="D11" i="11"/>
  <c r="E22" i="7"/>
  <c r="E26" i="7" s="1"/>
  <c r="E32" i="7"/>
  <c r="E81" i="11" s="1"/>
  <c r="E82" i="11" s="1"/>
  <c r="G71" i="2"/>
  <c r="G17" i="3"/>
  <c r="D24" i="11" l="1"/>
  <c r="D25" i="11" s="1"/>
  <c r="D31" i="11" s="1"/>
  <c r="E25" i="6"/>
  <c r="E27" i="6" s="1"/>
  <c r="E31" i="6" s="1"/>
  <c r="E32" i="6" s="1"/>
  <c r="F29" i="6" s="1"/>
  <c r="O19" i="11"/>
  <c r="O20" i="11" s="1"/>
  <c r="N35" i="11" s="1"/>
  <c r="E33" i="7"/>
  <c r="N18" i="7" s="1"/>
  <c r="N19" i="7" s="1"/>
  <c r="N36" i="7" s="1"/>
  <c r="G73" i="2"/>
  <c r="E6" i="7" l="1"/>
  <c r="E10" i="7" s="1"/>
  <c r="E16" i="7" s="1"/>
  <c r="F18" i="6"/>
  <c r="D26" i="11"/>
  <c r="E34" i="7"/>
  <c r="G80" i="2"/>
  <c r="G24" i="4"/>
  <c r="F44" i="6" l="1"/>
  <c r="F46" i="6" s="1"/>
  <c r="F47" i="6" s="1"/>
  <c r="D32" i="11"/>
  <c r="D33" i="11" s="1"/>
  <c r="D28" i="11"/>
  <c r="C46" i="3"/>
  <c r="C47" i="3" s="1"/>
  <c r="C10" i="3" s="1"/>
  <c r="F48" i="6" l="1"/>
  <c r="F21" i="6"/>
  <c r="D55" i="11"/>
  <c r="E30" i="11"/>
  <c r="E19" i="11" s="1"/>
  <c r="C48" i="3"/>
  <c r="F10" i="6" l="1"/>
  <c r="F23" i="6" s="1"/>
  <c r="F22" i="11"/>
  <c r="F32" i="7"/>
  <c r="F22" i="7"/>
  <c r="F26" i="7" s="1"/>
  <c r="G20" i="6"/>
  <c r="G21" i="11" s="1"/>
  <c r="D59" i="11"/>
  <c r="D65" i="11" s="1"/>
  <c r="D20" i="3"/>
  <c r="C21" i="4" s="1"/>
  <c r="C31" i="4"/>
  <c r="F33" i="7" l="1"/>
  <c r="F81" i="11"/>
  <c r="F82" i="11" s="1"/>
  <c r="P19" i="11" s="1"/>
  <c r="P20" i="11" s="1"/>
  <c r="O35" i="11" s="1"/>
  <c r="K36" i="11" s="1"/>
  <c r="K39" i="11" s="1"/>
  <c r="F24" i="6"/>
  <c r="F30" i="6" s="1"/>
  <c r="E45" i="11"/>
  <c r="E47" i="11" s="1"/>
  <c r="C32" i="4"/>
  <c r="C23" i="3"/>
  <c r="C25" i="3" s="1"/>
  <c r="F25" i="6" l="1"/>
  <c r="F27" i="6" s="1"/>
  <c r="F31" i="6" s="1"/>
  <c r="F32" i="6" s="1"/>
  <c r="G29" i="6" s="1"/>
  <c r="O18" i="7"/>
  <c r="P18" i="7" s="1"/>
  <c r="F34" i="7"/>
  <c r="E48" i="11"/>
  <c r="K37" i="4"/>
  <c r="F6" i="7" l="1"/>
  <c r="F10" i="7" s="1"/>
  <c r="F16" i="7" s="1"/>
  <c r="G18" i="6"/>
  <c r="G44" i="6" s="1"/>
  <c r="G46" i="6" s="1"/>
  <c r="O19" i="7"/>
  <c r="E49" i="11"/>
  <c r="C26" i="3"/>
  <c r="C23" i="4" s="1"/>
  <c r="O36" i="7" l="1"/>
  <c r="J37" i="7" s="1"/>
  <c r="J40" i="7" s="1"/>
  <c r="P19" i="7"/>
  <c r="G47" i="6"/>
  <c r="G21" i="6" s="1"/>
  <c r="E71" i="11"/>
  <c r="E75" i="11" s="1"/>
  <c r="E83" i="11" s="1"/>
  <c r="E11" i="11"/>
  <c r="E24" i="11" s="1"/>
  <c r="D13" i="3"/>
  <c r="D45" i="3" s="1"/>
  <c r="L15" i="4" s="1"/>
  <c r="L18" i="4" s="1"/>
  <c r="C27" i="3"/>
  <c r="C31" i="3" s="1"/>
  <c r="C32" i="3" s="1"/>
  <c r="G48" i="6" l="1"/>
  <c r="G10" i="6"/>
  <c r="G23" i="6" s="1"/>
  <c r="G22" i="11"/>
  <c r="E25" i="11"/>
  <c r="E31" i="11" s="1"/>
  <c r="C25" i="4"/>
  <c r="C33" i="4" s="1"/>
  <c r="C5" i="4"/>
  <c r="C9" i="4" s="1"/>
  <c r="C15" i="4" s="1"/>
  <c r="D24" i="3"/>
  <c r="D44" i="3"/>
  <c r="D46" i="3" s="1"/>
  <c r="D47" i="3" s="1"/>
  <c r="L16" i="4"/>
  <c r="L20" i="4" s="1"/>
  <c r="L19" i="4"/>
  <c r="D29" i="3"/>
  <c r="G22" i="7" l="1"/>
  <c r="G26" i="7" s="1"/>
  <c r="G32" i="7"/>
  <c r="G24" i="6"/>
  <c r="G30" i="6" s="1"/>
  <c r="E26" i="11"/>
  <c r="E28" i="11" s="1"/>
  <c r="D21" i="3"/>
  <c r="D10" i="3" s="1"/>
  <c r="D23" i="3" s="1"/>
  <c r="D30" i="3" s="1"/>
  <c r="D48" i="3"/>
  <c r="G25" i="6" l="1"/>
  <c r="G27" i="6" s="1"/>
  <c r="G31" i="6" s="1"/>
  <c r="G32" i="6" s="1"/>
  <c r="G6" i="7" s="1"/>
  <c r="G10" i="7" s="1"/>
  <c r="G16" i="7" s="1"/>
  <c r="G33" i="7"/>
  <c r="G34" i="7" s="1"/>
  <c r="G81" i="11"/>
  <c r="G82" i="11" s="1"/>
  <c r="E32" i="11"/>
  <c r="E33" i="11" s="1"/>
  <c r="D25" i="3"/>
  <c r="D26" i="3" s="1"/>
  <c r="D23" i="4" s="1"/>
  <c r="E20" i="3"/>
  <c r="D21" i="4" s="1"/>
  <c r="D31" i="4"/>
  <c r="D32" i="4" s="1"/>
  <c r="L37" i="4" s="1"/>
  <c r="E55" i="11" l="1"/>
  <c r="E59" i="11" s="1"/>
  <c r="E65" i="11" s="1"/>
  <c r="F30" i="11"/>
  <c r="F19" i="11" s="1"/>
  <c r="F45" i="11" s="1"/>
  <c r="F47" i="11" s="1"/>
  <c r="E12" i="3"/>
  <c r="E13" i="3" s="1"/>
  <c r="E45" i="3" s="1"/>
  <c r="M15" i="4" s="1"/>
  <c r="M18" i="4" s="1"/>
  <c r="D27" i="3"/>
  <c r="D31" i="3" s="1"/>
  <c r="D32" i="3" s="1"/>
  <c r="E24" i="3" s="1"/>
  <c r="F48" i="11" l="1"/>
  <c r="D25" i="4"/>
  <c r="D33" i="4" s="1"/>
  <c r="M19" i="4"/>
  <c r="M16" i="4"/>
  <c r="M20" i="4" s="1"/>
  <c r="D5" i="4"/>
  <c r="D9" i="4" s="1"/>
  <c r="D15" i="4" s="1"/>
  <c r="E18" i="3"/>
  <c r="E29" i="3"/>
  <c r="F49" i="11" l="1"/>
  <c r="E44" i="3"/>
  <c r="E46" i="3" s="1"/>
  <c r="F71" i="11" l="1"/>
  <c r="F75" i="11" s="1"/>
  <c r="F83" i="11" s="1"/>
  <c r="F11" i="11"/>
  <c r="F24" i="11" s="1"/>
  <c r="F25" i="11" s="1"/>
  <c r="E47" i="3"/>
  <c r="E21" i="3" s="1"/>
  <c r="E10" i="3" s="1"/>
  <c r="E23" i="3" s="1"/>
  <c r="F31" i="11" l="1"/>
  <c r="E30" i="3"/>
  <c r="E48" i="3"/>
  <c r="F26" i="11" l="1"/>
  <c r="F20" i="3"/>
  <c r="E21" i="4" s="1"/>
  <c r="E31" i="4"/>
  <c r="E32" i="4" s="1"/>
  <c r="M37" i="4" s="1"/>
  <c r="E25" i="3"/>
  <c r="F28" i="11" l="1"/>
  <c r="F32" i="11"/>
  <c r="F33" i="11" s="1"/>
  <c r="E26" i="3"/>
  <c r="G30" i="11" l="1"/>
  <c r="G19" i="11" s="1"/>
  <c r="F55" i="11"/>
  <c r="F12" i="3"/>
  <c r="F13" i="3" s="1"/>
  <c r="F45" i="3" s="1"/>
  <c r="N15" i="4" s="1"/>
  <c r="N18" i="4" s="1"/>
  <c r="E23" i="4"/>
  <c r="E25" i="4" s="1"/>
  <c r="E33" i="4" s="1"/>
  <c r="E27" i="3"/>
  <c r="E31" i="3" s="1"/>
  <c r="E32" i="3" s="1"/>
  <c r="F24" i="3" s="1"/>
  <c r="F59" i="11" l="1"/>
  <c r="F65" i="11" s="1"/>
  <c r="N16" i="4"/>
  <c r="N20" i="4" s="1"/>
  <c r="N19" i="4"/>
  <c r="F18" i="3"/>
  <c r="F29" i="3"/>
  <c r="E5" i="4"/>
  <c r="E9" i="4" s="1"/>
  <c r="E15" i="4" s="1"/>
  <c r="G45" i="11" l="1"/>
  <c r="G47" i="11" s="1"/>
  <c r="F44" i="3"/>
  <c r="F46" i="3" s="1"/>
  <c r="G48" i="11" l="1"/>
  <c r="F47" i="3"/>
  <c r="F21" i="3" s="1"/>
  <c r="F10" i="3" s="1"/>
  <c r="F23" i="3" s="1"/>
  <c r="G49" i="11" l="1"/>
  <c r="F30" i="3"/>
  <c r="F48" i="3"/>
  <c r="G20" i="3" s="1"/>
  <c r="F21" i="4" s="1"/>
  <c r="G11" i="11" l="1"/>
  <c r="G24" i="11" s="1"/>
  <c r="F31" i="4"/>
  <c r="F25" i="3"/>
  <c r="G71" i="11" l="1"/>
  <c r="G75" i="11" s="1"/>
  <c r="G83" i="11" s="1"/>
  <c r="G25" i="11"/>
  <c r="G26" i="11" s="1"/>
  <c r="F32" i="4"/>
  <c r="N37" i="4" s="1"/>
  <c r="F26" i="3"/>
  <c r="G31" i="11" l="1"/>
  <c r="G32" i="11"/>
  <c r="G28" i="11"/>
  <c r="G12" i="3"/>
  <c r="G13" i="3" s="1"/>
  <c r="G45" i="3" s="1"/>
  <c r="F23" i="4"/>
  <c r="F25" i="4" s="1"/>
  <c r="F33" i="4" s="1"/>
  <c r="F27" i="3"/>
  <c r="F31" i="3" s="1"/>
  <c r="F32" i="3" s="1"/>
  <c r="G24" i="3" s="1"/>
  <c r="G33" i="11" l="1"/>
  <c r="G55" i="11" s="1"/>
  <c r="G59" i="11" s="1"/>
  <c r="G65" i="11" s="1"/>
  <c r="O15" i="4"/>
  <c r="O18" i="4" s="1"/>
  <c r="F5" i="4"/>
  <c r="F9" i="4" s="1"/>
  <c r="F15" i="4" s="1"/>
  <c r="G29" i="3"/>
  <c r="G18" i="3"/>
  <c r="G44" i="3" s="1"/>
  <c r="G46" i="3" s="1"/>
  <c r="G47" i="3" s="1"/>
  <c r="O16" i="4" l="1"/>
  <c r="O20" i="4" s="1"/>
  <c r="O19" i="4"/>
  <c r="G21" i="3"/>
  <c r="G10" i="3" s="1"/>
  <c r="G23" i="3" s="1"/>
  <c r="G25" i="3" s="1"/>
  <c r="G30" i="3"/>
  <c r="G48" i="3"/>
  <c r="G31" i="4" l="1"/>
  <c r="G32" i="4" s="1"/>
  <c r="G21" i="4"/>
  <c r="G26" i="3"/>
  <c r="O37" i="4"/>
  <c r="J38" i="4" s="1"/>
  <c r="J41" i="4" s="1"/>
  <c r="G27" i="3" l="1"/>
  <c r="G31" i="3" s="1"/>
  <c r="G32" i="3" s="1"/>
  <c r="G5" i="4" s="1"/>
  <c r="G9" i="4" s="1"/>
  <c r="G15" i="4" s="1"/>
  <c r="G23" i="4"/>
  <c r="G25" i="4" s="1"/>
  <c r="G33" i="4" s="1"/>
</calcChain>
</file>

<file path=xl/comments1.xml><?xml version="1.0" encoding="utf-8"?>
<comments xmlns="http://schemas.openxmlformats.org/spreadsheetml/2006/main">
  <authors>
    <author>Ana Luiza</author>
  </authors>
  <commentList>
    <comment ref="A6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de onde veio isso
</t>
        </r>
      </text>
    </comment>
    <comment ref="A19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aves *(1+%mort)</t>
        </r>
      </text>
    </comment>
    <comment ref="A25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aves abatidas*% de aves próprias*3,5kg*R$/kg</t>
        </r>
      </text>
    </comment>
    <comment ref="A26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Custo*Qtde nec*60%</t>
        </r>
      </text>
    </comment>
    <comment ref="A27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custo do frango*(1+inflação)*%terceiros*aves abatidas no período/1000</t>
        </r>
      </text>
    </comment>
    <comment ref="A28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custo inflacionado x aves abatidas no período</t>
        </r>
      </text>
    </comment>
    <comment ref="A36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90%*%depreciação*imobilizado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10%*%deprec*imobilizado</t>
        </r>
      </text>
    </comment>
  </commentList>
</comments>
</file>

<file path=xl/comments2.xml><?xml version="1.0" encoding="utf-8"?>
<comments xmlns="http://schemas.openxmlformats.org/spreadsheetml/2006/main">
  <authors>
    <author>Ana Luiza</author>
  </authors>
  <commentList>
    <comment ref="A8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aquisição+90%dep = aquisição + dep dos custos de produção</t>
        </r>
      </text>
    </comment>
  </commentList>
</comments>
</file>

<file path=xl/comments3.xml><?xml version="1.0" encoding="utf-8"?>
<comments xmlns="http://schemas.openxmlformats.org/spreadsheetml/2006/main">
  <authors>
    <author>Ana Luiza</author>
  </authors>
  <commentList>
    <comment ref="I15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despesas financeiras/financiamento</t>
        </r>
      </text>
    </comment>
  </commentList>
</comments>
</file>

<file path=xl/comments4.xml><?xml version="1.0" encoding="utf-8"?>
<comments xmlns="http://schemas.openxmlformats.org/spreadsheetml/2006/main">
  <authors>
    <author>Ana Luiza</author>
  </authors>
  <commentList>
    <comment ref="A6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de onde veio isso
</t>
        </r>
      </text>
    </comment>
    <comment ref="A19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aves *(1+%mort)</t>
        </r>
      </text>
    </comment>
    <comment ref="A25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aves abatidas*% de aves próprias*3,5kg*R$/kg</t>
        </r>
      </text>
    </comment>
    <comment ref="A26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Custo*Qtde nec*60%</t>
        </r>
      </text>
    </comment>
  </commentList>
</comments>
</file>

<file path=xl/comments5.xml><?xml version="1.0" encoding="utf-8"?>
<comments xmlns="http://schemas.openxmlformats.org/spreadsheetml/2006/main">
  <authors>
    <author>Ana Luiza</author>
  </authors>
  <commentList>
    <comment ref="A14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por que todo ano 7.600?</t>
        </r>
      </text>
    </comment>
  </commentList>
</comments>
</file>

<file path=xl/comments6.xml><?xml version="1.0" encoding="utf-8"?>
<comments xmlns="http://schemas.openxmlformats.org/spreadsheetml/2006/main">
  <authors>
    <author>Ana Luiza</author>
  </authors>
  <commentList>
    <comment ref="C18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modificado para os valores do ano 1</t>
        </r>
      </text>
    </comment>
  </commentList>
</comments>
</file>

<file path=xl/comments7.xml><?xml version="1.0" encoding="utf-8"?>
<comments xmlns="http://schemas.openxmlformats.org/spreadsheetml/2006/main">
  <authors>
    <author>Ana Luiza</author>
  </authors>
  <commentList>
    <comment ref="A8" authorId="0" shapeId="0">
      <text>
        <r>
          <rPr>
            <b/>
            <sz val="9"/>
            <color indexed="81"/>
            <rFont val="Segoe UI"/>
            <family val="2"/>
          </rPr>
          <t>Ana Luiza:</t>
        </r>
        <r>
          <rPr>
            <sz val="9"/>
            <color indexed="81"/>
            <rFont val="Segoe UI"/>
            <family val="2"/>
          </rPr>
          <t xml:space="preserve">
diferença de 1% na taxa</t>
        </r>
      </text>
    </comment>
  </commentList>
</comments>
</file>

<file path=xl/sharedStrings.xml><?xml version="1.0" encoding="utf-8"?>
<sst xmlns="http://schemas.openxmlformats.org/spreadsheetml/2006/main" count="1172" uniqueCount="319">
  <si>
    <t>DEMONSTRAÇÃO DO RESULTADO DO EXERCÍCIO</t>
  </si>
  <si>
    <t>19X8</t>
  </si>
  <si>
    <t>19X9</t>
  </si>
  <si>
    <t>20X0</t>
  </si>
  <si>
    <t>Receita Operacional Bruta</t>
  </si>
  <si>
    <t>Impostos e deduções sobre vendas e serviços</t>
  </si>
  <si>
    <t>Receita operacional líquida</t>
  </si>
  <si>
    <t>Custo dos produtos vendidos</t>
  </si>
  <si>
    <t>Lucro Bruto</t>
  </si>
  <si>
    <t>Depreciação</t>
  </si>
  <si>
    <t>Despesas administrativas</t>
  </si>
  <si>
    <t>Despesas comerciais</t>
  </si>
  <si>
    <t>Resultado da atividade</t>
  </si>
  <si>
    <t>Receitas financeiras</t>
  </si>
  <si>
    <t>Despesas financeiras</t>
  </si>
  <si>
    <t>Lucro (prejuízo) antes do IR</t>
  </si>
  <si>
    <t>Provisão para IR + Contribuição Social</t>
  </si>
  <si>
    <t>Lucro (prejuízo) líquido</t>
  </si>
  <si>
    <t>ATIVO</t>
  </si>
  <si>
    <t>Circulante</t>
  </si>
  <si>
    <t>Caixa e aplicações financeiras</t>
  </si>
  <si>
    <t>Duplicatas a receber</t>
  </si>
  <si>
    <t>Estoques</t>
  </si>
  <si>
    <t>Outros</t>
  </si>
  <si>
    <t>Não circulante</t>
  </si>
  <si>
    <t>Imobilizado</t>
  </si>
  <si>
    <t>- depreciação acumulada</t>
  </si>
  <si>
    <t>Imobilizado líquido</t>
  </si>
  <si>
    <t>TOTAL DO ATIVO</t>
  </si>
  <si>
    <t>PASSIVO + PATRIMÔNIO LÍQUIDO</t>
  </si>
  <si>
    <t>Fornecedores</t>
  </si>
  <si>
    <t>Obrigações Fiscais</t>
  </si>
  <si>
    <t>Empréstimos para a cobertura do caixa</t>
  </si>
  <si>
    <t>Financiamentos de curto prazo</t>
  </si>
  <si>
    <t>Dividendos a pagar</t>
  </si>
  <si>
    <t>Não Circulante</t>
  </si>
  <si>
    <t>Financiamentos</t>
  </si>
  <si>
    <t>Patrimônio Líquido</t>
  </si>
  <si>
    <t>Capital realizado</t>
  </si>
  <si>
    <t>Reservas</t>
  </si>
  <si>
    <t>TOTAL DO PASSIVO + PATRIMÔNIO LÍQUIDO</t>
  </si>
  <si>
    <t>Margem Bruta</t>
  </si>
  <si>
    <t>Margem Líquida</t>
  </si>
  <si>
    <t>PREMISSAS MACROECONÔMICAS</t>
  </si>
  <si>
    <t>TAXAS ANUAIS</t>
  </si>
  <si>
    <t>Taxa de crescimento do PIB</t>
  </si>
  <si>
    <t>Taxa de inflação brasileira</t>
  </si>
  <si>
    <t>Taxa de inflação americana</t>
  </si>
  <si>
    <t>Taxa de inflação brasileira acumulada</t>
  </si>
  <si>
    <t>CDI</t>
  </si>
  <si>
    <t>TJLP</t>
  </si>
  <si>
    <t>Taxa para fechamento do Caixa = Hot Money</t>
  </si>
  <si>
    <t>Ano-Base</t>
  </si>
  <si>
    <t>Ano 1</t>
  </si>
  <si>
    <t>Ano 2</t>
  </si>
  <si>
    <t>Ano 3</t>
  </si>
  <si>
    <t>Ano 4</t>
  </si>
  <si>
    <t>Ano 5</t>
  </si>
  <si>
    <t>Capacidade de Produção (aves abatidas por dia)</t>
  </si>
  <si>
    <t>Ano 4 em diante</t>
  </si>
  <si>
    <t>Preço médio de Venda</t>
  </si>
  <si>
    <t>por kg corrigido pela inflação</t>
  </si>
  <si>
    <t>Perdas estimadas</t>
  </si>
  <si>
    <t>Impostos sobre vendas</t>
  </si>
  <si>
    <t xml:space="preserve"> sobre Vendas Projetadas</t>
  </si>
  <si>
    <t>Depreciação do imobilizado</t>
  </si>
  <si>
    <t>ao ano, 90% de depreciação alocada ao custo de produção</t>
  </si>
  <si>
    <t>Taxa de mortalidade</t>
  </si>
  <si>
    <t>Distribuição de aves próprias e de terceiros</t>
  </si>
  <si>
    <t>Anos 4 - 5</t>
  </si>
  <si>
    <t>% aves próprias</t>
  </si>
  <si>
    <t>% aves de terceiros</t>
  </si>
  <si>
    <t>Custos variáveis unitários estimados para o ano 1</t>
  </si>
  <si>
    <t>Custo da ração (R$/kg)</t>
  </si>
  <si>
    <t>Custo do pinto (R$)</t>
  </si>
  <si>
    <t>Custo do frango de terceiros (R$)</t>
  </si>
  <si>
    <t>Custo da energia (R$/ave abatida)</t>
  </si>
  <si>
    <t>Custo da embalagem (R$/ave alojada)</t>
  </si>
  <si>
    <t>Outro custo variáveis (R$/ave alojada)</t>
  </si>
  <si>
    <t>corrigidos com base na inflação</t>
  </si>
  <si>
    <t>quantidade anual de ração consumida é 3,5kg por ave alojada própria</t>
  </si>
  <si>
    <t>Outros custos fixos desembolsáveis projetados para o ano 1</t>
  </si>
  <si>
    <t>Pessoal (R$ mil)</t>
  </si>
  <si>
    <t>Serviços de terceiros (R$ mil)</t>
  </si>
  <si>
    <t>Despesas administrativas projetadas para o ano 1</t>
  </si>
  <si>
    <t>Outros (R$ mil)</t>
  </si>
  <si>
    <t>Investimentos em Imobilizado</t>
  </si>
  <si>
    <t>A empresa investe todo ano 90% da depreciação do ano</t>
  </si>
  <si>
    <t>Financiamento de longo prazo</t>
  </si>
  <si>
    <t>Longo prazo</t>
  </si>
  <si>
    <t>Curto prazo</t>
  </si>
  <si>
    <t>Taxa de juros da dívida</t>
  </si>
  <si>
    <t>paga em 4 parcelas iguais</t>
  </si>
  <si>
    <t>Financiamento de curto prazo</t>
  </si>
  <si>
    <t>Taxa de juros</t>
  </si>
  <si>
    <t>Distribuição de dividendos</t>
  </si>
  <si>
    <t>do lucro líquido</t>
  </si>
  <si>
    <t>Taxa livre de risco</t>
  </si>
  <si>
    <t>Risco país</t>
  </si>
  <si>
    <t>Prêmio de mercado</t>
  </si>
  <si>
    <t>Beta desalavancado</t>
  </si>
  <si>
    <t>RECEITAS</t>
  </si>
  <si>
    <t>Dias de abate</t>
  </si>
  <si>
    <t>Aves abatidas por dia</t>
  </si>
  <si>
    <t>Aves abatidas por período</t>
  </si>
  <si>
    <t>Peso médio do frango vivo (kg/unidade)</t>
  </si>
  <si>
    <t>Quantidade produzida no período (kg)</t>
  </si>
  <si>
    <t>% de perda no período</t>
  </si>
  <si>
    <t>Quantidade produzida (kg) - ajustada pelas perdas</t>
  </si>
  <si>
    <t>Preço médio (R$/kg)</t>
  </si>
  <si>
    <t>Total do Faturamento - em R$ mil</t>
  </si>
  <si>
    <t>% de mortalidade</t>
  </si>
  <si>
    <t>Necessidade de frangos alojados por período</t>
  </si>
  <si>
    <t>% de aves abatidas próprias</t>
  </si>
  <si>
    <t>% de aves abatidas de terceiros</t>
  </si>
  <si>
    <r>
      <t xml:space="preserve">Empresa </t>
    </r>
    <r>
      <rPr>
        <b/>
        <i/>
        <sz val="11"/>
        <color theme="1"/>
        <rFont val="Calibri"/>
        <family val="2"/>
        <scheme val="minor"/>
      </rPr>
      <t>Saint-Louis</t>
    </r>
  </si>
  <si>
    <t>Custo Variáveis - R$ mil</t>
  </si>
  <si>
    <t>Ração</t>
  </si>
  <si>
    <t>Pinto</t>
  </si>
  <si>
    <t>Frango de terceiros</t>
  </si>
  <si>
    <t>Energia Elétrica</t>
  </si>
  <si>
    <t>Embalagens</t>
  </si>
  <si>
    <t>Custos Variáveis Totais - R$ mil</t>
  </si>
  <si>
    <t>Custos fixos desembolsáveis - R$ mil</t>
  </si>
  <si>
    <t>Pessoal</t>
  </si>
  <si>
    <t>Serviços de terceiros</t>
  </si>
  <si>
    <t>Custos fixos totais - R$ mil</t>
  </si>
  <si>
    <t>Custos de produção totais - variáveis + fixos - R$ mil</t>
  </si>
  <si>
    <t>Custo dos Produtos Vendidos</t>
  </si>
  <si>
    <t>DEPRECIAÇÃO DO PERÍODO ALOCADA A DESPESAS</t>
  </si>
  <si>
    <t>DESPESAS ADMINISTRATIVAS</t>
  </si>
  <si>
    <t>Despesas Totais</t>
  </si>
  <si>
    <t>DESPESAS COMERCIAIS</t>
  </si>
  <si>
    <t>Percentual de Desp. Comerciais sobre Vendas Brutas</t>
  </si>
  <si>
    <t>Despesas Comerciais</t>
  </si>
  <si>
    <t>Necessidade de Capital de Giro - R$ mil</t>
  </si>
  <si>
    <t>+ Estoques</t>
  </si>
  <si>
    <t>+ Outros ativos</t>
  </si>
  <si>
    <t>- Obrigações fiscais</t>
  </si>
  <si>
    <t>- Fornecedores</t>
  </si>
  <si>
    <t>- Outros passivos</t>
  </si>
  <si>
    <t>Necessidade de Capital de Giro</t>
  </si>
  <si>
    <t>FINANCIAMENTO ATUAL</t>
  </si>
  <si>
    <t>Curto Prazo</t>
  </si>
  <si>
    <t>(+) Juros sobre curto prazo</t>
  </si>
  <si>
    <t>(+) Transferências de longo prazo</t>
  </si>
  <si>
    <t>(-) Pagamento de juros do período</t>
  </si>
  <si>
    <t>(-) Pagamento de principal</t>
  </si>
  <si>
    <t>Saldo Final</t>
  </si>
  <si>
    <t>Saldo Inicial</t>
  </si>
  <si>
    <t>Longo Prazo</t>
  </si>
  <si>
    <t>(+) Juros sobre longo prazo</t>
  </si>
  <si>
    <t>(-) Transferências para curto prazo</t>
  </si>
  <si>
    <t>Total de curto e longo prazo</t>
  </si>
  <si>
    <t>FINANCIAMENTO NOVO</t>
  </si>
  <si>
    <t>Taxas de juros</t>
  </si>
  <si>
    <t>(+) Transferências para longo prazo</t>
  </si>
  <si>
    <t>(+) Novos financiamentos</t>
  </si>
  <si>
    <r>
      <rPr>
        <b/>
        <sz val="11"/>
        <color theme="1"/>
        <rFont val="Calibri"/>
        <family val="2"/>
        <scheme val="minor"/>
      </rPr>
      <t>DEMONSTRAÇÃO DE FLUXO DE CAIXA - Método Indireto</t>
    </r>
    <r>
      <rPr>
        <sz val="11"/>
        <color theme="1"/>
        <rFont val="Calibri"/>
        <family val="2"/>
        <scheme val="minor"/>
      </rPr>
      <t xml:space="preserve"> (partindo do EBIT)</t>
    </r>
  </si>
  <si>
    <t>R$ mil</t>
  </si>
  <si>
    <t>EBIT (ou Resultado da Atividade)</t>
  </si>
  <si>
    <t>(+) Depreciação do período</t>
  </si>
  <si>
    <t>EBITDA</t>
  </si>
  <si>
    <t>(-) Variação da NCG</t>
  </si>
  <si>
    <t>Fluxo de Caixa Operacional</t>
  </si>
  <si>
    <t>Fluxo de Investimentos</t>
  </si>
  <si>
    <t>(-) Aquisição de Imobilizado</t>
  </si>
  <si>
    <t>(-) Desembolsos com RLP</t>
  </si>
  <si>
    <t>Fluxo dos Financiamentos</t>
  </si>
  <si>
    <t>Novos empréstimos de curto prazo</t>
  </si>
  <si>
    <t>(-) Amortização de principal</t>
  </si>
  <si>
    <t>(-) Pagamento de juros e/ou variação monetária</t>
  </si>
  <si>
    <t>(+) Novos financiamentos de curto e longo prazo</t>
  </si>
  <si>
    <t>(-) Amortização de financiamentos de curto e longo prazo</t>
  </si>
  <si>
    <t>(-) Pag. De juros de financiamentos de curto e longo prazo</t>
  </si>
  <si>
    <t>(+) Recebimento de receitas financeiras</t>
  </si>
  <si>
    <t>(+) Integralização de capital</t>
  </si>
  <si>
    <t>(-) Pagamento de dividendos</t>
  </si>
  <si>
    <t>(-) Pagamento de IR  e CSLL</t>
  </si>
  <si>
    <t>Superávit (Déficit) de Caixa no Período (a-b+c)</t>
  </si>
  <si>
    <t>(+) Baixa nas aplicações financeiras (considerando juros)</t>
  </si>
  <si>
    <t>Geração de Caixa no Período após baixa</t>
  </si>
  <si>
    <t>(+) Novos empréstimos de curto prazo</t>
  </si>
  <si>
    <t>Geração de Caixa Ajustada</t>
  </si>
  <si>
    <t>Saldo Inicial de Aplicações Financeiras</t>
  </si>
  <si>
    <t>(-) Baixa nas aplicações</t>
  </si>
  <si>
    <t>(+) Novas aplicações (baixa)</t>
  </si>
  <si>
    <t>(=) Saldo Final de Aplicações Financeiras</t>
  </si>
  <si>
    <t>DEMONSTRAÇÃO DO RESULTADO</t>
  </si>
  <si>
    <t>Encargos sobre vendas</t>
  </si>
  <si>
    <t>Receita Operacional líquida</t>
  </si>
  <si>
    <t>Custo das mercadorias vendidas</t>
  </si>
  <si>
    <t>Depreciação do período</t>
  </si>
  <si>
    <t>Resultado da atividade (EBIT)</t>
  </si>
  <si>
    <t>Despesas Financeiras</t>
  </si>
  <si>
    <t>Resultado Líquido antes do IR</t>
  </si>
  <si>
    <t>Provisão para IR + CSLL</t>
  </si>
  <si>
    <t>Resultado Líquido</t>
  </si>
  <si>
    <t>BALANÇO PATRIMONIAL R$ mil</t>
  </si>
  <si>
    <t>Outros ativos</t>
  </si>
  <si>
    <t>Imobilizado - custo</t>
  </si>
  <si>
    <t>Depreciações acumuladas</t>
  </si>
  <si>
    <t>Outros passivos</t>
  </si>
  <si>
    <t>Capital Realizado</t>
  </si>
  <si>
    <t>CÁLCULO DO CUSTO DE CAPITAL</t>
  </si>
  <si>
    <t>Alíquota marginal do IR + CSLL</t>
  </si>
  <si>
    <t>Custo do Capital Próprio</t>
  </si>
  <si>
    <t>Risco-Brasil</t>
  </si>
  <si>
    <t>Beta não alavancado</t>
  </si>
  <si>
    <r>
      <t>Custo de capital próprio não alavancado (K</t>
    </r>
    <r>
      <rPr>
        <sz val="8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) em US$ nominal</t>
    </r>
  </si>
  <si>
    <r>
      <t>Inflação esperada EUA (</t>
    </r>
    <r>
      <rPr>
        <sz val="11"/>
        <color theme="1"/>
        <rFont val="Calibri"/>
        <family val="2"/>
      </rPr>
      <t>π EUA)</t>
    </r>
  </si>
  <si>
    <t>Inflação esperada Brasil (π Brasil)</t>
  </si>
  <si>
    <r>
      <t>Custo de capital próprio não alavancado (K</t>
    </r>
    <r>
      <rPr>
        <sz val="8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) em R$ nominal</t>
    </r>
  </si>
  <si>
    <t>Custo do capital de terceiros (taxas nominais)</t>
  </si>
  <si>
    <t>Custo do capital de terceiros x (1-t)</t>
  </si>
  <si>
    <t>WACC</t>
  </si>
  <si>
    <r>
      <t>K</t>
    </r>
    <r>
      <rPr>
        <sz val="8"/>
        <color theme="1"/>
        <rFont val="Calibri"/>
        <family val="2"/>
        <scheme val="minor"/>
      </rPr>
      <t>e</t>
    </r>
  </si>
  <si>
    <r>
      <t>K</t>
    </r>
    <r>
      <rPr>
        <sz val="8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x (1-t)</t>
    </r>
  </si>
  <si>
    <t>VALUATION</t>
  </si>
  <si>
    <r>
      <t>Método do Fluxo de Caixa Livre (</t>
    </r>
    <r>
      <rPr>
        <i/>
        <sz val="11"/>
        <color theme="1"/>
        <rFont val="Calibri"/>
        <family val="2"/>
        <scheme val="minor"/>
      </rPr>
      <t>Free Cash Flow</t>
    </r>
    <r>
      <rPr>
        <sz val="11"/>
        <color theme="1"/>
        <rFont val="Calibri"/>
        <family val="2"/>
        <scheme val="minor"/>
      </rPr>
      <t>)</t>
    </r>
  </si>
  <si>
    <t>MÉTODO DO FLUXO DE CAIXA LIVRE DA EMPRESA</t>
  </si>
  <si>
    <t>EBIT</t>
  </si>
  <si>
    <t>(-) IR sobre EBIT</t>
  </si>
  <si>
    <t>(=) NOPAT</t>
  </si>
  <si>
    <t>(-) Desemb. Capital Fixo (CAPEX)</t>
  </si>
  <si>
    <t>Fluxo de Caixa Livre da Empresa (FCFF)</t>
  </si>
  <si>
    <t>Valor Residual</t>
  </si>
  <si>
    <t>Fluxo de Caixa Livre da Empresa + VR</t>
  </si>
  <si>
    <t>Valor Presente</t>
  </si>
  <si>
    <t>Valor das Operações da Empresa</t>
  </si>
  <si>
    <t>+ Ativos não operacionais</t>
  </si>
  <si>
    <t>- Dívidas</t>
  </si>
  <si>
    <t>Valor Econômico da Empresa para o Acionista</t>
  </si>
  <si>
    <t>Frangobom</t>
  </si>
  <si>
    <t>Impostos e deduções sobre vendas</t>
  </si>
  <si>
    <t>31-12-X0</t>
  </si>
  <si>
    <t>Ano 3 em diante</t>
  </si>
  <si>
    <t>das Vendas Brutas projetadas</t>
  </si>
  <si>
    <t>90% da depreciação alocada ao custo de produção</t>
  </si>
  <si>
    <t>As despesas comerciais serão projetadas com base no mesmo percentual sobre vendas existentes na data base</t>
  </si>
  <si>
    <t xml:space="preserve">A empresa financiará 70% </t>
  </si>
  <si>
    <t>Pagamento em 3 parcelas anuais, a uma taxa de 13% a.a.</t>
  </si>
  <si>
    <t>A empresa investe todo ano 100% da depreciação</t>
  </si>
  <si>
    <t>paga em 6 parcelas iguais</t>
  </si>
  <si>
    <t>Imposto de Renda</t>
  </si>
  <si>
    <t>PMRV</t>
  </si>
  <si>
    <t>dias</t>
  </si>
  <si>
    <t>PMRE</t>
  </si>
  <si>
    <t>PMObrig</t>
  </si>
  <si>
    <t>PMPF</t>
  </si>
  <si>
    <t>IR</t>
  </si>
  <si>
    <t>despesas</t>
  </si>
  <si>
    <t>Lucro Líquido -R$ mil</t>
  </si>
  <si>
    <t>g</t>
  </si>
  <si>
    <t>Ano</t>
  </si>
  <si>
    <t>LONGO PRAZO</t>
  </si>
  <si>
    <t>Capacidade de produção</t>
  </si>
  <si>
    <t>Preço médio de venda</t>
  </si>
  <si>
    <t>/kg</t>
  </si>
  <si>
    <t>corrigido pela inflação</t>
  </si>
  <si>
    <t>Depreciação do Imob</t>
  </si>
  <si>
    <t>será alocada ao custo de produção</t>
  </si>
  <si>
    <t>Custo da energia (R$/ave alojada)</t>
  </si>
  <si>
    <t>Custo da embalagem (R$/ave abatida)</t>
  </si>
  <si>
    <t>Outros custos variáveis (R$/ave alojada)</t>
  </si>
  <si>
    <t>Custos fixos (inflação)</t>
  </si>
  <si>
    <t>Serviço de terceiros (R$ mil)</t>
  </si>
  <si>
    <t>Queda de 10% nas despesas administrativas</t>
  </si>
  <si>
    <t>PME</t>
  </si>
  <si>
    <t>PMP</t>
  </si>
  <si>
    <t>PMROF</t>
  </si>
  <si>
    <t>Dividendos</t>
  </si>
  <si>
    <t>Saint-Louis</t>
  </si>
  <si>
    <t>Combinada</t>
  </si>
  <si>
    <t>Caixa e Aplicações Financeiras</t>
  </si>
  <si>
    <t>- Depreciação acumulada</t>
  </si>
  <si>
    <t>Imobilizado Líquido</t>
  </si>
  <si>
    <t>Receita operacional bruta</t>
  </si>
  <si>
    <t>Receita Operacional Líquida</t>
  </si>
  <si>
    <t>Lucro (Prejuízo) Líquido</t>
  </si>
  <si>
    <t>Empresa Frangobom Saint-Louis</t>
  </si>
  <si>
    <t>% aves abatidas de terceiros</t>
  </si>
  <si>
    <t>% aves abatidas próprias</t>
  </si>
  <si>
    <t>Custos Variáveis - R$ mil</t>
  </si>
  <si>
    <t>Custos variáveis totais - R$ mil</t>
  </si>
  <si>
    <t>Custos fixos - R$ mil</t>
  </si>
  <si>
    <t>Serviço de terceiros</t>
  </si>
  <si>
    <t>Despesas totais</t>
  </si>
  <si>
    <t>+ Outros Ativos</t>
  </si>
  <si>
    <t>Saldo final</t>
  </si>
  <si>
    <t>(+) Transferências de curto prazo</t>
  </si>
  <si>
    <t>FINANCIAMENTO NOVO 1</t>
  </si>
  <si>
    <t>FINANCIAMENTO NOVO 2</t>
  </si>
  <si>
    <t>DEMONSTRAÇÃO DO FLUXO DE CAIXA - Método Indireto (partindo do EBIT)</t>
  </si>
  <si>
    <t>(-) Amortizações de financiamentos de curto e longo prazo</t>
  </si>
  <si>
    <t xml:space="preserve">(-) Pagamento de dividendos </t>
  </si>
  <si>
    <t>(-) Pagamento de IR + CSLL</t>
  </si>
  <si>
    <t>Geração de caixa no período após baixa</t>
  </si>
  <si>
    <t>Geração de caixa ajustada</t>
  </si>
  <si>
    <t>Lucro bruto</t>
  </si>
  <si>
    <t>Resultado líquido antes do IR</t>
  </si>
  <si>
    <t>BALANÇO PATRIMONIAL - R$ mil</t>
  </si>
  <si>
    <t>Obrigações fiscais</t>
  </si>
  <si>
    <t>Alíquota marginal do IR - CSLL</t>
  </si>
  <si>
    <t>Ano Base</t>
  </si>
  <si>
    <t>Custo do capital próprio</t>
  </si>
  <si>
    <t>Risco Brasil</t>
  </si>
  <si>
    <r>
      <t xml:space="preserve">Custo do capital de terceiros x (1 -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</si>
  <si>
    <r>
      <t>K</t>
    </r>
    <r>
      <rPr>
        <sz val="9"/>
        <color theme="1"/>
        <rFont val="Calibri"/>
        <family val="2"/>
        <scheme val="minor"/>
      </rPr>
      <t>e</t>
    </r>
  </si>
  <si>
    <t>Valores em R$ mil</t>
  </si>
  <si>
    <t>Custo bruto de capital de terceiros (Ki)</t>
  </si>
  <si>
    <t>Investimento em Imobilizado</t>
  </si>
  <si>
    <t>Financiamento</t>
  </si>
  <si>
    <t>Amort</t>
  </si>
  <si>
    <t>Juros</t>
  </si>
  <si>
    <t>Perpetuidade</t>
  </si>
  <si>
    <t>a despesas</t>
  </si>
  <si>
    <t>Imposto</t>
  </si>
  <si>
    <t>Saldo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</si>
</sst>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%"/>
    <numFmt numFmtId="167" formatCode="_-&quot;R$&quot;\ * #,##0.0000_-;\-&quot;R$&quot;\ * #,##0.0000_-;_-&quot;R$&quot;\ * &quot;-&quot;??_-;_-@_-"/>
    <numFmt numFmtId="168" formatCode="0.0000000"/>
    <numFmt numFmtId="169" formatCode="_-* #,##0.000_-;\-* #,##0.000_-;_-* &quot;-&quot;??_-;_-@_-"/>
    <numFmt numFmtId="170" formatCode="_-* #,##0.0_-;\-* #,##0.0_-;_-* &quot;-&quot;?_-;_-@_-"/>
    <numFmt numFmtId="171" formatCode="0.0"/>
    <numFmt numFmtId="172" formatCode="_-* #,##0_-;\-* #,##0_-;_-* &quot;-&quot;?_-;_-@_-"/>
    <numFmt numFmtId="173" formatCode="0.00000000000%"/>
    <numFmt numFmtId="175" formatCode="0.0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8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" xfId="0" applyFill="1" applyBorder="1"/>
    <xf numFmtId="164" fontId="0" fillId="3" borderId="2" xfId="1" applyNumberFormat="1" applyFont="1" applyFill="1" applyBorder="1"/>
    <xf numFmtId="164" fontId="0" fillId="3" borderId="3" xfId="1" applyNumberFormat="1" applyFont="1" applyFill="1" applyBorder="1"/>
    <xf numFmtId="164" fontId="0" fillId="3" borderId="4" xfId="1" applyNumberFormat="1" applyFont="1" applyFill="1" applyBorder="1"/>
    <xf numFmtId="164" fontId="0" fillId="3" borderId="1" xfId="1" applyNumberFormat="1" applyFont="1" applyFill="1" applyBorder="1"/>
    <xf numFmtId="164" fontId="0" fillId="2" borderId="2" xfId="1" applyNumberFormat="1" applyFont="1" applyFill="1" applyBorder="1"/>
    <xf numFmtId="164" fontId="0" fillId="2" borderId="1" xfId="1" applyNumberFormat="1" applyFont="1" applyFill="1" applyBorder="1"/>
    <xf numFmtId="165" fontId="0" fillId="2" borderId="0" xfId="0" applyNumberFormat="1" applyFill="1"/>
    <xf numFmtId="0" fontId="0" fillId="2" borderId="4" xfId="0" quotePrefix="1" applyFill="1" applyBorder="1"/>
    <xf numFmtId="164" fontId="0" fillId="2" borderId="0" xfId="1" applyNumberFormat="1" applyFont="1" applyFill="1"/>
    <xf numFmtId="0" fontId="0" fillId="2" borderId="8" xfId="0" applyFill="1" applyBorder="1"/>
    <xf numFmtId="0" fontId="0" fillId="2" borderId="9" xfId="0" applyFill="1" applyBorder="1"/>
    <xf numFmtId="9" fontId="0" fillId="3" borderId="1" xfId="3" applyFont="1" applyFill="1" applyBorder="1"/>
    <xf numFmtId="166" fontId="0" fillId="3" borderId="1" xfId="3" applyNumberFormat="1" applyFont="1" applyFill="1" applyBorder="1"/>
    <xf numFmtId="0" fontId="0" fillId="2" borderId="1" xfId="0" applyFill="1" applyBorder="1" applyAlignment="1">
      <alignment horizontal="center"/>
    </xf>
    <xf numFmtId="166" fontId="0" fillId="2" borderId="1" xfId="3" applyNumberFormat="1" applyFont="1" applyFill="1" applyBorder="1"/>
    <xf numFmtId="166" fontId="0" fillId="3" borderId="1" xfId="3" quotePrefix="1" applyNumberFormat="1" applyFont="1" applyFill="1" applyBorder="1"/>
    <xf numFmtId="3" fontId="0" fillId="3" borderId="1" xfId="0" applyNumberFormat="1" applyFill="1" applyBorder="1" applyAlignment="1">
      <alignment horizontal="center"/>
    </xf>
    <xf numFmtId="44" fontId="0" fillId="3" borderId="5" xfId="2" applyFont="1" applyFill="1" applyBorder="1"/>
    <xf numFmtId="9" fontId="0" fillId="3" borderId="1" xfId="0" applyNumberFormat="1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167" fontId="0" fillId="3" borderId="1" xfId="2" applyNumberFormat="1" applyFont="1" applyFill="1" applyBorder="1"/>
    <xf numFmtId="0" fontId="0" fillId="2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3" borderId="1" xfId="1" applyNumberFormat="1" applyFont="1" applyFill="1" applyBorder="1" applyAlignment="1"/>
    <xf numFmtId="0" fontId="0" fillId="2" borderId="1" xfId="0" applyFill="1" applyBorder="1" applyAlignment="1">
      <alignment horizontal="right"/>
    </xf>
    <xf numFmtId="9" fontId="0" fillId="3" borderId="1" xfId="0" applyNumberFormat="1" applyFill="1" applyBorder="1"/>
    <xf numFmtId="10" fontId="0" fillId="3" borderId="1" xfId="3" applyNumberFormat="1" applyFont="1" applyFill="1" applyBorder="1"/>
    <xf numFmtId="2" fontId="0" fillId="3" borderId="1" xfId="0" applyNumberFormat="1" applyFill="1" applyBorder="1"/>
    <xf numFmtId="0" fontId="0" fillId="3" borderId="1" xfId="0" applyFill="1" applyBorder="1"/>
    <xf numFmtId="3" fontId="0" fillId="3" borderId="1" xfId="0" applyNumberFormat="1" applyFill="1" applyBorder="1"/>
    <xf numFmtId="0" fontId="0" fillId="3" borderId="1" xfId="0" applyFill="1" applyBorder="1" applyAlignment="1">
      <alignment horizontal="right"/>
    </xf>
    <xf numFmtId="3" fontId="0" fillId="3" borderId="1" xfId="0" applyNumberFormat="1" applyFill="1" applyBorder="1" applyAlignment="1">
      <alignment horizontal="right"/>
    </xf>
    <xf numFmtId="164" fontId="0" fillId="2" borderId="1" xfId="1" applyNumberFormat="1" applyFont="1" applyFill="1" applyBorder="1" applyAlignment="1">
      <alignment horizontal="right"/>
    </xf>
    <xf numFmtId="44" fontId="0" fillId="3" borderId="1" xfId="2" applyFont="1" applyFill="1" applyBorder="1" applyAlignment="1">
      <alignment horizontal="right"/>
    </xf>
    <xf numFmtId="44" fontId="0" fillId="2" borderId="1" xfId="2" applyFon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66" fontId="0" fillId="3" borderId="1" xfId="0" applyNumberFormat="1" applyFill="1" applyBorder="1" applyAlignment="1">
      <alignment horizontal="right"/>
    </xf>
    <xf numFmtId="166" fontId="0" fillId="3" borderId="1" xfId="0" applyNumberFormat="1" applyFill="1" applyBorder="1"/>
    <xf numFmtId="0" fontId="2" fillId="2" borderId="1" xfId="0" applyFont="1" applyFill="1" applyBorder="1"/>
    <xf numFmtId="0" fontId="0" fillId="2" borderId="3" xfId="0" quotePrefix="1" applyFill="1" applyBorder="1"/>
    <xf numFmtId="164" fontId="0" fillId="2" borderId="1" xfId="0" applyNumberFormat="1" applyFill="1" applyBorder="1"/>
    <xf numFmtId="1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quotePrefix="1" applyFill="1" applyBorder="1"/>
    <xf numFmtId="0" fontId="0" fillId="2" borderId="4" xfId="0" quotePrefix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168" fontId="0" fillId="2" borderId="0" xfId="0" applyNumberFormat="1" applyFill="1"/>
    <xf numFmtId="10" fontId="0" fillId="3" borderId="0" xfId="0" applyNumberFormat="1" applyFill="1"/>
    <xf numFmtId="9" fontId="0" fillId="3" borderId="0" xfId="0" applyNumberFormat="1" applyFill="1"/>
    <xf numFmtId="2" fontId="0" fillId="3" borderId="0" xfId="0" applyNumberFormat="1" applyFill="1"/>
    <xf numFmtId="10" fontId="0" fillId="2" borderId="0" xfId="3" applyNumberFormat="1" applyFont="1" applyFill="1"/>
    <xf numFmtId="10" fontId="0" fillId="3" borderId="0" xfId="3" applyNumberFormat="1" applyFont="1" applyFill="1"/>
    <xf numFmtId="0" fontId="8" fillId="2" borderId="0" xfId="0" applyFont="1" applyFill="1"/>
    <xf numFmtId="0" fontId="0" fillId="2" borderId="11" xfId="0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2" borderId="10" xfId="0" applyFill="1" applyBorder="1"/>
    <xf numFmtId="0" fontId="0" fillId="2" borderId="0" xfId="0" applyFill="1" applyBorder="1"/>
    <xf numFmtId="0" fontId="0" fillId="2" borderId="13" xfId="0" applyFill="1" applyBorder="1"/>
    <xf numFmtId="0" fontId="0" fillId="2" borderId="10" xfId="0" quotePrefix="1" applyFill="1" applyBorder="1"/>
    <xf numFmtId="0" fontId="0" fillId="2" borderId="14" xfId="0" applyFill="1" applyBorder="1"/>
    <xf numFmtId="0" fontId="0" fillId="2" borderId="15" xfId="0" applyFill="1" applyBorder="1"/>
    <xf numFmtId="0" fontId="2" fillId="2" borderId="3" xfId="0" quotePrefix="1" applyFont="1" applyFill="1" applyBorder="1"/>
    <xf numFmtId="0" fontId="2" fillId="2" borderId="1" xfId="0" applyFont="1" applyFill="1" applyBorder="1" applyAlignment="1">
      <alignment vertical="center"/>
    </xf>
    <xf numFmtId="0" fontId="0" fillId="2" borderId="1" xfId="0" quotePrefix="1" applyFill="1" applyBorder="1"/>
    <xf numFmtId="43" fontId="0" fillId="2" borderId="1" xfId="1" applyFont="1" applyFill="1" applyBorder="1"/>
    <xf numFmtId="10" fontId="0" fillId="3" borderId="1" xfId="0" applyNumberFormat="1" applyFill="1" applyBorder="1" applyAlignment="1">
      <alignment horizontal="center"/>
    </xf>
    <xf numFmtId="44" fontId="0" fillId="3" borderId="1" xfId="2" applyFont="1" applyFill="1" applyBorder="1"/>
    <xf numFmtId="164" fontId="0" fillId="3" borderId="1" xfId="1" applyNumberFormat="1" applyFont="1" applyFill="1" applyBorder="1" applyAlignment="1">
      <alignment horizontal="center"/>
    </xf>
    <xf numFmtId="9" fontId="0" fillId="2" borderId="0" xfId="0" applyNumberFormat="1" applyFill="1"/>
    <xf numFmtId="164" fontId="0" fillId="2" borderId="0" xfId="0" applyNumberFormat="1" applyFill="1"/>
    <xf numFmtId="10" fontId="0" fillId="2" borderId="7" xfId="3" applyNumberFormat="1" applyFont="1" applyFill="1" applyBorder="1"/>
    <xf numFmtId="10" fontId="0" fillId="2" borderId="1" xfId="0" applyNumberFormat="1" applyFill="1" applyBorder="1"/>
    <xf numFmtId="0" fontId="0" fillId="2" borderId="1" xfId="1" applyNumberFormat="1" applyFont="1" applyFill="1" applyBorder="1"/>
    <xf numFmtId="164" fontId="0" fillId="2" borderId="7" xfId="1" applyNumberFormat="1" applyFont="1" applyFill="1" applyBorder="1"/>
    <xf numFmtId="9" fontId="0" fillId="3" borderId="1" xfId="0" applyNumberFormat="1" applyFill="1" applyBorder="1" applyAlignment="1"/>
    <xf numFmtId="164" fontId="0" fillId="2" borderId="7" xfId="0" applyNumberFormat="1" applyFill="1" applyBorder="1"/>
    <xf numFmtId="0" fontId="0" fillId="2" borderId="7" xfId="1" applyNumberFormat="1" applyFont="1" applyFill="1" applyBorder="1"/>
    <xf numFmtId="164" fontId="0" fillId="2" borderId="3" xfId="1" applyNumberFormat="1" applyFont="1" applyFill="1" applyBorder="1"/>
    <xf numFmtId="164" fontId="0" fillId="2" borderId="4" xfId="1" applyNumberFormat="1" applyFont="1" applyFill="1" applyBorder="1" applyAlignment="1">
      <alignment horizontal="center" vertical="center"/>
    </xf>
    <xf numFmtId="164" fontId="0" fillId="2" borderId="4" xfId="1" applyNumberFormat="1" applyFont="1" applyFill="1" applyBorder="1"/>
    <xf numFmtId="164" fontId="0" fillId="2" borderId="4" xfId="1" applyNumberFormat="1" applyFont="1" applyFill="1" applyBorder="1" applyAlignment="1">
      <alignment vertical="center"/>
    </xf>
    <xf numFmtId="164" fontId="0" fillId="2" borderId="4" xfId="0" applyNumberFormat="1" applyFill="1" applyBorder="1"/>
    <xf numFmtId="164" fontId="0" fillId="2" borderId="3" xfId="0" applyNumberFormat="1" applyFill="1" applyBorder="1"/>
    <xf numFmtId="164" fontId="0" fillId="3" borderId="7" xfId="1" applyNumberFormat="1" applyFont="1" applyFill="1" applyBorder="1"/>
    <xf numFmtId="9" fontId="0" fillId="2" borderId="1" xfId="0" applyNumberFormat="1" applyFill="1" applyBorder="1"/>
    <xf numFmtId="9" fontId="0" fillId="3" borderId="1" xfId="0" applyNumberFormat="1" applyFill="1" applyBorder="1" applyAlignment="1">
      <alignment vertical="center"/>
    </xf>
    <xf numFmtId="169" fontId="0" fillId="2" borderId="0" xfId="0" applyNumberFormat="1" applyFill="1"/>
    <xf numFmtId="0" fontId="0" fillId="0" borderId="1" xfId="0" applyBorder="1"/>
    <xf numFmtId="1" fontId="0" fillId="3" borderId="1" xfId="0" applyNumberFormat="1" applyFill="1" applyBorder="1"/>
    <xf numFmtId="0" fontId="0" fillId="2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 vertical="center"/>
    </xf>
    <xf numFmtId="164" fontId="0" fillId="2" borderId="13" xfId="1" applyNumberFormat="1" applyFont="1" applyFill="1" applyBorder="1"/>
    <xf numFmtId="164" fontId="0" fillId="2" borderId="0" xfId="1" applyNumberFormat="1" applyFont="1" applyFill="1" applyBorder="1" applyAlignment="1">
      <alignment horizontal="center"/>
    </xf>
    <xf numFmtId="164" fontId="0" fillId="2" borderId="13" xfId="1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0" fillId="2" borderId="0" xfId="0" applyNumberFormat="1" applyFont="1" applyFill="1" applyBorder="1"/>
    <xf numFmtId="0" fontId="0" fillId="4" borderId="1" xfId="0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10" fillId="2" borderId="13" xfId="1" applyNumberFormat="1" applyFont="1" applyFill="1" applyBorder="1" applyAlignment="1">
      <alignment horizontal="center"/>
    </xf>
    <xf numFmtId="164" fontId="0" fillId="2" borderId="13" xfId="0" applyNumberFormat="1" applyFont="1" applyFill="1" applyBorder="1"/>
    <xf numFmtId="1" fontId="0" fillId="2" borderId="1" xfId="1" applyNumberFormat="1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/>
    <xf numFmtId="164" fontId="0" fillId="2" borderId="2" xfId="1" applyNumberFormat="1" applyFont="1" applyFill="1" applyBorder="1" applyAlignment="1">
      <alignment vertical="center"/>
    </xf>
    <xf numFmtId="164" fontId="0" fillId="2" borderId="0" xfId="1" applyNumberFormat="1" applyFont="1" applyFill="1" applyBorder="1"/>
    <xf numFmtId="164" fontId="1" fillId="2" borderId="0" xfId="1" applyNumberFormat="1" applyFont="1" applyFill="1" applyBorder="1"/>
    <xf numFmtId="164" fontId="10" fillId="2" borderId="0" xfId="1" applyNumberFormat="1" applyFont="1" applyFill="1" applyBorder="1"/>
    <xf numFmtId="164" fontId="10" fillId="2" borderId="13" xfId="1" applyNumberFormat="1" applyFont="1" applyFill="1" applyBorder="1"/>
    <xf numFmtId="164" fontId="1" fillId="2" borderId="13" xfId="1" applyNumberFormat="1" applyFont="1" applyFill="1" applyBorder="1"/>
    <xf numFmtId="0" fontId="0" fillId="0" borderId="1" xfId="0" quotePrefix="1" applyBorder="1"/>
    <xf numFmtId="0" fontId="0" fillId="0" borderId="2" xfId="0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10" fontId="0" fillId="3" borderId="1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2" fillId="0" borderId="2" xfId="0" applyFont="1" applyBorder="1" applyAlignment="1">
      <alignment horizontal="center"/>
    </xf>
    <xf numFmtId="0" fontId="0" fillId="0" borderId="2" xfId="0" applyBorder="1"/>
    <xf numFmtId="0" fontId="2" fillId="0" borderId="5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0" fillId="0" borderId="10" xfId="0" applyBorder="1"/>
    <xf numFmtId="0" fontId="2" fillId="2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/>
    <xf numFmtId="0" fontId="0" fillId="2" borderId="10" xfId="0" applyFill="1" applyBorder="1" applyAlignment="1">
      <alignment wrapText="1"/>
    </xf>
    <xf numFmtId="0" fontId="0" fillId="2" borderId="10" xfId="0" applyFill="1" applyBorder="1" applyAlignment="1">
      <alignment vertical="center" wrapText="1"/>
    </xf>
    <xf numFmtId="0" fontId="0" fillId="2" borderId="12" xfId="0" applyFill="1" applyBorder="1"/>
    <xf numFmtId="0" fontId="2" fillId="2" borderId="8" xfId="0" applyFont="1" applyFill="1" applyBorder="1" applyAlignment="1">
      <alignment horizontal="center" wrapText="1"/>
    </xf>
    <xf numFmtId="164" fontId="0" fillId="0" borderId="1" xfId="1" applyNumberFormat="1" applyFont="1" applyBorder="1"/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3" xfId="1" applyNumberFormat="1" applyFont="1" applyBorder="1"/>
    <xf numFmtId="10" fontId="0" fillId="0" borderId="1" xfId="0" applyNumberFormat="1" applyBorder="1"/>
    <xf numFmtId="44" fontId="0" fillId="0" borderId="1" xfId="2" applyFont="1" applyBorder="1"/>
    <xf numFmtId="9" fontId="0" fillId="0" borderId="1" xfId="0" applyNumberFormat="1" applyBorder="1"/>
    <xf numFmtId="166" fontId="0" fillId="0" borderId="1" xfId="3" applyNumberFormat="1" applyFont="1" applyBorder="1"/>
    <xf numFmtId="10" fontId="0" fillId="0" borderId="1" xfId="3" applyNumberFormat="1" applyFont="1" applyBorder="1"/>
    <xf numFmtId="9" fontId="0" fillId="0" borderId="0" xfId="0" applyNumberFormat="1"/>
    <xf numFmtId="0" fontId="0" fillId="2" borderId="1" xfId="0" applyFill="1" applyBorder="1" applyAlignment="1">
      <alignment horizontal="left" vertical="center"/>
    </xf>
    <xf numFmtId="164" fontId="0" fillId="0" borderId="0" xfId="0" applyNumberFormat="1"/>
    <xf numFmtId="10" fontId="0" fillId="2" borderId="0" xfId="3" applyNumberFormat="1" applyFont="1" applyFill="1" applyBorder="1"/>
    <xf numFmtId="9" fontId="0" fillId="3" borderId="0" xfId="0" applyNumberFormat="1" applyFill="1" applyBorder="1"/>
    <xf numFmtId="10" fontId="0" fillId="3" borderId="0" xfId="0" applyNumberFormat="1" applyFill="1" applyBorder="1"/>
    <xf numFmtId="2" fontId="0" fillId="3" borderId="0" xfId="0" applyNumberFormat="1" applyFill="1" applyBorder="1"/>
    <xf numFmtId="10" fontId="0" fillId="3" borderId="0" xfId="3" applyNumberFormat="1" applyFont="1" applyFill="1" applyBorder="1"/>
    <xf numFmtId="10" fontId="0" fillId="2" borderId="14" xfId="3" applyNumberFormat="1" applyFont="1" applyFill="1" applyBorder="1"/>
    <xf numFmtId="9" fontId="0" fillId="3" borderId="13" xfId="0" applyNumberFormat="1" applyFill="1" applyBorder="1"/>
    <xf numFmtId="10" fontId="0" fillId="3" borderId="13" xfId="0" applyNumberFormat="1" applyFill="1" applyBorder="1"/>
    <xf numFmtId="2" fontId="0" fillId="3" borderId="13" xfId="0" applyNumberFormat="1" applyFill="1" applyBorder="1"/>
    <xf numFmtId="10" fontId="0" fillId="2" borderId="13" xfId="3" applyNumberFormat="1" applyFont="1" applyFill="1" applyBorder="1"/>
    <xf numFmtId="10" fontId="0" fillId="3" borderId="13" xfId="3" applyNumberFormat="1" applyFont="1" applyFill="1" applyBorder="1"/>
    <xf numFmtId="10" fontId="0" fillId="2" borderId="15" xfId="3" applyNumberFormat="1" applyFont="1" applyFill="1" applyBorder="1"/>
    <xf numFmtId="164" fontId="12" fillId="2" borderId="0" xfId="0" applyNumberFormat="1" applyFont="1" applyFill="1" applyBorder="1"/>
    <xf numFmtId="164" fontId="0" fillId="2" borderId="0" xfId="0" applyNumberFormat="1" applyFill="1" applyBorder="1"/>
    <xf numFmtId="164" fontId="12" fillId="2" borderId="13" xfId="0" applyNumberFormat="1" applyFont="1" applyFill="1" applyBorder="1"/>
    <xf numFmtId="164" fontId="0" fillId="2" borderId="13" xfId="0" applyNumberFormat="1" applyFill="1" applyBorder="1"/>
    <xf numFmtId="1" fontId="0" fillId="2" borderId="4" xfId="0" applyNumberFormat="1" applyFill="1" applyBorder="1"/>
    <xf numFmtId="0" fontId="0" fillId="2" borderId="2" xfId="0" quotePrefix="1" applyFill="1" applyBorder="1" applyAlignment="1">
      <alignment horizontal="center" wrapText="1"/>
    </xf>
    <xf numFmtId="166" fontId="0" fillId="2" borderId="0" xfId="3" applyNumberFormat="1" applyFont="1" applyFill="1"/>
    <xf numFmtId="166" fontId="0" fillId="2" borderId="0" xfId="0" applyNumberFormat="1" applyFill="1"/>
    <xf numFmtId="170" fontId="0" fillId="2" borderId="0" xfId="0" applyNumberFormat="1" applyFill="1"/>
    <xf numFmtId="164" fontId="0" fillId="2" borderId="1" xfId="1" applyNumberFormat="1" applyFont="1" applyFill="1" applyBorder="1" applyAlignment="1">
      <alignment horizontal="center"/>
    </xf>
    <xf numFmtId="0" fontId="0" fillId="2" borderId="2" xfId="0" quotePrefix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166" fontId="0" fillId="2" borderId="0" xfId="3" applyNumberFormat="1" applyFont="1" applyFill="1" applyBorder="1"/>
    <xf numFmtId="166" fontId="0" fillId="2" borderId="14" xfId="3" applyNumberFormat="1" applyFont="1" applyFill="1" applyBorder="1"/>
    <xf numFmtId="10" fontId="0" fillId="2" borderId="1" xfId="3" applyNumberFormat="1" applyFont="1" applyFill="1" applyBorder="1"/>
    <xf numFmtId="166" fontId="0" fillId="2" borderId="13" xfId="3" applyNumberFormat="1" applyFont="1" applyFill="1" applyBorder="1"/>
    <xf numFmtId="3" fontId="0" fillId="0" borderId="1" xfId="0" applyNumberFormat="1" applyBorder="1"/>
    <xf numFmtId="1" fontId="0" fillId="0" borderId="1" xfId="0" applyNumberFormat="1" applyBorder="1"/>
    <xf numFmtId="9" fontId="0" fillId="5" borderId="1" xfId="0" applyNumberFormat="1" applyFill="1" applyBorder="1"/>
    <xf numFmtId="164" fontId="0" fillId="5" borderId="2" xfId="1" applyNumberFormat="1" applyFont="1" applyFill="1" applyBorder="1"/>
    <xf numFmtId="164" fontId="0" fillId="5" borderId="4" xfId="1" applyNumberFormat="1" applyFont="1" applyFill="1" applyBorder="1"/>
    <xf numFmtId="164" fontId="0" fillId="5" borderId="3" xfId="1" applyNumberFormat="1" applyFont="1" applyFill="1" applyBorder="1"/>
    <xf numFmtId="164" fontId="0" fillId="5" borderId="1" xfId="1" applyNumberFormat="1" applyFont="1" applyFill="1" applyBorder="1"/>
    <xf numFmtId="164" fontId="0" fillId="2" borderId="2" xfId="0" applyNumberFormat="1" applyFill="1" applyBorder="1"/>
    <xf numFmtId="171" fontId="0" fillId="0" borderId="0" xfId="0" applyNumberFormat="1"/>
    <xf numFmtId="164" fontId="0" fillId="0" borderId="7" xfId="1" applyNumberFormat="1" applyFont="1" applyBorder="1"/>
    <xf numFmtId="164" fontId="0" fillId="0" borderId="0" xfId="1" applyNumberFormat="1" applyFont="1" applyBorder="1"/>
    <xf numFmtId="166" fontId="0" fillId="0" borderId="1" xfId="0" applyNumberFormat="1" applyBorder="1"/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170" fontId="0" fillId="0" borderId="1" xfId="0" applyNumberFormat="1" applyBorder="1"/>
    <xf numFmtId="172" fontId="0" fillId="0" borderId="1" xfId="0" applyNumberFormat="1" applyBorder="1"/>
    <xf numFmtId="43" fontId="0" fillId="2" borderId="4" xfId="1" applyFont="1" applyFill="1" applyBorder="1"/>
    <xf numFmtId="166" fontId="0" fillId="2" borderId="15" xfId="3" applyNumberFormat="1" applyFont="1" applyFill="1" applyBorder="1"/>
    <xf numFmtId="164" fontId="0" fillId="2" borderId="15" xfId="1" applyNumberFormat="1" applyFont="1" applyFill="1" applyBorder="1"/>
    <xf numFmtId="0" fontId="0" fillId="2" borderId="4" xfId="0" applyFill="1" applyBorder="1" applyAlignment="1">
      <alignment wrapText="1"/>
    </xf>
    <xf numFmtId="164" fontId="0" fillId="0" borderId="0" xfId="1" applyNumberFormat="1" applyFont="1"/>
    <xf numFmtId="9" fontId="0" fillId="0" borderId="0" xfId="3" applyFont="1"/>
    <xf numFmtId="173" fontId="0" fillId="0" borderId="0" xfId="3" applyNumberFormat="1" applyFont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43" fontId="0" fillId="2" borderId="3" xfId="1" applyFont="1" applyFill="1" applyBorder="1"/>
    <xf numFmtId="10" fontId="0" fillId="0" borderId="0" xfId="0" applyNumberFormat="1"/>
    <xf numFmtId="175" fontId="0" fillId="0" borderId="0" xfId="3" applyNumberFormat="1" applyFont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61"/>
  <sheetViews>
    <sheetView topLeftCell="A34" workbookViewId="0">
      <selection activeCell="I40" sqref="I40"/>
    </sheetView>
  </sheetViews>
  <sheetFormatPr defaultRowHeight="15" x14ac:dyDescent="0.25"/>
  <cols>
    <col min="1" max="1" width="43.85546875" bestFit="1" customWidth="1"/>
    <col min="2" max="2" width="9.140625" customWidth="1"/>
    <col min="3" max="3" width="9.5703125" bestFit="1" customWidth="1"/>
    <col min="5" max="5" width="10" bestFit="1" customWidth="1"/>
    <col min="6" max="6" width="44" bestFit="1" customWidth="1"/>
    <col min="7" max="7" width="10.7109375" bestFit="1" customWidth="1"/>
    <col min="8" max="9" width="9.5703125" bestFit="1" customWidth="1"/>
    <col min="10" max="10" width="9.42578125" bestFit="1" customWidth="1"/>
  </cols>
  <sheetData>
    <row r="1" spans="1:47" x14ac:dyDescent="0.25">
      <c r="A1" s="2"/>
      <c r="B1" s="2"/>
      <c r="C1" s="5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47" x14ac:dyDescent="0.25">
      <c r="A2" s="1" t="s">
        <v>0</v>
      </c>
      <c r="B2" s="2"/>
      <c r="C2" s="2"/>
      <c r="D2" s="2"/>
      <c r="E2" s="2"/>
      <c r="F2" s="1" t="s">
        <v>43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x14ac:dyDescent="0.25">
      <c r="A3" s="2"/>
      <c r="B3" s="3" t="s">
        <v>1</v>
      </c>
      <c r="C3" s="3" t="s">
        <v>2</v>
      </c>
      <c r="D3" s="3" t="s">
        <v>3</v>
      </c>
      <c r="E3" s="2"/>
      <c r="F3" s="1" t="s">
        <v>44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x14ac:dyDescent="0.25">
      <c r="A4" s="4" t="s">
        <v>4</v>
      </c>
      <c r="B4" s="8">
        <v>72234</v>
      </c>
      <c r="C4" s="8">
        <v>87416</v>
      </c>
      <c r="D4" s="8">
        <v>94662</v>
      </c>
      <c r="E4" s="2"/>
      <c r="F4" s="4" t="s">
        <v>45</v>
      </c>
      <c r="G4" s="4"/>
      <c r="H4" s="20">
        <v>0.02</v>
      </c>
      <c r="I4" s="20">
        <v>0.04</v>
      </c>
      <c r="J4" s="20">
        <v>0.05</v>
      </c>
      <c r="K4" s="20">
        <v>0.05</v>
      </c>
      <c r="L4" s="20">
        <v>0.05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spans="1:47" x14ac:dyDescent="0.25">
      <c r="A5" s="5" t="s">
        <v>5</v>
      </c>
      <c r="B5" s="9">
        <v>9535</v>
      </c>
      <c r="C5" s="9">
        <v>11364</v>
      </c>
      <c r="D5" s="9">
        <v>12117</v>
      </c>
      <c r="E5" s="2"/>
      <c r="F5" s="6" t="s">
        <v>46</v>
      </c>
      <c r="G5" s="6"/>
      <c r="H5" s="20">
        <v>4.4999999999999998E-2</v>
      </c>
      <c r="I5" s="20">
        <v>4.4999999999999998E-2</v>
      </c>
      <c r="J5" s="20">
        <v>0.04</v>
      </c>
      <c r="K5" s="20">
        <v>0.04</v>
      </c>
      <c r="L5" s="20">
        <v>0.04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x14ac:dyDescent="0.25">
      <c r="A6" s="4" t="s">
        <v>6</v>
      </c>
      <c r="B6" s="12">
        <f>B4-B5</f>
        <v>62699</v>
      </c>
      <c r="C6" s="12">
        <f t="shared" ref="C6:D6" si="0">C4-C5</f>
        <v>76052</v>
      </c>
      <c r="D6" s="12">
        <f t="shared" si="0"/>
        <v>82545</v>
      </c>
      <c r="E6" s="2"/>
      <c r="F6" s="6" t="s">
        <v>47</v>
      </c>
      <c r="G6" s="6"/>
      <c r="H6" s="20">
        <v>0.02</v>
      </c>
      <c r="I6" s="20">
        <v>0.02</v>
      </c>
      <c r="J6" s="20">
        <v>0.02</v>
      </c>
      <c r="K6" s="20">
        <v>0.02</v>
      </c>
      <c r="L6" s="20">
        <v>0.02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</row>
    <row r="7" spans="1:47" x14ac:dyDescent="0.25">
      <c r="A7" s="5" t="s">
        <v>7</v>
      </c>
      <c r="B7" s="11">
        <v>51221</v>
      </c>
      <c r="C7" s="11">
        <v>68002</v>
      </c>
      <c r="D7" s="11">
        <v>70223</v>
      </c>
      <c r="E7" s="2"/>
      <c r="F7" s="6" t="s">
        <v>48</v>
      </c>
      <c r="G7" s="6"/>
      <c r="H7" s="22">
        <f>H5</f>
        <v>4.4999999999999998E-2</v>
      </c>
      <c r="I7" s="22">
        <f>(1+H7)*(1+I5)-1</f>
        <v>9.2024999999999801E-2</v>
      </c>
      <c r="J7" s="22">
        <f>(1+I7)*(1+J5)-1</f>
        <v>0.13570599999999988</v>
      </c>
      <c r="K7" s="22">
        <f>(1+J7)*(1+K5)-1</f>
        <v>0.18113424</v>
      </c>
      <c r="L7" s="22">
        <f>(1+K7)*(1+L5)-1</f>
        <v>0.22837960960000014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</row>
    <row r="8" spans="1:47" x14ac:dyDescent="0.25">
      <c r="A8" s="4" t="s">
        <v>8</v>
      </c>
      <c r="B8" s="13">
        <f>B6-B7</f>
        <v>11478</v>
      </c>
      <c r="C8" s="13">
        <f t="shared" ref="C8:D8" si="1">C6-C7</f>
        <v>8050</v>
      </c>
      <c r="D8" s="13">
        <f t="shared" si="1"/>
        <v>12322</v>
      </c>
      <c r="E8" s="2"/>
      <c r="F8" s="6" t="s">
        <v>49</v>
      </c>
      <c r="G8" s="6"/>
      <c r="H8" s="20">
        <v>0.11</v>
      </c>
      <c r="I8" s="20">
        <v>0.11</v>
      </c>
      <c r="J8" s="20">
        <v>0.09</v>
      </c>
      <c r="K8" s="20">
        <v>0.1</v>
      </c>
      <c r="L8" s="20">
        <v>0.11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</row>
    <row r="9" spans="1:47" x14ac:dyDescent="0.25">
      <c r="A9" s="6" t="s">
        <v>9</v>
      </c>
      <c r="B9" s="10">
        <v>176</v>
      </c>
      <c r="C9" s="10">
        <v>192</v>
      </c>
      <c r="D9" s="10">
        <v>208</v>
      </c>
      <c r="E9" s="2"/>
      <c r="F9" s="6" t="s">
        <v>50</v>
      </c>
      <c r="G9" s="6"/>
      <c r="H9" s="20">
        <v>0.06</v>
      </c>
      <c r="I9" s="20">
        <v>0.06</v>
      </c>
      <c r="J9" s="20">
        <v>0.06</v>
      </c>
      <c r="K9" s="20">
        <v>0.06</v>
      </c>
      <c r="L9" s="20">
        <v>0.06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47" x14ac:dyDescent="0.25">
      <c r="A10" s="6" t="s">
        <v>10</v>
      </c>
      <c r="B10" s="10">
        <v>1216</v>
      </c>
      <c r="C10" s="10">
        <v>1443</v>
      </c>
      <c r="D10" s="10">
        <v>1449</v>
      </c>
      <c r="E10" s="2"/>
      <c r="F10" s="5" t="s">
        <v>51</v>
      </c>
      <c r="G10" s="5"/>
      <c r="H10" s="20">
        <v>0.16500000000000001</v>
      </c>
      <c r="I10" s="20">
        <v>0.16500000000000001</v>
      </c>
      <c r="J10" s="20">
        <v>0.13500000000000001</v>
      </c>
      <c r="K10" s="20">
        <v>0.15</v>
      </c>
      <c r="L10" s="23">
        <v>0.16500000000000001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</row>
    <row r="11" spans="1:47" x14ac:dyDescent="0.25">
      <c r="A11" s="5" t="s">
        <v>11</v>
      </c>
      <c r="B11" s="9">
        <v>1779</v>
      </c>
      <c r="C11" s="9">
        <v>1886</v>
      </c>
      <c r="D11" s="9">
        <v>2111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</row>
    <row r="12" spans="1:47" x14ac:dyDescent="0.25">
      <c r="A12" s="4" t="s">
        <v>12</v>
      </c>
      <c r="B12" s="13">
        <f>ROUNDUP(B8-B9-B10-B11,0)</f>
        <v>8307</v>
      </c>
      <c r="C12" s="13">
        <f t="shared" ref="C12:D12" si="2">ROUNDUP(C8-C9-C10-C11,0)</f>
        <v>4529</v>
      </c>
      <c r="D12" s="13">
        <f t="shared" si="2"/>
        <v>8554</v>
      </c>
      <c r="E12" s="2"/>
      <c r="G12" s="21" t="s">
        <v>53</v>
      </c>
      <c r="H12" s="21" t="s">
        <v>54</v>
      </c>
      <c r="I12" s="21" t="s">
        <v>55</v>
      </c>
      <c r="J12" s="218" t="s">
        <v>59</v>
      </c>
      <c r="K12" s="218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</row>
    <row r="13" spans="1:47" x14ac:dyDescent="0.25">
      <c r="A13" s="6" t="s">
        <v>13</v>
      </c>
      <c r="B13" s="10">
        <v>840</v>
      </c>
      <c r="C13" s="10">
        <v>117</v>
      </c>
      <c r="D13" s="10">
        <v>131</v>
      </c>
      <c r="E13" s="2"/>
      <c r="F13" s="7" t="s">
        <v>58</v>
      </c>
      <c r="G13" s="24">
        <v>70000</v>
      </c>
      <c r="H13" s="24">
        <v>70000</v>
      </c>
      <c r="I13" s="24">
        <v>70000</v>
      </c>
      <c r="J13" s="219">
        <v>75000</v>
      </c>
      <c r="K13" s="21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</row>
    <row r="14" spans="1:47" x14ac:dyDescent="0.25">
      <c r="A14" s="5" t="s">
        <v>14</v>
      </c>
      <c r="B14" s="9">
        <v>4774</v>
      </c>
      <c r="C14" s="9">
        <v>6566</v>
      </c>
      <c r="D14" s="9">
        <v>7678</v>
      </c>
      <c r="E14" s="2"/>
      <c r="F14" s="7" t="s">
        <v>60</v>
      </c>
      <c r="G14" s="25">
        <v>2.6</v>
      </c>
      <c r="H14" s="220" t="s">
        <v>61</v>
      </c>
      <c r="I14" s="220"/>
      <c r="J14" s="220"/>
      <c r="K14" s="22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</row>
    <row r="15" spans="1:47" x14ac:dyDescent="0.25">
      <c r="A15" s="4" t="s">
        <v>15</v>
      </c>
      <c r="B15" s="13">
        <f>B12+B13-B14</f>
        <v>4373</v>
      </c>
      <c r="C15" s="13">
        <f t="shared" ref="C15:D15" si="3">C12+C13-C14</f>
        <v>-1920</v>
      </c>
      <c r="D15" s="13">
        <f t="shared" si="3"/>
        <v>1007</v>
      </c>
      <c r="E15" s="2"/>
      <c r="F15" s="7" t="s">
        <v>62</v>
      </c>
      <c r="G15" s="26">
        <v>0.18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</row>
    <row r="16" spans="1:47" x14ac:dyDescent="0.25">
      <c r="A16" s="5" t="s">
        <v>16</v>
      </c>
      <c r="B16" s="9">
        <v>1487</v>
      </c>
      <c r="C16" s="9">
        <v>0</v>
      </c>
      <c r="D16" s="9">
        <v>240</v>
      </c>
      <c r="E16" s="2"/>
      <c r="F16" s="7" t="s">
        <v>63</v>
      </c>
      <c r="G16" s="27">
        <v>0.128</v>
      </c>
      <c r="H16" s="218" t="s">
        <v>64</v>
      </c>
      <c r="I16" s="218"/>
      <c r="J16" s="218"/>
      <c r="K16" s="218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</row>
    <row r="17" spans="1:47" x14ac:dyDescent="0.25">
      <c r="A17" s="7" t="s">
        <v>17</v>
      </c>
      <c r="B17" s="13">
        <f>B15-B16</f>
        <v>2886</v>
      </c>
      <c r="C17" s="13">
        <f t="shared" ref="C17:D17" si="4">C15-C16</f>
        <v>-1920</v>
      </c>
      <c r="D17" s="13">
        <f t="shared" si="4"/>
        <v>767</v>
      </c>
      <c r="E17" s="14"/>
      <c r="F17" s="223" t="s">
        <v>65</v>
      </c>
      <c r="G17" s="99">
        <v>7.0000000000000007E-2</v>
      </c>
      <c r="H17" s="217" t="s">
        <v>66</v>
      </c>
      <c r="I17" s="217"/>
      <c r="J17" s="217"/>
      <c r="K17" s="217"/>
      <c r="L17" s="98">
        <v>0.1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</row>
    <row r="18" spans="1:47" x14ac:dyDescent="0.25">
      <c r="A18" s="2"/>
      <c r="B18" s="2"/>
      <c r="C18" s="2"/>
      <c r="D18" s="2"/>
      <c r="E18" s="2"/>
      <c r="F18" s="223"/>
      <c r="G18" s="99">
        <v>0.9</v>
      </c>
      <c r="H18" s="217"/>
      <c r="I18" s="217"/>
      <c r="J18" s="217"/>
      <c r="K18" s="217"/>
      <c r="L18" s="7" t="s">
        <v>251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</row>
    <row r="19" spans="1:47" x14ac:dyDescent="0.25">
      <c r="A19" s="1" t="s">
        <v>18</v>
      </c>
      <c r="B19" s="2"/>
      <c r="C19" s="2"/>
      <c r="D19" s="2"/>
      <c r="E19" s="2"/>
      <c r="F19" s="7" t="s">
        <v>67</v>
      </c>
      <c r="G19" s="26">
        <v>6.3829811507936526E-2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</row>
    <row r="20" spans="1:47" x14ac:dyDescent="0.25">
      <c r="A20" s="7" t="s">
        <v>19</v>
      </c>
      <c r="B20" s="3" t="s">
        <v>1</v>
      </c>
      <c r="C20" s="3" t="s">
        <v>2</v>
      </c>
      <c r="D20" s="3" t="s">
        <v>3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</row>
    <row r="21" spans="1:47" x14ac:dyDescent="0.25">
      <c r="A21" s="4" t="s">
        <v>20</v>
      </c>
      <c r="B21" s="8">
        <v>7636</v>
      </c>
      <c r="C21" s="8">
        <v>1221</v>
      </c>
      <c r="D21" s="8">
        <v>1323</v>
      </c>
      <c r="E21" s="2"/>
      <c r="F21" s="2" t="s">
        <v>68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</row>
    <row r="22" spans="1:47" x14ac:dyDescent="0.25">
      <c r="A22" s="6" t="s">
        <v>21</v>
      </c>
      <c r="B22" s="10">
        <v>7878</v>
      </c>
      <c r="C22" s="10">
        <v>7866</v>
      </c>
      <c r="D22" s="10">
        <v>6926</v>
      </c>
      <c r="E22" s="2"/>
      <c r="F22" s="7"/>
      <c r="G22" s="1" t="s">
        <v>53</v>
      </c>
      <c r="H22" s="1" t="s">
        <v>54</v>
      </c>
      <c r="I22" s="1" t="s">
        <v>55</v>
      </c>
      <c r="J22" s="1" t="s">
        <v>69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7" x14ac:dyDescent="0.25">
      <c r="A23" s="6" t="s">
        <v>22</v>
      </c>
      <c r="B23" s="10">
        <v>3984</v>
      </c>
      <c r="C23" s="10">
        <v>5478</v>
      </c>
      <c r="D23" s="10">
        <v>5785</v>
      </c>
      <c r="E23" s="2"/>
      <c r="F23" s="7" t="s">
        <v>70</v>
      </c>
      <c r="G23" s="19">
        <v>0.6</v>
      </c>
      <c r="H23" s="19">
        <v>0.6</v>
      </c>
      <c r="I23" s="19">
        <v>0.6</v>
      </c>
      <c r="J23" s="19">
        <v>0.6</v>
      </c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1:47" x14ac:dyDescent="0.25">
      <c r="A24" s="6" t="s">
        <v>23</v>
      </c>
      <c r="B24" s="10">
        <v>0</v>
      </c>
      <c r="C24" s="9">
        <v>0</v>
      </c>
      <c r="D24" s="9">
        <v>1046</v>
      </c>
      <c r="E24" s="2"/>
      <c r="F24" s="7" t="s">
        <v>71</v>
      </c>
      <c r="G24" s="19">
        <v>0.4</v>
      </c>
      <c r="H24" s="19">
        <v>0.4</v>
      </c>
      <c r="I24" s="19">
        <v>0.4</v>
      </c>
      <c r="J24" s="19">
        <v>0.4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1:47" x14ac:dyDescent="0.25">
      <c r="A25" s="5"/>
      <c r="B25" s="13">
        <f>SUM(B21:B24)</f>
        <v>19498</v>
      </c>
      <c r="C25" s="13">
        <f t="shared" ref="C25:D25" si="5">SUM(C21:C24)</f>
        <v>14565</v>
      </c>
      <c r="D25" s="13">
        <f t="shared" si="5"/>
        <v>15080</v>
      </c>
      <c r="E25" s="8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</row>
    <row r="26" spans="1:47" x14ac:dyDescent="0.25">
      <c r="A26" s="7" t="s">
        <v>24</v>
      </c>
      <c r="B26" s="16"/>
      <c r="C26" s="16"/>
      <c r="D26" s="16"/>
      <c r="E26" s="2"/>
      <c r="F26" s="2" t="s">
        <v>72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</row>
    <row r="27" spans="1:47" x14ac:dyDescent="0.25">
      <c r="A27" s="4" t="s">
        <v>25</v>
      </c>
      <c r="B27" s="8">
        <v>26791</v>
      </c>
      <c r="C27" s="8">
        <v>39890</v>
      </c>
      <c r="D27" s="8">
        <v>43435</v>
      </c>
      <c r="E27" s="14"/>
      <c r="F27" s="7" t="s">
        <v>73</v>
      </c>
      <c r="G27" s="28">
        <v>0.43890000000000001</v>
      </c>
      <c r="H27" s="224" t="s">
        <v>79</v>
      </c>
      <c r="I27" s="225"/>
      <c r="J27" s="225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</row>
    <row r="28" spans="1:47" x14ac:dyDescent="0.25">
      <c r="A28" s="15" t="s">
        <v>26</v>
      </c>
      <c r="B28" s="10">
        <v>3234</v>
      </c>
      <c r="C28" s="10">
        <v>5109</v>
      </c>
      <c r="D28" s="10">
        <v>7902</v>
      </c>
      <c r="E28" s="2"/>
      <c r="F28" s="7" t="s">
        <v>74</v>
      </c>
      <c r="G28" s="28">
        <v>0.85699999999999998</v>
      </c>
      <c r="H28" s="224"/>
      <c r="I28" s="225"/>
      <c r="J28" s="225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</row>
    <row r="29" spans="1:47" x14ac:dyDescent="0.25">
      <c r="A29" s="5" t="s">
        <v>27</v>
      </c>
      <c r="B29" s="13">
        <f>B27-B28</f>
        <v>23557</v>
      </c>
      <c r="C29" s="13">
        <f t="shared" ref="C29:D29" si="6">C27-C28</f>
        <v>34781</v>
      </c>
      <c r="D29" s="13">
        <f t="shared" si="6"/>
        <v>35533</v>
      </c>
      <c r="E29" s="83"/>
      <c r="F29" s="7" t="s">
        <v>75</v>
      </c>
      <c r="G29" s="28">
        <v>2.9260000000000002</v>
      </c>
      <c r="H29" s="224" t="s">
        <v>80</v>
      </c>
      <c r="I29" s="225"/>
      <c r="J29" s="225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</row>
    <row r="30" spans="1:47" x14ac:dyDescent="0.25">
      <c r="A30" s="1" t="s">
        <v>28</v>
      </c>
      <c r="B30" s="13">
        <f>B25+B29</f>
        <v>43055</v>
      </c>
      <c r="C30" s="13">
        <f t="shared" ref="C30:D30" si="7">C25+C29</f>
        <v>49346</v>
      </c>
      <c r="D30" s="13">
        <f t="shared" si="7"/>
        <v>50613</v>
      </c>
      <c r="E30" s="2"/>
      <c r="F30" s="7" t="s">
        <v>76</v>
      </c>
      <c r="G30" s="28">
        <v>0.13589999999999999</v>
      </c>
      <c r="H30" s="224"/>
      <c r="I30" s="225"/>
      <c r="J30" s="225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</row>
    <row r="31" spans="1:47" x14ac:dyDescent="0.25">
      <c r="A31" s="2"/>
      <c r="B31" s="2"/>
      <c r="C31" s="2"/>
      <c r="D31" s="2"/>
      <c r="E31" s="2"/>
      <c r="F31" s="7" t="s">
        <v>77</v>
      </c>
      <c r="G31" s="28">
        <v>0.24460000000000001</v>
      </c>
      <c r="H31" s="224"/>
      <c r="I31" s="225"/>
      <c r="J31" s="225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</row>
    <row r="32" spans="1:47" x14ac:dyDescent="0.25">
      <c r="A32" s="1" t="s">
        <v>29</v>
      </c>
      <c r="B32" s="2"/>
      <c r="C32" s="2"/>
      <c r="D32" s="2"/>
      <c r="E32" s="2"/>
      <c r="F32" s="7" t="s">
        <v>78</v>
      </c>
      <c r="G32" s="28">
        <v>0.29499999999999998</v>
      </c>
      <c r="H32" s="224"/>
      <c r="I32" s="225"/>
      <c r="J32" s="225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</row>
    <row r="33" spans="1:47" x14ac:dyDescent="0.25">
      <c r="A33" s="7" t="s">
        <v>19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</row>
    <row r="34" spans="1:47" x14ac:dyDescent="0.25">
      <c r="A34" s="4" t="s">
        <v>30</v>
      </c>
      <c r="B34" s="8">
        <v>3130</v>
      </c>
      <c r="C34" s="8">
        <v>5665</v>
      </c>
      <c r="D34" s="8">
        <v>4675</v>
      </c>
      <c r="E34" s="2"/>
      <c r="F34" s="2" t="s">
        <v>81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</row>
    <row r="35" spans="1:47" x14ac:dyDescent="0.25">
      <c r="A35" s="6" t="s">
        <v>31</v>
      </c>
      <c r="B35" s="10">
        <v>795</v>
      </c>
      <c r="C35" s="10">
        <v>979</v>
      </c>
      <c r="D35" s="10">
        <v>1515</v>
      </c>
      <c r="E35" s="2"/>
      <c r="F35" s="7" t="s">
        <v>82</v>
      </c>
      <c r="G35" s="30">
        <v>500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</row>
    <row r="36" spans="1:47" x14ac:dyDescent="0.25">
      <c r="A36" s="6" t="s">
        <v>32</v>
      </c>
      <c r="B36" s="10">
        <v>1223</v>
      </c>
      <c r="C36" s="10">
        <v>6677</v>
      </c>
      <c r="D36" s="10">
        <v>12630</v>
      </c>
      <c r="E36" s="2"/>
      <c r="F36" s="7" t="s">
        <v>83</v>
      </c>
      <c r="G36" s="30">
        <v>120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</row>
    <row r="37" spans="1:47" x14ac:dyDescent="0.25">
      <c r="A37" s="6" t="s">
        <v>33</v>
      </c>
      <c r="B37" s="10">
        <v>1254</v>
      </c>
      <c r="C37" s="10">
        <v>2234</v>
      </c>
      <c r="D37" s="10">
        <v>2450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</row>
    <row r="38" spans="1:47" x14ac:dyDescent="0.25">
      <c r="A38" s="6" t="s">
        <v>34</v>
      </c>
      <c r="B38" s="10">
        <v>1020</v>
      </c>
      <c r="C38" s="10">
        <v>0</v>
      </c>
      <c r="D38" s="10">
        <v>215</v>
      </c>
      <c r="E38" s="2"/>
      <c r="F38" s="2" t="s">
        <v>84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</row>
    <row r="39" spans="1:47" x14ac:dyDescent="0.25">
      <c r="A39" s="6" t="s">
        <v>23</v>
      </c>
      <c r="B39" s="10">
        <v>4959</v>
      </c>
      <c r="C39" s="10">
        <v>3434</v>
      </c>
      <c r="D39" s="10">
        <v>0</v>
      </c>
      <c r="E39" s="2"/>
      <c r="F39" s="7" t="s">
        <v>82</v>
      </c>
      <c r="G39" s="30">
        <v>998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</row>
    <row r="40" spans="1:47" x14ac:dyDescent="0.25">
      <c r="A40" s="5"/>
      <c r="B40" s="13">
        <f>SUM(B34:B39)</f>
        <v>12381</v>
      </c>
      <c r="C40" s="13">
        <f t="shared" ref="C40:D40" si="8">SUM(C34:C39)</f>
        <v>18989</v>
      </c>
      <c r="D40" s="13">
        <f t="shared" si="8"/>
        <v>21485</v>
      </c>
      <c r="E40" s="2"/>
      <c r="F40" s="7" t="s">
        <v>83</v>
      </c>
      <c r="G40" s="30">
        <v>233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</row>
    <row r="41" spans="1:47" x14ac:dyDescent="0.25">
      <c r="A41" s="7" t="s">
        <v>35</v>
      </c>
      <c r="B41" s="16"/>
      <c r="C41" s="16"/>
      <c r="D41" s="16"/>
      <c r="E41" s="2"/>
      <c r="F41" s="7" t="s">
        <v>85</v>
      </c>
      <c r="G41" s="30">
        <v>117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</row>
    <row r="42" spans="1:47" x14ac:dyDescent="0.25">
      <c r="A42" s="4" t="s">
        <v>36</v>
      </c>
      <c r="B42" s="11">
        <v>8789</v>
      </c>
      <c r="C42" s="11">
        <v>9346</v>
      </c>
      <c r="D42" s="11">
        <v>7350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</row>
    <row r="43" spans="1:47" x14ac:dyDescent="0.25">
      <c r="A43" s="5"/>
      <c r="B43" s="13">
        <f>SUM(B42)</f>
        <v>8789</v>
      </c>
      <c r="C43" s="13">
        <f t="shared" ref="C43:D43" si="9">SUM(C42)</f>
        <v>9346</v>
      </c>
      <c r="D43" s="13">
        <f t="shared" si="9"/>
        <v>7350</v>
      </c>
      <c r="E43" s="2"/>
      <c r="G43" s="29" t="s">
        <v>53</v>
      </c>
      <c r="H43" s="29" t="s">
        <v>54</v>
      </c>
      <c r="I43" s="29" t="s">
        <v>55</v>
      </c>
      <c r="J43" s="29" t="s">
        <v>56</v>
      </c>
      <c r="K43" s="29" t="s">
        <v>57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</row>
    <row r="44" spans="1:47" x14ac:dyDescent="0.25">
      <c r="A44" s="7" t="s">
        <v>37</v>
      </c>
      <c r="B44" s="16"/>
      <c r="C44" s="16"/>
      <c r="D44" s="16"/>
      <c r="E44" s="2"/>
      <c r="F44" s="7" t="s">
        <v>86</v>
      </c>
      <c r="G44" s="31">
        <v>2000</v>
      </c>
      <c r="H44" s="31">
        <v>2080</v>
      </c>
      <c r="I44" s="31">
        <v>2163</v>
      </c>
      <c r="J44" s="31">
        <v>2250</v>
      </c>
      <c r="K44" s="31">
        <v>0</v>
      </c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</row>
    <row r="45" spans="1:47" x14ac:dyDescent="0.25">
      <c r="A45" s="4" t="s">
        <v>38</v>
      </c>
      <c r="B45" s="8">
        <v>8566</v>
      </c>
      <c r="C45" s="8">
        <v>8566</v>
      </c>
      <c r="D45" s="8">
        <v>8566</v>
      </c>
      <c r="E45" s="2"/>
      <c r="F45" s="218" t="s">
        <v>87</v>
      </c>
      <c r="G45" s="218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</row>
    <row r="46" spans="1:47" x14ac:dyDescent="0.25">
      <c r="A46" s="6" t="s">
        <v>39</v>
      </c>
      <c r="B46" s="10">
        <v>13319</v>
      </c>
      <c r="C46" s="10">
        <v>12445</v>
      </c>
      <c r="D46" s="10">
        <v>13212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</row>
    <row r="47" spans="1:47" x14ac:dyDescent="0.25">
      <c r="A47" s="5"/>
      <c r="B47" s="13">
        <f>SUM(B45:B46)</f>
        <v>21885</v>
      </c>
      <c r="C47" s="13">
        <f t="shared" ref="C47:D47" si="10">SUM(C45:C46)</f>
        <v>21011</v>
      </c>
      <c r="D47" s="13">
        <f t="shared" si="10"/>
        <v>21778</v>
      </c>
      <c r="E47" s="2"/>
      <c r="F47" s="7" t="s">
        <v>88</v>
      </c>
      <c r="G47" s="11">
        <v>9800</v>
      </c>
      <c r="H47" s="218" t="s">
        <v>91</v>
      </c>
      <c r="I47" s="218"/>
      <c r="J47" s="218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</row>
    <row r="48" spans="1:47" x14ac:dyDescent="0.25">
      <c r="A48" s="1" t="s">
        <v>40</v>
      </c>
      <c r="B48" s="13">
        <f>B40+B43+B47</f>
        <v>43055</v>
      </c>
      <c r="C48" s="13">
        <f t="shared" ref="C48:D48" si="11">C40+C43+C47</f>
        <v>49346</v>
      </c>
      <c r="D48" s="13">
        <f t="shared" si="11"/>
        <v>50613</v>
      </c>
      <c r="E48" s="2"/>
      <c r="F48" s="32" t="s">
        <v>89</v>
      </c>
      <c r="G48" s="11">
        <v>7350</v>
      </c>
      <c r="H48" s="88">
        <v>0.13</v>
      </c>
      <c r="I48" s="88"/>
      <c r="J48" s="88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</row>
    <row r="49" spans="1:47" x14ac:dyDescent="0.25">
      <c r="A49" s="2"/>
      <c r="B49" s="2"/>
      <c r="C49" s="2"/>
      <c r="D49" s="2"/>
      <c r="E49" s="2"/>
      <c r="F49" s="32" t="s">
        <v>90</v>
      </c>
      <c r="G49" s="11">
        <v>2450</v>
      </c>
      <c r="H49" s="222" t="s">
        <v>92</v>
      </c>
      <c r="I49" s="220"/>
      <c r="J49" s="221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</row>
    <row r="50" spans="1:47" x14ac:dyDescent="0.25">
      <c r="B50" s="3" t="s">
        <v>1</v>
      </c>
      <c r="C50" s="3" t="s">
        <v>2</v>
      </c>
      <c r="D50" s="3" t="s">
        <v>3</v>
      </c>
      <c r="E50" s="2"/>
      <c r="G50" s="21" t="s">
        <v>53</v>
      </c>
      <c r="H50" s="21" t="s">
        <v>54</v>
      </c>
      <c r="I50" s="21" t="s">
        <v>55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</row>
    <row r="51" spans="1:47" x14ac:dyDescent="0.25">
      <c r="A51" s="17" t="s">
        <v>41</v>
      </c>
      <c r="B51" s="20">
        <v>0.183</v>
      </c>
      <c r="C51" s="20">
        <v>0.106</v>
      </c>
      <c r="D51" s="20">
        <v>0.14899999999999999</v>
      </c>
      <c r="E51" s="2"/>
      <c r="F51" s="7" t="s">
        <v>93</v>
      </c>
      <c r="G51" s="11">
        <v>2000</v>
      </c>
      <c r="H51" s="11">
        <v>2000</v>
      </c>
      <c r="I51" s="11">
        <v>2000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</row>
    <row r="52" spans="1:47" x14ac:dyDescent="0.25">
      <c r="A52" s="18" t="s">
        <v>42</v>
      </c>
      <c r="B52" s="20">
        <v>4.5999999999999999E-2</v>
      </c>
      <c r="C52" s="20">
        <v>-2.5000000000000001E-2</v>
      </c>
      <c r="D52" s="20">
        <v>8.9999999999999993E-3</v>
      </c>
      <c r="E52" s="2"/>
      <c r="F52" s="7" t="s">
        <v>94</v>
      </c>
      <c r="G52" s="33">
        <v>0.16</v>
      </c>
      <c r="H52" s="33">
        <v>0.16</v>
      </c>
      <c r="I52" s="33">
        <v>0.16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</row>
    <row r="53" spans="1:47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</row>
    <row r="54" spans="1:47" x14ac:dyDescent="0.25">
      <c r="A54" s="2"/>
      <c r="B54" s="63"/>
      <c r="C54" s="2"/>
      <c r="D54" s="2"/>
      <c r="E54" s="2"/>
      <c r="F54" s="7" t="s">
        <v>95</v>
      </c>
      <c r="G54" s="33">
        <v>0.25</v>
      </c>
      <c r="H54" s="222" t="s">
        <v>96</v>
      </c>
      <c r="I54" s="221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</row>
    <row r="55" spans="1:47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</row>
    <row r="56" spans="1:47" x14ac:dyDescent="0.25">
      <c r="A56" s="2"/>
      <c r="B56" s="2"/>
      <c r="C56" s="2"/>
      <c r="D56" s="2"/>
      <c r="E56" s="2"/>
      <c r="F56" s="7" t="s">
        <v>97</v>
      </c>
      <c r="G56" s="34">
        <v>2.9499999999999998E-2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</row>
    <row r="57" spans="1:47" x14ac:dyDescent="0.25">
      <c r="A57" s="2"/>
      <c r="B57" s="2"/>
      <c r="C57" s="2"/>
      <c r="D57" s="2"/>
      <c r="E57" s="2"/>
      <c r="F57" s="7" t="s">
        <v>98</v>
      </c>
      <c r="G57" s="34">
        <v>0.03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</row>
    <row r="58" spans="1:47" x14ac:dyDescent="0.25">
      <c r="A58" s="2"/>
      <c r="B58" s="2"/>
      <c r="C58" s="2"/>
      <c r="D58" s="2"/>
      <c r="E58" s="2"/>
      <c r="F58" s="7" t="s">
        <v>99</v>
      </c>
      <c r="G58" s="34">
        <v>5.5E-2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</row>
    <row r="59" spans="1:47" x14ac:dyDescent="0.25">
      <c r="A59" s="2"/>
      <c r="B59" s="2"/>
      <c r="C59" s="2"/>
      <c r="D59" s="2"/>
      <c r="E59" s="2"/>
      <c r="F59" s="7" t="s">
        <v>100</v>
      </c>
      <c r="G59" s="35">
        <v>1.1000000000000001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</row>
    <row r="60" spans="1:47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</row>
    <row r="61" spans="1:47" x14ac:dyDescent="0.25">
      <c r="A61" s="2"/>
      <c r="B61" s="2"/>
      <c r="C61" s="2"/>
      <c r="D61" s="2"/>
      <c r="E61" s="2"/>
      <c r="F61" s="2"/>
      <c r="G61" s="7" t="s">
        <v>250</v>
      </c>
      <c r="H61" s="98">
        <v>0.34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</row>
    <row r="62" spans="1:47" x14ac:dyDescent="0.25">
      <c r="A62" s="2"/>
      <c r="B62" s="2"/>
      <c r="C62" s="2"/>
      <c r="D62" s="2"/>
      <c r="E62" s="2"/>
      <c r="F62" s="2"/>
      <c r="G62" s="7"/>
      <c r="H62" s="1" t="s">
        <v>3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</row>
    <row r="63" spans="1:47" x14ac:dyDescent="0.25">
      <c r="A63" s="2"/>
      <c r="B63" s="2"/>
      <c r="C63" s="2"/>
      <c r="D63" s="2"/>
      <c r="E63" s="2"/>
      <c r="F63" s="2"/>
      <c r="G63" s="217" t="s">
        <v>252</v>
      </c>
      <c r="H63" s="101">
        <v>767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</row>
    <row r="64" spans="1:47" ht="27" customHeight="1" x14ac:dyDescent="0.25">
      <c r="A64" s="2"/>
      <c r="B64" s="2"/>
      <c r="C64" s="2"/>
      <c r="D64" s="2"/>
      <c r="E64" s="2"/>
      <c r="F64" s="2"/>
      <c r="G64" s="217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</row>
    <row r="65" spans="1:47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</row>
    <row r="66" spans="1:47" x14ac:dyDescent="0.25">
      <c r="A66" s="2"/>
      <c r="B66" s="2"/>
      <c r="C66" s="2"/>
      <c r="D66" s="2"/>
      <c r="E66" s="2"/>
      <c r="F66" s="2"/>
      <c r="G66" s="103" t="s">
        <v>253</v>
      </c>
      <c r="H66" s="111">
        <v>0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</row>
    <row r="67" spans="1:47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</row>
    <row r="68" spans="1:47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</row>
    <row r="69" spans="1:47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</row>
    <row r="70" spans="1:47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</row>
    <row r="71" spans="1:47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</row>
    <row r="72" spans="1:47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</row>
    <row r="73" spans="1:47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</row>
    <row r="74" spans="1:47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</row>
    <row r="75" spans="1:47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</row>
    <row r="76" spans="1:47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</row>
    <row r="77" spans="1:47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</row>
    <row r="78" spans="1:47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</row>
    <row r="79" spans="1:47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</row>
    <row r="80" spans="1:47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</row>
    <row r="81" spans="1:47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</row>
    <row r="82" spans="1:47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</row>
    <row r="83" spans="1:47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</row>
    <row r="84" spans="1:47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</row>
    <row r="85" spans="1:47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</row>
    <row r="86" spans="1:47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</row>
    <row r="87" spans="1:47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</row>
    <row r="88" spans="1:47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</row>
    <row r="89" spans="1:47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</row>
    <row r="90" spans="1:47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</row>
    <row r="91" spans="1:47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</row>
    <row r="92" spans="1:47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</row>
    <row r="93" spans="1:47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</row>
    <row r="94" spans="1:47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</row>
    <row r="95" spans="1:47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</row>
    <row r="96" spans="1:47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</row>
    <row r="97" spans="1:47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</row>
    <row r="98" spans="1:47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</row>
    <row r="99" spans="1:47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</row>
    <row r="100" spans="1:47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</row>
    <row r="101" spans="1:47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</row>
    <row r="102" spans="1:47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</row>
    <row r="103" spans="1:47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</row>
    <row r="104" spans="1:47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</row>
    <row r="105" spans="1:47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06" spans="1:47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</row>
    <row r="107" spans="1:47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</row>
    <row r="108" spans="1:47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</row>
    <row r="109" spans="1:47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</row>
    <row r="110" spans="1:47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</row>
    <row r="111" spans="1:47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12" spans="1:47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</row>
    <row r="113" spans="1:47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</row>
    <row r="114" spans="1:47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</row>
    <row r="115" spans="1:47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</row>
    <row r="116" spans="1:47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</row>
    <row r="117" spans="1:47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</row>
    <row r="118" spans="1:47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</row>
    <row r="119" spans="1:47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</row>
    <row r="120" spans="1:47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</row>
    <row r="121" spans="1:47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</row>
    <row r="122" spans="1:47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</row>
    <row r="123" spans="1:47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</row>
    <row r="124" spans="1:47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</row>
    <row r="125" spans="1:47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</row>
    <row r="126" spans="1:47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</row>
    <row r="127" spans="1:47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</row>
    <row r="128" spans="1:47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</row>
    <row r="129" spans="1:47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</row>
    <row r="130" spans="1:47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</row>
    <row r="131" spans="1:47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</row>
    <row r="132" spans="1:47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</row>
    <row r="133" spans="1:47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</row>
    <row r="134" spans="1:47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</row>
    <row r="135" spans="1:47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</row>
    <row r="136" spans="1:47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</row>
    <row r="137" spans="1:47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</row>
    <row r="138" spans="1:47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</row>
    <row r="139" spans="1:47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</row>
    <row r="140" spans="1:47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</row>
    <row r="141" spans="1:47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</row>
    <row r="142" spans="1:47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</row>
    <row r="143" spans="1:47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</row>
    <row r="144" spans="1:47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</row>
    <row r="145" spans="1:47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</row>
    <row r="146" spans="1:47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</row>
    <row r="147" spans="1:47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</row>
    <row r="148" spans="1:47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</row>
    <row r="149" spans="1:47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</row>
    <row r="150" spans="1:47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</row>
    <row r="151" spans="1:47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</row>
    <row r="152" spans="1:47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</row>
    <row r="153" spans="1:47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</row>
    <row r="154" spans="1:47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</row>
    <row r="155" spans="1:47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</row>
    <row r="156" spans="1:47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</row>
    <row r="157" spans="1:47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</row>
    <row r="158" spans="1:47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</row>
    <row r="159" spans="1:47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</row>
    <row r="160" spans="1:47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</row>
    <row r="161" spans="1:47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</row>
    <row r="162" spans="1:47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</row>
    <row r="163" spans="1:47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</row>
    <row r="164" spans="1:47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</row>
    <row r="165" spans="1:47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</row>
    <row r="166" spans="1:47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</row>
    <row r="167" spans="1:47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</row>
    <row r="168" spans="1:47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</row>
    <row r="169" spans="1:47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</row>
    <row r="170" spans="1:47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</row>
    <row r="171" spans="1:47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</row>
    <row r="172" spans="1:47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</row>
    <row r="173" spans="1:47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</row>
    <row r="174" spans="1:47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</row>
    <row r="175" spans="1:47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</row>
    <row r="176" spans="1:47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</row>
    <row r="177" spans="1:47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</row>
    <row r="178" spans="1:47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</row>
    <row r="179" spans="1:47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</row>
    <row r="180" spans="1:47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</row>
    <row r="181" spans="1:47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</row>
    <row r="182" spans="1:47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</row>
    <row r="183" spans="1:47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</row>
    <row r="184" spans="1:47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</row>
    <row r="185" spans="1:47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</row>
    <row r="186" spans="1:47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</row>
    <row r="187" spans="1:47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</row>
    <row r="188" spans="1:47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</row>
    <row r="189" spans="1:47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</row>
    <row r="190" spans="1:47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</row>
    <row r="191" spans="1:47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</row>
    <row r="192" spans="1:47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</row>
    <row r="193" spans="1:47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</row>
    <row r="194" spans="1:47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</row>
    <row r="195" spans="1:47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</row>
    <row r="196" spans="1:47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</row>
    <row r="197" spans="1:47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</row>
    <row r="198" spans="1:47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</row>
    <row r="199" spans="1:47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</row>
    <row r="200" spans="1:47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</row>
    <row r="201" spans="1:47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</row>
    <row r="202" spans="1:47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</row>
    <row r="203" spans="1:47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</row>
    <row r="204" spans="1:47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</row>
    <row r="205" spans="1:47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</row>
    <row r="206" spans="1:47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</row>
    <row r="207" spans="1:47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</row>
    <row r="208" spans="1:47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</row>
    <row r="209" spans="1:47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</row>
    <row r="210" spans="1:47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</row>
    <row r="211" spans="1:47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</row>
    <row r="212" spans="1:47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</row>
    <row r="213" spans="1:47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</row>
    <row r="214" spans="1:47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</row>
    <row r="215" spans="1:47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</row>
    <row r="216" spans="1:47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</row>
    <row r="217" spans="1:47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</row>
    <row r="218" spans="1:47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</row>
    <row r="219" spans="1:47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</row>
    <row r="220" spans="1:47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</row>
    <row r="221" spans="1:47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</row>
    <row r="222" spans="1:47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</row>
    <row r="223" spans="1:47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</row>
    <row r="224" spans="1:4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</row>
    <row r="225" spans="1:4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</row>
    <row r="226" spans="1:4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</row>
    <row r="227" spans="1:4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</row>
    <row r="228" spans="1:4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</row>
    <row r="229" spans="1:4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</row>
    <row r="230" spans="1:4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</row>
    <row r="231" spans="1:4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</row>
    <row r="232" spans="1:4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</row>
    <row r="233" spans="1:4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</row>
    <row r="234" spans="1:4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</row>
    <row r="235" spans="1:4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</row>
    <row r="236" spans="1:4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</row>
    <row r="237" spans="1:4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</row>
    <row r="238" spans="1:4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</row>
    <row r="239" spans="1:4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</row>
    <row r="240" spans="1:4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</row>
    <row r="241" spans="1:4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</row>
    <row r="242" spans="1:4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</row>
    <row r="243" spans="1:4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</row>
    <row r="244" spans="1:4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</row>
    <row r="245" spans="1:4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</row>
    <row r="246" spans="1:4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</row>
    <row r="247" spans="1:4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</row>
    <row r="248" spans="1:4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</row>
    <row r="249" spans="1:4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</row>
    <row r="250" spans="1:4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</row>
    <row r="251" spans="1:4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</row>
    <row r="252" spans="1:4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</row>
    <row r="253" spans="1:4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</row>
    <row r="254" spans="1:4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</row>
    <row r="255" spans="1:4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</row>
    <row r="256" spans="1:4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</row>
    <row r="257" spans="1:4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</row>
    <row r="258" spans="1:4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</row>
    <row r="259" spans="1:4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</row>
    <row r="260" spans="1:4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</row>
    <row r="261" spans="1:4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</row>
    <row r="262" spans="1:4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</row>
    <row r="263" spans="1:4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</row>
    <row r="264" spans="1:4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</row>
    <row r="265" spans="1:4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</row>
    <row r="266" spans="1:4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</row>
    <row r="267" spans="1:4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</row>
    <row r="268" spans="1:4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</row>
    <row r="269" spans="1:4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</row>
    <row r="270" spans="1:4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</row>
    <row r="271" spans="1:4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</row>
    <row r="272" spans="1:4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</row>
    <row r="273" spans="1:4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</row>
    <row r="274" spans="1:4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</row>
    <row r="275" spans="1:4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</row>
    <row r="276" spans="1:4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</row>
    <row r="277" spans="1:4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</row>
    <row r="278" spans="1:4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</row>
    <row r="279" spans="1:4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</row>
    <row r="280" spans="1:4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</row>
    <row r="281" spans="1:4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</row>
    <row r="282" spans="1:4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</row>
    <row r="283" spans="1:4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</row>
    <row r="284" spans="1:4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</row>
    <row r="285" spans="1:4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</row>
    <row r="286" spans="1:4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</row>
    <row r="287" spans="1:4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</row>
    <row r="288" spans="1:4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</row>
    <row r="289" spans="1:4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</row>
    <row r="290" spans="1:4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</row>
    <row r="291" spans="1:4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</row>
    <row r="292" spans="1:4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</row>
    <row r="293" spans="1:4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</row>
    <row r="294" spans="1:4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</row>
    <row r="295" spans="1:4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</row>
    <row r="296" spans="1:4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</row>
    <row r="297" spans="1:4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</row>
    <row r="298" spans="1:4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</row>
    <row r="299" spans="1:4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</row>
    <row r="300" spans="1:4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</row>
    <row r="301" spans="1:4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</row>
    <row r="302" spans="1:4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</row>
    <row r="303" spans="1:4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</row>
    <row r="304" spans="1:4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</row>
    <row r="305" spans="1:4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</row>
    <row r="306" spans="1:4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</row>
    <row r="307" spans="1:4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</row>
    <row r="308" spans="1:4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</row>
    <row r="309" spans="1:4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</row>
    <row r="310" spans="1:4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</row>
    <row r="311" spans="1:4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</row>
    <row r="312" spans="1:4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</row>
    <row r="313" spans="1:4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</row>
    <row r="314" spans="1:4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</row>
    <row r="315" spans="1:4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</row>
    <row r="316" spans="1:4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</row>
    <row r="317" spans="1:4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</row>
    <row r="318" spans="1:4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</row>
    <row r="319" spans="1:4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</row>
    <row r="320" spans="1:4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</row>
    <row r="321" spans="1:4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</row>
    <row r="322" spans="1:4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</row>
    <row r="323" spans="1:4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</row>
    <row r="324" spans="1:4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</row>
    <row r="325" spans="1:4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</row>
    <row r="326" spans="1:4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</row>
    <row r="327" spans="1:4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</row>
    <row r="328" spans="1:4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</row>
    <row r="329" spans="1:4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</row>
    <row r="330" spans="1:4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</row>
    <row r="331" spans="1:4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</row>
    <row r="332" spans="1:4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</row>
    <row r="333" spans="1:4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</row>
    <row r="334" spans="1:4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</row>
    <row r="335" spans="1:4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</row>
    <row r="336" spans="1:4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</row>
    <row r="337" spans="1:4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</row>
    <row r="338" spans="1:4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</row>
    <row r="339" spans="1:4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</row>
    <row r="340" spans="1:4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</row>
    <row r="341" spans="1:4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</row>
    <row r="342" spans="1:4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</row>
    <row r="343" spans="1:4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</row>
    <row r="344" spans="1:4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</row>
    <row r="345" spans="1:4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</row>
    <row r="346" spans="1:4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</row>
    <row r="347" spans="1:4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</row>
    <row r="348" spans="1:4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</row>
    <row r="349" spans="1:4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</row>
    <row r="350" spans="1:4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</row>
    <row r="351" spans="1:4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</row>
    <row r="352" spans="1:4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</row>
    <row r="353" spans="1:4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</row>
    <row r="354" spans="1:4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</row>
    <row r="355" spans="1:4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</row>
    <row r="356" spans="1:4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</row>
    <row r="357" spans="1:4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</row>
    <row r="358" spans="1:4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</row>
    <row r="359" spans="1:4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</row>
    <row r="360" spans="1:4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</row>
    <row r="361" spans="1:4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</row>
    <row r="362" spans="1:4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</row>
    <row r="363" spans="1:4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</row>
    <row r="364" spans="1:4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</row>
    <row r="365" spans="1:4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</row>
    <row r="366" spans="1:4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</row>
    <row r="367" spans="1:4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</row>
    <row r="368" spans="1:4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</row>
    <row r="369" spans="1:4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</row>
    <row r="370" spans="1:4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</row>
    <row r="371" spans="1:4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</row>
    <row r="372" spans="1:4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</row>
    <row r="373" spans="1:4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</row>
    <row r="374" spans="1:4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</row>
    <row r="375" spans="1:4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</row>
    <row r="376" spans="1:47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</row>
    <row r="377" spans="1:47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</row>
    <row r="378" spans="1:47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</row>
    <row r="379" spans="1:47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</row>
    <row r="380" spans="1:47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</row>
    <row r="381" spans="1:47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</row>
    <row r="382" spans="1:47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</row>
    <row r="383" spans="1:47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</row>
    <row r="384" spans="1:47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</row>
    <row r="385" spans="1:47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</row>
    <row r="386" spans="1:47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</row>
    <row r="387" spans="1:47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</row>
    <row r="388" spans="1:47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</row>
    <row r="389" spans="1:47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</row>
    <row r="390" spans="1:47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</row>
    <row r="391" spans="1:47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</row>
    <row r="392" spans="1:47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</row>
    <row r="393" spans="1:47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</row>
    <row r="394" spans="1:47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</row>
    <row r="395" spans="1:47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</row>
    <row r="396" spans="1:47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</row>
    <row r="397" spans="1:47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</row>
    <row r="398" spans="1:47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</row>
    <row r="399" spans="1:47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</row>
    <row r="400" spans="1:47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</row>
    <row r="401" spans="1:47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</row>
    <row r="402" spans="1:47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</row>
    <row r="403" spans="1:47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</row>
    <row r="404" spans="1:47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</row>
    <row r="405" spans="1:47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</row>
    <row r="406" spans="1:47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</row>
    <row r="407" spans="1:47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</row>
    <row r="408" spans="1:47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</row>
    <row r="409" spans="1:47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</row>
    <row r="410" spans="1:47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</row>
    <row r="411" spans="1:47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</row>
    <row r="412" spans="1:47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</row>
    <row r="413" spans="1:47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</row>
    <row r="414" spans="1:47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</row>
    <row r="415" spans="1:47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</row>
    <row r="416" spans="1:47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</row>
    <row r="417" spans="1:47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</row>
    <row r="418" spans="1:47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</row>
    <row r="419" spans="1:47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</row>
    <row r="420" spans="1:47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</row>
    <row r="421" spans="1:47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</row>
    <row r="422" spans="1:47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</row>
    <row r="423" spans="1:47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</row>
    <row r="424" spans="1:47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</row>
    <row r="425" spans="1:47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</row>
    <row r="426" spans="1:47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</row>
    <row r="427" spans="1:47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</row>
    <row r="428" spans="1:47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</row>
    <row r="429" spans="1:47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</row>
    <row r="430" spans="1:47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</row>
    <row r="431" spans="1:47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</row>
    <row r="432" spans="1:47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</row>
    <row r="433" spans="1:47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</row>
    <row r="434" spans="1:47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</row>
    <row r="435" spans="1:47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</row>
    <row r="436" spans="1:47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</row>
    <row r="437" spans="1:47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</row>
    <row r="438" spans="1:47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</row>
    <row r="439" spans="1:47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</row>
    <row r="440" spans="1:47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</row>
    <row r="441" spans="1:47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</row>
    <row r="442" spans="1:47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</row>
    <row r="443" spans="1:47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</row>
    <row r="444" spans="1:47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</row>
    <row r="445" spans="1:47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</row>
    <row r="446" spans="1:47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</row>
    <row r="447" spans="1:47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</row>
    <row r="448" spans="1:47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</row>
    <row r="449" spans="1:47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</row>
    <row r="450" spans="1:47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</row>
    <row r="451" spans="1:47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</row>
    <row r="452" spans="1:47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</row>
    <row r="453" spans="1:47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</row>
    <row r="454" spans="1:47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</row>
    <row r="455" spans="1:47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</row>
    <row r="456" spans="1:47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</row>
    <row r="457" spans="1:47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</row>
    <row r="458" spans="1:47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</row>
    <row r="459" spans="1:47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</row>
    <row r="460" spans="1:47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</row>
    <row r="461" spans="1:47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</row>
    <row r="462" spans="1:47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</row>
    <row r="463" spans="1:47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</row>
    <row r="464" spans="1:47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</row>
    <row r="465" spans="1:47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</row>
    <row r="466" spans="1:47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</row>
    <row r="467" spans="1:47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</row>
    <row r="468" spans="1:47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</row>
    <row r="469" spans="1:47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</row>
    <row r="470" spans="1:47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</row>
    <row r="471" spans="1:47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</row>
    <row r="472" spans="1:47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</row>
    <row r="473" spans="1:47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</row>
    <row r="474" spans="1:47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</row>
    <row r="475" spans="1:47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</row>
    <row r="476" spans="1:47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</row>
    <row r="477" spans="1:47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</row>
    <row r="478" spans="1:47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</row>
    <row r="479" spans="1:47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</row>
    <row r="480" spans="1:47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</row>
    <row r="481" spans="1:47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</row>
    <row r="482" spans="1:47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</row>
    <row r="483" spans="1:47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</row>
    <row r="484" spans="1:47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</row>
    <row r="485" spans="1:47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</row>
    <row r="486" spans="1:47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</row>
    <row r="487" spans="1:47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</row>
    <row r="488" spans="1:47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</row>
    <row r="489" spans="1:47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</row>
    <row r="490" spans="1:47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</row>
    <row r="491" spans="1:47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</row>
    <row r="492" spans="1:47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</row>
    <row r="493" spans="1:47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</row>
    <row r="494" spans="1:47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</row>
    <row r="495" spans="1:47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</row>
    <row r="496" spans="1:47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</row>
    <row r="497" spans="1:47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</row>
    <row r="498" spans="1:47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</row>
    <row r="499" spans="1:47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</row>
    <row r="500" spans="1:47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</row>
    <row r="501" spans="1:47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</row>
    <row r="502" spans="1:47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</row>
    <row r="503" spans="1:47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</row>
    <row r="504" spans="1:47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</row>
    <row r="505" spans="1:47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</row>
    <row r="506" spans="1:47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</row>
    <row r="507" spans="1:47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</row>
    <row r="508" spans="1:47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</row>
    <row r="509" spans="1:47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</row>
    <row r="510" spans="1:47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</row>
    <row r="511" spans="1:47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</row>
    <row r="512" spans="1:47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</row>
    <row r="513" spans="1:47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</row>
    <row r="514" spans="1:47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</row>
    <row r="515" spans="1:47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</row>
    <row r="516" spans="1:47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</row>
    <row r="517" spans="1:47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</row>
    <row r="518" spans="1:47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</row>
    <row r="519" spans="1:47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</row>
    <row r="520" spans="1:47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</row>
    <row r="521" spans="1:47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</row>
    <row r="522" spans="1:47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</row>
    <row r="523" spans="1:47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</row>
    <row r="524" spans="1:47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</row>
    <row r="525" spans="1:47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</row>
    <row r="526" spans="1:47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</row>
    <row r="527" spans="1:47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</row>
    <row r="528" spans="1:47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</row>
    <row r="529" spans="1:47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</row>
    <row r="530" spans="1:47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</row>
    <row r="531" spans="1:47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</row>
    <row r="532" spans="1:47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</row>
    <row r="533" spans="1:47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</row>
    <row r="534" spans="1:47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</row>
    <row r="535" spans="1:47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</row>
    <row r="536" spans="1:47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</row>
    <row r="537" spans="1:47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</row>
    <row r="538" spans="1:47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</row>
    <row r="539" spans="1:47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</row>
    <row r="540" spans="1:47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</row>
    <row r="541" spans="1:47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</row>
    <row r="542" spans="1:47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</row>
    <row r="543" spans="1:47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</row>
    <row r="544" spans="1:47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</row>
    <row r="545" spans="1:47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</row>
    <row r="546" spans="1:47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</row>
    <row r="547" spans="1:47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</row>
    <row r="548" spans="1:47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</row>
    <row r="549" spans="1:47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</row>
    <row r="550" spans="1:47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</row>
    <row r="551" spans="1:47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</row>
    <row r="552" spans="1:47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</row>
    <row r="553" spans="1:47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</row>
    <row r="554" spans="1:47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</row>
    <row r="555" spans="1:47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</row>
    <row r="556" spans="1:47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</row>
    <row r="557" spans="1:47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</row>
    <row r="558" spans="1:47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</row>
    <row r="559" spans="1:47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</row>
    <row r="560" spans="1:47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</row>
    <row r="561" spans="1:47" x14ac:dyDescent="0.25">
      <c r="A561" s="2"/>
      <c r="B561" s="2"/>
      <c r="E561" s="2"/>
      <c r="F561" s="2"/>
      <c r="G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</row>
  </sheetData>
  <mergeCells count="13">
    <mergeCell ref="F17:F18"/>
    <mergeCell ref="H27:J28"/>
    <mergeCell ref="H29:J32"/>
    <mergeCell ref="F45:G45"/>
    <mergeCell ref="H47:J47"/>
    <mergeCell ref="G63:G64"/>
    <mergeCell ref="J12:K12"/>
    <mergeCell ref="J13:K13"/>
    <mergeCell ref="H14:K14"/>
    <mergeCell ref="H16:K16"/>
    <mergeCell ref="H17:K18"/>
    <mergeCell ref="H54:I54"/>
    <mergeCell ref="H49:J49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opLeftCell="A17" workbookViewId="0">
      <selection activeCell="G38" sqref="G38"/>
    </sheetView>
  </sheetViews>
  <sheetFormatPr defaultRowHeight="15" x14ac:dyDescent="0.25"/>
  <cols>
    <col min="1" max="1" width="43.85546875" bestFit="1" customWidth="1"/>
    <col min="2" max="2" width="11.5703125" bestFit="1" customWidth="1"/>
    <col min="3" max="3" width="11" bestFit="1" customWidth="1"/>
    <col min="4" max="4" width="11.7109375" bestFit="1" customWidth="1"/>
  </cols>
  <sheetData>
    <row r="1" spans="1:4" x14ac:dyDescent="0.25">
      <c r="A1" s="134" t="s">
        <v>18</v>
      </c>
      <c r="B1" s="134" t="s">
        <v>233</v>
      </c>
      <c r="C1" s="134" t="s">
        <v>272</v>
      </c>
      <c r="D1" s="134" t="s">
        <v>273</v>
      </c>
    </row>
    <row r="2" spans="1:4" x14ac:dyDescent="0.25">
      <c r="A2" s="101" t="s">
        <v>19</v>
      </c>
      <c r="B2" s="2"/>
      <c r="C2" s="2"/>
      <c r="D2" s="2"/>
    </row>
    <row r="3" spans="1:4" x14ac:dyDescent="0.25">
      <c r="A3" s="4" t="s">
        <v>274</v>
      </c>
      <c r="B3" s="154">
        <f>'BP-WACC-Val2'!B6</f>
        <v>8788</v>
      </c>
      <c r="C3" s="154">
        <f>'BP-WACC-Valuation'!B5</f>
        <v>1323</v>
      </c>
      <c r="D3" s="155">
        <f>SUM(B3:C3)</f>
        <v>10111</v>
      </c>
    </row>
    <row r="4" spans="1:4" x14ac:dyDescent="0.25">
      <c r="A4" s="6" t="s">
        <v>21</v>
      </c>
      <c r="B4" s="154">
        <f>'BP-WACC-Val2'!B7</f>
        <v>8000</v>
      </c>
      <c r="C4" s="154">
        <f>'BP-WACC-Valuation'!B6</f>
        <v>6926</v>
      </c>
      <c r="D4" s="155">
        <f t="shared" ref="D4:D7" si="0">SUM(B4:C4)</f>
        <v>14926</v>
      </c>
    </row>
    <row r="5" spans="1:4" x14ac:dyDescent="0.25">
      <c r="A5" s="6" t="s">
        <v>22</v>
      </c>
      <c r="B5" s="154">
        <f>'BP-WACC-Val2'!B8</f>
        <v>6300</v>
      </c>
      <c r="C5" s="154">
        <f>'BP-WACC-Valuation'!B7</f>
        <v>5785</v>
      </c>
      <c r="D5" s="155">
        <f t="shared" si="0"/>
        <v>12085</v>
      </c>
    </row>
    <row r="6" spans="1:4" x14ac:dyDescent="0.25">
      <c r="A6" s="6" t="s">
        <v>23</v>
      </c>
      <c r="B6" s="154">
        <f>'BP-WACC-Val2'!B9</f>
        <v>0</v>
      </c>
      <c r="C6" s="154">
        <f>'BP-WACC-Valuation'!B8</f>
        <v>1046</v>
      </c>
      <c r="D6" s="155">
        <f t="shared" si="0"/>
        <v>1046</v>
      </c>
    </row>
    <row r="7" spans="1:4" x14ac:dyDescent="0.25">
      <c r="A7" s="5"/>
      <c r="B7" s="154">
        <f>'BP-WACC-Val2'!B10</f>
        <v>23088</v>
      </c>
      <c r="C7" s="154">
        <f>'BP-WACC-Valuation'!B9</f>
        <v>15080</v>
      </c>
      <c r="D7" s="155">
        <f t="shared" si="0"/>
        <v>38168</v>
      </c>
    </row>
    <row r="8" spans="1:4" x14ac:dyDescent="0.25">
      <c r="A8" s="101" t="s">
        <v>35</v>
      </c>
    </row>
    <row r="9" spans="1:4" x14ac:dyDescent="0.25">
      <c r="A9" s="4" t="s">
        <v>25</v>
      </c>
      <c r="B9" s="153">
        <f>'BP-WACC-Val2'!B13</f>
        <v>55000</v>
      </c>
      <c r="C9" s="153">
        <f>'BP-WACC-Valuation'!B12</f>
        <v>43435</v>
      </c>
      <c r="D9" s="156">
        <f>SUM(B9:C9)</f>
        <v>98435</v>
      </c>
    </row>
    <row r="10" spans="1:4" x14ac:dyDescent="0.25">
      <c r="A10" s="15" t="s">
        <v>275</v>
      </c>
      <c r="B10" s="153">
        <f>'BP-WACC-Val2'!B14</f>
        <v>7600</v>
      </c>
      <c r="C10" s="153">
        <f>'BP-WACC-Valuation'!B13</f>
        <v>7902</v>
      </c>
      <c r="D10" s="156">
        <f t="shared" ref="D10:D12" si="1">SUM(B10:C10)</f>
        <v>15502</v>
      </c>
    </row>
    <row r="11" spans="1:4" x14ac:dyDescent="0.25">
      <c r="A11" s="5" t="s">
        <v>276</v>
      </c>
      <c r="B11" s="153">
        <f>'BP-WACC-Val2'!B15</f>
        <v>47400</v>
      </c>
      <c r="C11" s="153">
        <f>'BP-WACC-Valuation'!B14</f>
        <v>35533</v>
      </c>
      <c r="D11" s="156">
        <f t="shared" si="1"/>
        <v>82933</v>
      </c>
    </row>
    <row r="12" spans="1:4" x14ac:dyDescent="0.25">
      <c r="A12" s="46" t="s">
        <v>28</v>
      </c>
      <c r="B12" s="153">
        <f>'BP-WACC-Val2'!B16</f>
        <v>70488</v>
      </c>
      <c r="C12" s="153">
        <f>'BP-WACC-Valuation'!B15</f>
        <v>50613</v>
      </c>
      <c r="D12" s="156">
        <f t="shared" si="1"/>
        <v>121101</v>
      </c>
    </row>
    <row r="14" spans="1:4" x14ac:dyDescent="0.25">
      <c r="A14" s="101"/>
      <c r="B14" s="134" t="s">
        <v>233</v>
      </c>
      <c r="C14" s="134" t="s">
        <v>272</v>
      </c>
      <c r="D14" s="134" t="s">
        <v>273</v>
      </c>
    </row>
    <row r="15" spans="1:4" x14ac:dyDescent="0.25">
      <c r="A15" s="134" t="s">
        <v>29</v>
      </c>
      <c r="B15" s="2"/>
      <c r="C15" s="2"/>
      <c r="D15" s="2"/>
    </row>
    <row r="16" spans="1:4" x14ac:dyDescent="0.25">
      <c r="A16" s="101" t="s">
        <v>19</v>
      </c>
      <c r="B16" s="2"/>
      <c r="C16" s="2"/>
      <c r="D16" s="2"/>
    </row>
    <row r="17" spans="1:4" x14ac:dyDescent="0.25">
      <c r="A17" s="4" t="s">
        <v>30</v>
      </c>
      <c r="B17" s="153">
        <f>'BP-WACC-Val2'!B20</f>
        <v>15456</v>
      </c>
      <c r="C17" s="153">
        <f>'BP-WACC-Valuation'!B19</f>
        <v>4675</v>
      </c>
      <c r="D17" s="153">
        <f>SUM(B17:C17)</f>
        <v>20131</v>
      </c>
    </row>
    <row r="18" spans="1:4" x14ac:dyDescent="0.25">
      <c r="A18" s="6" t="s">
        <v>31</v>
      </c>
      <c r="B18" s="153">
        <f>'BP-WACC-Val2'!B21</f>
        <v>1245</v>
      </c>
      <c r="C18" s="153">
        <f>'BP-WACC-Valuation'!B20</f>
        <v>1515</v>
      </c>
      <c r="D18" s="153">
        <f t="shared" ref="D18:D23" si="2">SUM(B18:C18)</f>
        <v>2760</v>
      </c>
    </row>
    <row r="19" spans="1:4" x14ac:dyDescent="0.25">
      <c r="A19" s="6" t="s">
        <v>32</v>
      </c>
      <c r="B19" s="153">
        <f>'BP-WACC-Val2'!B24</f>
        <v>0</v>
      </c>
      <c r="C19" s="153">
        <f>'BP-WACC-Valuation'!B23</f>
        <v>12630</v>
      </c>
      <c r="D19" s="153">
        <f t="shared" si="2"/>
        <v>12630</v>
      </c>
    </row>
    <row r="20" spans="1:4" x14ac:dyDescent="0.25">
      <c r="A20" s="6" t="s">
        <v>33</v>
      </c>
      <c r="B20" s="153">
        <f>'BP-WACC-Val2'!B25</f>
        <v>1150</v>
      </c>
      <c r="C20" s="153">
        <f>'BP-WACC-Valuation'!B24</f>
        <v>2450</v>
      </c>
      <c r="D20" s="153">
        <f t="shared" si="2"/>
        <v>3600</v>
      </c>
    </row>
    <row r="21" spans="1:4" x14ac:dyDescent="0.25">
      <c r="A21" s="6" t="s">
        <v>34</v>
      </c>
      <c r="B21" s="153">
        <f>'BP-WACC-Val2'!B22</f>
        <v>3932.7749999999996</v>
      </c>
      <c r="C21" s="153">
        <f>'BP-WACC-Valuation'!B21</f>
        <v>162.75</v>
      </c>
      <c r="D21" s="153">
        <f t="shared" si="2"/>
        <v>4095.5249999999996</v>
      </c>
    </row>
    <row r="22" spans="1:4" x14ac:dyDescent="0.25">
      <c r="A22" s="6" t="s">
        <v>23</v>
      </c>
      <c r="B22" s="153">
        <f>'BP-WACC-Val2'!B23</f>
        <v>300</v>
      </c>
      <c r="C22" s="153">
        <f>'BP-WACC-Valuation'!B22</f>
        <v>0</v>
      </c>
      <c r="D22" s="153">
        <f t="shared" si="2"/>
        <v>300</v>
      </c>
    </row>
    <row r="23" spans="1:4" x14ac:dyDescent="0.25">
      <c r="A23" s="5"/>
      <c r="B23" s="153">
        <f>SUM(B17:B22)</f>
        <v>22083.775000000001</v>
      </c>
      <c r="C23" s="153">
        <f>SUM(C17:C22)</f>
        <v>21432.75</v>
      </c>
      <c r="D23" s="153">
        <f t="shared" si="2"/>
        <v>43516.525000000001</v>
      </c>
    </row>
    <row r="24" spans="1:4" x14ac:dyDescent="0.25">
      <c r="A24" s="101" t="s">
        <v>35</v>
      </c>
      <c r="B24" s="2"/>
      <c r="C24" s="2"/>
      <c r="D24" s="2"/>
    </row>
    <row r="25" spans="1:4" x14ac:dyDescent="0.25">
      <c r="A25" s="4" t="s">
        <v>36</v>
      </c>
      <c r="B25" s="153">
        <f>'BP-WACC-Val2'!B28</f>
        <v>5750</v>
      </c>
      <c r="C25" s="153">
        <f>'BP-WACC-Valuation'!B27</f>
        <v>7350</v>
      </c>
      <c r="D25" s="153">
        <f>SUM(B25:C25)</f>
        <v>13100</v>
      </c>
    </row>
    <row r="26" spans="1:4" x14ac:dyDescent="0.25">
      <c r="A26" s="5"/>
      <c r="B26" s="153">
        <f>'BP-WACC-Val2'!B29</f>
        <v>5750</v>
      </c>
      <c r="C26" s="153">
        <f>'BP-WACC-Valuation'!B28</f>
        <v>7350</v>
      </c>
      <c r="D26" s="153">
        <f>SUM(B26:C26)</f>
        <v>13100</v>
      </c>
    </row>
    <row r="27" spans="1:4" x14ac:dyDescent="0.25">
      <c r="A27" s="7" t="s">
        <v>37</v>
      </c>
    </row>
    <row r="28" spans="1:4" x14ac:dyDescent="0.25">
      <c r="A28" s="17" t="s">
        <v>38</v>
      </c>
      <c r="B28" s="153">
        <f>'BP-WACC-Val2'!B31</f>
        <v>39221</v>
      </c>
      <c r="C28" s="153">
        <f>'BP-WACC-Valuation'!B30</f>
        <v>8566</v>
      </c>
      <c r="D28" s="153">
        <f>SUM(B28:C28)</f>
        <v>47787</v>
      </c>
    </row>
    <row r="29" spans="1:4" x14ac:dyDescent="0.25">
      <c r="A29" s="69" t="s">
        <v>39</v>
      </c>
      <c r="B29" s="153">
        <f>'BP-WACC-Val2'!B32</f>
        <v>3433</v>
      </c>
      <c r="C29" s="153">
        <f>'BP-WACC-Valuation'!B31</f>
        <v>13212</v>
      </c>
      <c r="D29" s="153">
        <f t="shared" ref="D29:D31" si="3">SUM(B29:C29)</f>
        <v>16645</v>
      </c>
    </row>
    <row r="30" spans="1:4" x14ac:dyDescent="0.25">
      <c r="A30" s="18"/>
      <c r="B30" s="153">
        <f>'BP-WACC-Val2'!B33</f>
        <v>42654</v>
      </c>
      <c r="C30" s="153">
        <f>'BP-WACC-Valuation'!B32</f>
        <v>21778</v>
      </c>
      <c r="D30" s="153">
        <f t="shared" si="3"/>
        <v>64432</v>
      </c>
    </row>
    <row r="31" spans="1:4" x14ac:dyDescent="0.25">
      <c r="A31" s="134" t="s">
        <v>40</v>
      </c>
      <c r="B31" s="153">
        <f>B30+B26+B23</f>
        <v>70487.774999999994</v>
      </c>
      <c r="C31" s="153">
        <f>'BP-WACC-Valuation'!B33</f>
        <v>50613</v>
      </c>
      <c r="D31" s="153">
        <f t="shared" si="3"/>
        <v>121100.77499999999</v>
      </c>
    </row>
    <row r="33" spans="1:4" x14ac:dyDescent="0.25">
      <c r="A33" s="134" t="s">
        <v>0</v>
      </c>
      <c r="B33" s="134" t="s">
        <v>233</v>
      </c>
      <c r="C33" s="134" t="s">
        <v>272</v>
      </c>
      <c r="D33" s="134" t="s">
        <v>273</v>
      </c>
    </row>
    <row r="34" spans="1:4" x14ac:dyDescent="0.25">
      <c r="A34" s="4" t="s">
        <v>277</v>
      </c>
      <c r="B34" s="157">
        <f>'DFC-DRE2'!B35</f>
        <v>143000</v>
      </c>
      <c r="C34" s="157">
        <f>'DFC-DRE'!B35</f>
        <v>94662</v>
      </c>
      <c r="D34" s="157">
        <f>SUM(B34:C34)</f>
        <v>237662</v>
      </c>
    </row>
    <row r="35" spans="1:4" x14ac:dyDescent="0.25">
      <c r="A35" s="5" t="s">
        <v>234</v>
      </c>
      <c r="B35" s="157">
        <f>'DFC-DRE2'!B36</f>
        <v>18590</v>
      </c>
      <c r="C35" s="157">
        <f>'DFC-DRE'!B36</f>
        <v>12117</v>
      </c>
      <c r="D35" s="157">
        <f t="shared" ref="D35:D47" si="4">SUM(B35:C35)</f>
        <v>30707</v>
      </c>
    </row>
    <row r="36" spans="1:4" x14ac:dyDescent="0.25">
      <c r="A36" s="4" t="s">
        <v>278</v>
      </c>
      <c r="B36" s="157">
        <f>'DFC-DRE2'!B37</f>
        <v>124410</v>
      </c>
      <c r="C36" s="157">
        <f>'DFC-DRE'!B37</f>
        <v>82545</v>
      </c>
      <c r="D36" s="157">
        <f t="shared" si="4"/>
        <v>206955</v>
      </c>
    </row>
    <row r="37" spans="1:4" x14ac:dyDescent="0.25">
      <c r="A37" s="5" t="s">
        <v>128</v>
      </c>
      <c r="B37" s="157">
        <f>'DFC-DRE2'!B38</f>
        <v>95673</v>
      </c>
      <c r="C37" s="157">
        <f>'DFC-DRE'!B38</f>
        <v>70223</v>
      </c>
      <c r="D37" s="157">
        <f t="shared" si="4"/>
        <v>165896</v>
      </c>
    </row>
    <row r="38" spans="1:4" x14ac:dyDescent="0.25">
      <c r="A38" s="4" t="s">
        <v>8</v>
      </c>
      <c r="B38" s="157">
        <f>'DFC-DRE2'!B39</f>
        <v>28737</v>
      </c>
      <c r="C38" s="157">
        <f>'DFC-DRE'!B39</f>
        <v>12322</v>
      </c>
      <c r="D38" s="157">
        <f t="shared" si="4"/>
        <v>41059</v>
      </c>
    </row>
    <row r="39" spans="1:4" x14ac:dyDescent="0.25">
      <c r="A39" s="6" t="s">
        <v>9</v>
      </c>
      <c r="B39" s="157">
        <f>'DFC-DRE2'!B40</f>
        <v>324</v>
      </c>
      <c r="C39" s="157">
        <f>'DFC-DRE'!B40</f>
        <v>324</v>
      </c>
      <c r="D39" s="157">
        <f t="shared" si="4"/>
        <v>648</v>
      </c>
    </row>
    <row r="40" spans="1:4" x14ac:dyDescent="0.25">
      <c r="A40" s="6" t="s">
        <v>10</v>
      </c>
      <c r="B40" s="157">
        <f>'DFC-DRE2'!B41</f>
        <v>1245</v>
      </c>
      <c r="C40" s="157">
        <f>'DFC-DRE'!B41</f>
        <v>1449</v>
      </c>
      <c r="D40" s="157">
        <f t="shared" si="4"/>
        <v>2694</v>
      </c>
    </row>
    <row r="41" spans="1:4" x14ac:dyDescent="0.25">
      <c r="A41" s="5" t="s">
        <v>11</v>
      </c>
      <c r="B41" s="157">
        <f>'DFC-DRE2'!B42</f>
        <v>3234</v>
      </c>
      <c r="C41" s="157">
        <f>'DFC-DRE'!B42</f>
        <v>2111</v>
      </c>
      <c r="D41" s="157">
        <f t="shared" si="4"/>
        <v>5345</v>
      </c>
    </row>
    <row r="42" spans="1:4" x14ac:dyDescent="0.25">
      <c r="A42" s="4" t="s">
        <v>12</v>
      </c>
      <c r="B42" s="157">
        <f>'DFC-DRE2'!B43</f>
        <v>23934</v>
      </c>
      <c r="C42" s="157">
        <f>'DFC-DRE'!B43</f>
        <v>8438</v>
      </c>
      <c r="D42" s="157">
        <f t="shared" si="4"/>
        <v>32372</v>
      </c>
    </row>
    <row r="43" spans="1:4" x14ac:dyDescent="0.25">
      <c r="A43" s="6" t="s">
        <v>13</v>
      </c>
      <c r="B43" s="157">
        <f>'DFC-DRE2'!B44</f>
        <v>867</v>
      </c>
      <c r="C43" s="157">
        <f>'DFC-DRE'!B44</f>
        <v>131</v>
      </c>
      <c r="D43" s="157">
        <f t="shared" si="4"/>
        <v>998</v>
      </c>
    </row>
    <row r="44" spans="1:4" x14ac:dyDescent="0.25">
      <c r="A44" s="5" t="s">
        <v>14</v>
      </c>
      <c r="B44" s="157">
        <f>'DFC-DRE2'!B45</f>
        <v>966</v>
      </c>
      <c r="C44" s="157">
        <f>'DFC-DRE'!B45</f>
        <v>7678</v>
      </c>
      <c r="D44" s="157">
        <f t="shared" si="4"/>
        <v>8644</v>
      </c>
    </row>
    <row r="45" spans="1:4" x14ac:dyDescent="0.25">
      <c r="A45" s="4" t="s">
        <v>15</v>
      </c>
      <c r="B45" s="157">
        <f>'DFC-DRE2'!B46</f>
        <v>23835</v>
      </c>
      <c r="C45" s="157">
        <f>'DFC-DRE'!B46</f>
        <v>891</v>
      </c>
      <c r="D45" s="157">
        <f t="shared" si="4"/>
        <v>24726</v>
      </c>
    </row>
    <row r="46" spans="1:4" x14ac:dyDescent="0.25">
      <c r="A46" s="5" t="s">
        <v>16</v>
      </c>
      <c r="B46" s="157">
        <f>'DFC-DRE2'!B47</f>
        <v>8103.9000000000005</v>
      </c>
      <c r="C46" s="157">
        <f>'DFC-DRE'!B47</f>
        <v>240</v>
      </c>
      <c r="D46" s="157">
        <f t="shared" si="4"/>
        <v>8343.9000000000015</v>
      </c>
    </row>
    <row r="47" spans="1:4" x14ac:dyDescent="0.25">
      <c r="A47" s="101" t="s">
        <v>279</v>
      </c>
      <c r="B47" s="157">
        <f>'DFC-DRE2'!B48</f>
        <v>15731.099999999999</v>
      </c>
      <c r="C47" s="157">
        <f>'DFC-DRE'!B48</f>
        <v>651</v>
      </c>
      <c r="D47" s="157">
        <f t="shared" si="4"/>
        <v>16382.099999999999</v>
      </c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40"/>
  <sheetViews>
    <sheetView topLeftCell="A46" zoomScale="85" zoomScaleNormal="85" workbookViewId="0">
      <selection activeCell="C61" sqref="C61"/>
    </sheetView>
  </sheetViews>
  <sheetFormatPr defaultRowHeight="15" x14ac:dyDescent="0.25"/>
  <cols>
    <col min="1" max="1" width="42.5703125" customWidth="1"/>
    <col min="2" max="2" width="10.5703125" bestFit="1" customWidth="1"/>
    <col min="3" max="5" width="14.42578125" bestFit="1" customWidth="1"/>
    <col min="6" max="7" width="15.28515625" bestFit="1" customWidth="1"/>
    <col min="10" max="10" width="28.85546875" bestFit="1" customWidth="1"/>
    <col min="11" max="11" width="9.140625" customWidth="1"/>
  </cols>
  <sheetData>
    <row r="1" spans="1:7" x14ac:dyDescent="0.25">
      <c r="A1" s="134" t="s">
        <v>101</v>
      </c>
      <c r="C1" s="134" t="s">
        <v>53</v>
      </c>
      <c r="D1" s="134" t="s">
        <v>54</v>
      </c>
      <c r="E1" s="134" t="s">
        <v>55</v>
      </c>
      <c r="F1" s="134" t="s">
        <v>56</v>
      </c>
      <c r="G1" s="134" t="s">
        <v>57</v>
      </c>
    </row>
    <row r="2" spans="1:7" ht="6.75" customHeight="1" x14ac:dyDescent="0.25">
      <c r="A2" s="135"/>
      <c r="C2" s="135"/>
      <c r="D2" s="135"/>
      <c r="E2" s="135"/>
      <c r="F2" s="135"/>
      <c r="G2" s="135"/>
    </row>
    <row r="3" spans="1:7" x14ac:dyDescent="0.25">
      <c r="A3" s="4" t="s">
        <v>102</v>
      </c>
      <c r="C3" s="36">
        <f>'Rec-Desp-Fin'!C3</f>
        <v>288</v>
      </c>
      <c r="D3" s="36">
        <f>'Rec-Desp-Fin'!D3</f>
        <v>288</v>
      </c>
      <c r="E3" s="36">
        <f>'Rec-Desp-Fin'!E3</f>
        <v>288</v>
      </c>
      <c r="F3" s="36">
        <f>'Rec-Desp-Fin'!F3</f>
        <v>288</v>
      </c>
      <c r="G3" s="36">
        <f>'Rec-Desp-Fin'!G3</f>
        <v>288</v>
      </c>
    </row>
    <row r="4" spans="1:7" x14ac:dyDescent="0.25">
      <c r="A4" s="6" t="s">
        <v>103</v>
      </c>
      <c r="C4" s="37">
        <f>'Premissa EmpComb'!B3</f>
        <v>170000</v>
      </c>
      <c r="D4" s="37">
        <f>'Premissa EmpComb'!C3</f>
        <v>170000</v>
      </c>
      <c r="E4" s="37">
        <f>'Premissa EmpComb'!D3</f>
        <v>180000</v>
      </c>
      <c r="F4" s="37">
        <f>'Premissa EmpComb'!E3</f>
        <v>185000</v>
      </c>
      <c r="G4" s="37">
        <f>F4</f>
        <v>185000</v>
      </c>
    </row>
    <row r="5" spans="1:7" x14ac:dyDescent="0.25">
      <c r="A5" s="6" t="s">
        <v>104</v>
      </c>
      <c r="C5" s="153">
        <f>C3*C4</f>
        <v>48960000</v>
      </c>
      <c r="D5" s="153">
        <f t="shared" ref="D5:G5" si="0">D3*D4</f>
        <v>48960000</v>
      </c>
      <c r="E5" s="153">
        <f t="shared" si="0"/>
        <v>51840000</v>
      </c>
      <c r="F5" s="153">
        <f t="shared" si="0"/>
        <v>53280000</v>
      </c>
      <c r="G5" s="153">
        <f t="shared" si="0"/>
        <v>53280000</v>
      </c>
    </row>
    <row r="6" spans="1:7" x14ac:dyDescent="0.25">
      <c r="A6" s="6" t="s">
        <v>105</v>
      </c>
      <c r="C6" s="36">
        <f>'Rec-Desp-Fin'!C6</f>
        <v>2.2999999999999998</v>
      </c>
      <c r="D6" s="36">
        <f>'Rec-Desp-Fin'!D6</f>
        <v>2.2999999999999998</v>
      </c>
      <c r="E6" s="36">
        <f>'Rec-Desp-Fin'!E6</f>
        <v>2.2999999999999998</v>
      </c>
      <c r="F6" s="36">
        <f>'Rec-Desp-Fin'!F6</f>
        <v>2.2999999999999998</v>
      </c>
      <c r="G6" s="36">
        <f>'Rec-Desp-Fin'!G6</f>
        <v>2.2999999999999998</v>
      </c>
    </row>
    <row r="7" spans="1:7" x14ac:dyDescent="0.25">
      <c r="A7" s="6" t="s">
        <v>106</v>
      </c>
      <c r="C7" s="156">
        <f>C5*C6</f>
        <v>112607999.99999999</v>
      </c>
      <c r="D7" s="156">
        <f t="shared" ref="D7:G7" si="1">D5*D6</f>
        <v>112607999.99999999</v>
      </c>
      <c r="E7" s="156">
        <f t="shared" si="1"/>
        <v>119231999.99999999</v>
      </c>
      <c r="F7" s="156">
        <f t="shared" si="1"/>
        <v>122543999.99999999</v>
      </c>
      <c r="G7" s="156">
        <f t="shared" si="1"/>
        <v>122543999.99999999</v>
      </c>
    </row>
    <row r="8" spans="1:7" x14ac:dyDescent="0.25">
      <c r="A8" s="6" t="s">
        <v>107</v>
      </c>
      <c r="C8" s="158">
        <f>'Premissa EmpComb'!B9</f>
        <v>0.17411764705882352</v>
      </c>
      <c r="D8" s="158">
        <f>'Premissa EmpComb'!C9</f>
        <v>0.17411764705882352</v>
      </c>
      <c r="E8" s="158">
        <f>'Premissa EmpComb'!D9</f>
        <v>0.17</v>
      </c>
      <c r="F8" s="158">
        <f>E8</f>
        <v>0.17</v>
      </c>
      <c r="G8" s="158">
        <f>E8</f>
        <v>0.17</v>
      </c>
    </row>
    <row r="9" spans="1:7" ht="30" x14ac:dyDescent="0.25">
      <c r="A9" s="213" t="s">
        <v>108</v>
      </c>
      <c r="C9" s="153">
        <f>C7*(1-C8)</f>
        <v>93000959.999999985</v>
      </c>
      <c r="D9" s="153">
        <f t="shared" ref="D9:G9" si="2">D7*(1-D8)</f>
        <v>93000959.999999985</v>
      </c>
      <c r="E9" s="153">
        <f t="shared" si="2"/>
        <v>98962559.999999985</v>
      </c>
      <c r="F9" s="153">
        <f t="shared" si="2"/>
        <v>101711519.99999999</v>
      </c>
      <c r="G9" s="153">
        <f t="shared" si="2"/>
        <v>101711519.99999999</v>
      </c>
    </row>
    <row r="10" spans="1:7" x14ac:dyDescent="0.25">
      <c r="A10" s="5" t="s">
        <v>109</v>
      </c>
      <c r="C10" s="159">
        <f>'Premissa EmpComb'!B5</f>
        <v>2.65</v>
      </c>
      <c r="D10" s="159">
        <f>C10*(1+'Premissas SaintL'!H5)</f>
        <v>2.7692499999999995</v>
      </c>
      <c r="E10" s="159">
        <f>D10*(1+'Premissas SaintL'!I5)</f>
        <v>2.8938662499999994</v>
      </c>
      <c r="F10" s="159">
        <f>E10*(1+'Premissas SaintL'!J5)</f>
        <v>3.0096208999999994</v>
      </c>
      <c r="G10" s="159">
        <f>F10*(1+'Premissas SaintL'!K5)</f>
        <v>3.1300057359999993</v>
      </c>
    </row>
    <row r="11" spans="1:7" ht="5.25" customHeight="1" x14ac:dyDescent="0.25"/>
    <row r="12" spans="1:7" x14ac:dyDescent="0.25">
      <c r="A12" s="101" t="s">
        <v>110</v>
      </c>
      <c r="C12" s="153">
        <f>(C9*C10)/1000</f>
        <v>246452.54399999994</v>
      </c>
      <c r="D12" s="153">
        <f t="shared" ref="D12:G12" si="3">(D9*D10)/1000</f>
        <v>257542.90847999993</v>
      </c>
      <c r="E12" s="153">
        <f t="shared" si="3"/>
        <v>286384.4123975999</v>
      </c>
      <c r="F12" s="153">
        <f t="shared" si="3"/>
        <v>306113.11636276788</v>
      </c>
      <c r="G12" s="153">
        <f t="shared" si="3"/>
        <v>318357.6410172786</v>
      </c>
    </row>
    <row r="13" spans="1:7" ht="5.25" customHeight="1" x14ac:dyDescent="0.25"/>
    <row r="14" spans="1:7" x14ac:dyDescent="0.25">
      <c r="A14" s="134" t="s">
        <v>280</v>
      </c>
      <c r="C14" s="134" t="s">
        <v>53</v>
      </c>
      <c r="D14" s="134" t="s">
        <v>54</v>
      </c>
      <c r="E14" s="134" t="s">
        <v>55</v>
      </c>
      <c r="F14" s="134" t="s">
        <v>56</v>
      </c>
      <c r="G14" s="134" t="s">
        <v>57</v>
      </c>
    </row>
    <row r="15" spans="1:7" x14ac:dyDescent="0.25">
      <c r="A15" s="4" t="s">
        <v>102</v>
      </c>
      <c r="C15" s="11">
        <f>C3</f>
        <v>288</v>
      </c>
      <c r="D15" s="11">
        <f t="shared" ref="D15:G15" si="4">D3</f>
        <v>288</v>
      </c>
      <c r="E15" s="11">
        <f t="shared" si="4"/>
        <v>288</v>
      </c>
      <c r="F15" s="11">
        <f t="shared" si="4"/>
        <v>288</v>
      </c>
      <c r="G15" s="11">
        <f t="shared" si="4"/>
        <v>288</v>
      </c>
    </row>
    <row r="16" spans="1:7" x14ac:dyDescent="0.25">
      <c r="A16" s="6" t="s">
        <v>103</v>
      </c>
      <c r="C16" s="11">
        <f>C4</f>
        <v>170000</v>
      </c>
      <c r="D16" s="11">
        <f t="shared" ref="D16:G16" si="5">D4</f>
        <v>170000</v>
      </c>
      <c r="E16" s="11">
        <f t="shared" si="5"/>
        <v>180000</v>
      </c>
      <c r="F16" s="11">
        <f t="shared" si="5"/>
        <v>185000</v>
      </c>
      <c r="G16" s="11">
        <f t="shared" si="5"/>
        <v>185000</v>
      </c>
    </row>
    <row r="17" spans="1:7" x14ac:dyDescent="0.25">
      <c r="A17" s="6" t="s">
        <v>104</v>
      </c>
      <c r="C17" s="156">
        <f>C5</f>
        <v>48960000</v>
      </c>
      <c r="D17" s="156">
        <f t="shared" ref="D17:G17" si="6">D5</f>
        <v>48960000</v>
      </c>
      <c r="E17" s="156">
        <f t="shared" si="6"/>
        <v>51840000</v>
      </c>
      <c r="F17" s="156">
        <f t="shared" si="6"/>
        <v>53280000</v>
      </c>
      <c r="G17" s="156">
        <f t="shared" si="6"/>
        <v>53280000</v>
      </c>
    </row>
    <row r="18" spans="1:7" x14ac:dyDescent="0.25">
      <c r="A18" s="6" t="s">
        <v>111</v>
      </c>
      <c r="C18" s="160">
        <f>'Premissa EmpComb'!$B$16</f>
        <v>6.3829779411764695E-2</v>
      </c>
      <c r="D18" s="160">
        <f>'Premissa EmpComb'!$B$16</f>
        <v>6.3829779411764695E-2</v>
      </c>
      <c r="E18" s="160">
        <f>'Premissa EmpComb'!$B$16</f>
        <v>6.3829779411764695E-2</v>
      </c>
      <c r="F18" s="160">
        <f>'Premissa EmpComb'!$B$16</f>
        <v>6.3829779411764695E-2</v>
      </c>
      <c r="G18" s="160">
        <f>'Premissa EmpComb'!$B$16</f>
        <v>6.3829779411764695E-2</v>
      </c>
    </row>
    <row r="19" spans="1:7" x14ac:dyDescent="0.25">
      <c r="A19" s="5" t="s">
        <v>112</v>
      </c>
      <c r="C19" s="153">
        <f>C17*(1+C18)</f>
        <v>52085105.999999993</v>
      </c>
      <c r="D19" s="153">
        <f t="shared" ref="D19:G19" si="7">D17*(1+D18)</f>
        <v>52085105.999999993</v>
      </c>
      <c r="E19" s="153">
        <f t="shared" si="7"/>
        <v>55148935.764705874</v>
      </c>
      <c r="F19" s="153">
        <f t="shared" si="7"/>
        <v>56680850.647058815</v>
      </c>
      <c r="G19" s="153">
        <f t="shared" si="7"/>
        <v>56680850.647058815</v>
      </c>
    </row>
    <row r="20" spans="1:7" ht="5.25" customHeight="1" x14ac:dyDescent="0.25"/>
    <row r="21" spans="1:7" x14ac:dyDescent="0.25">
      <c r="A21" s="4" t="s">
        <v>282</v>
      </c>
      <c r="C21" s="161">
        <f>'Premissa EmpComb'!I3</f>
        <v>0.54100000000000004</v>
      </c>
      <c r="D21" s="161">
        <f>'Premissa EmpComb'!J3</f>
        <v>0.54100000000000004</v>
      </c>
      <c r="E21" s="161">
        <f>'Premissa EmpComb'!K3</f>
        <v>0.53900000000000003</v>
      </c>
      <c r="F21" s="161">
        <f>'Premissa EmpComb'!L3</f>
        <v>0.54100000000000004</v>
      </c>
      <c r="G21" s="161">
        <f>F21</f>
        <v>0.54100000000000004</v>
      </c>
    </row>
    <row r="22" spans="1:7" x14ac:dyDescent="0.25">
      <c r="A22" s="5" t="s">
        <v>281</v>
      </c>
      <c r="C22" s="161">
        <f>'Premissa EmpComb'!I4</f>
        <v>0.45900000000000002</v>
      </c>
      <c r="D22" s="161">
        <f>'Premissa EmpComb'!J4</f>
        <v>0.45900000000000002</v>
      </c>
      <c r="E22" s="161">
        <f>'Premissa EmpComb'!K4</f>
        <v>0.46100000000000002</v>
      </c>
      <c r="F22" s="161">
        <f>'Premissa EmpComb'!L4</f>
        <v>0.45900000000000002</v>
      </c>
      <c r="G22" s="161">
        <f>F22</f>
        <v>0.45900000000000002</v>
      </c>
    </row>
    <row r="23" spans="1:7" ht="5.25" customHeight="1" x14ac:dyDescent="0.25"/>
    <row r="24" spans="1:7" x14ac:dyDescent="0.25">
      <c r="A24" s="101" t="s">
        <v>283</v>
      </c>
      <c r="C24" s="134" t="s">
        <v>53</v>
      </c>
      <c r="D24" s="134" t="s">
        <v>54</v>
      </c>
      <c r="E24" s="134" t="s">
        <v>55</v>
      </c>
      <c r="F24" s="134" t="s">
        <v>56</v>
      </c>
      <c r="G24" s="134" t="s">
        <v>57</v>
      </c>
    </row>
    <row r="25" spans="1:7" x14ac:dyDescent="0.25">
      <c r="A25" s="4" t="s">
        <v>117</v>
      </c>
      <c r="C25" s="156">
        <f>('Premissa EmpComb'!$I$6*(1+'Premissas SaintL'!H7)*3.5*'Rec-Desp-FinComb'!C21*'Rec-Desp-FinComb'!C17)/1000</f>
        <v>40494.803025599998</v>
      </c>
      <c r="D25" s="156">
        <f>('Premissa EmpComb'!$I$6*(1+'Premissas SaintL'!I7)*3.5*'Rec-Desp-FinComb'!D21*'Rec-Desp-FinComb'!D17)/1000</f>
        <v>42317.069161751999</v>
      </c>
      <c r="E25" s="156">
        <f>('Premissa EmpComb'!$I$6*(1+'Premissas SaintL'!J7)*3.5*'Rec-Desp-FinComb'!E21*'Rec-Desp-FinComb'!E17)/1000</f>
        <v>46426.29261798528</v>
      </c>
      <c r="F25" s="156">
        <f>('Premissa EmpComb'!$I$6*(1+'Premissas SaintL'!K7)*3.5*'Rec-Desp-FinComb'!F21*'Rec-Desp-FinComb'!F17)/1000</f>
        <v>49808.683946999576</v>
      </c>
      <c r="G25" s="156">
        <f>('Premissa EmpComb'!$I$6*(1+'Premissas SaintL'!L7)*3.5*'Rec-Desp-FinComb'!G21*'Rec-Desp-FinComb'!G17)/1000</f>
        <v>51801.031304879558</v>
      </c>
    </row>
    <row r="26" spans="1:7" x14ac:dyDescent="0.25">
      <c r="A26" s="6" t="s">
        <v>118</v>
      </c>
      <c r="C26" s="153">
        <f>('Premissa EmpComb'!$I$7*(1+'Premissas SaintL'!H7)*C21*'Rec-Desp-FinComb'!C19)/1000</f>
        <v>24616.901354312518</v>
      </c>
      <c r="D26" s="153">
        <f>('Premissa EmpComb'!$I$7*(1+'Premissas SaintL'!I7)*D21*'Rec-Desp-FinComb'!D19)/1000</f>
        <v>25724.661915256576</v>
      </c>
      <c r="E26" s="153">
        <f>('Premissa EmpComb'!$I$7*(1+'Premissas SaintL'!J7)*E21*'Rec-Desp-FinComb'!E19)/1000</f>
        <v>28222.670076969891</v>
      </c>
      <c r="F26" s="153">
        <f>('Premissa EmpComb'!$I$7*(1+'Premissas SaintL'!K7)*F21*'Rec-Desp-FinComb'!F19)/1000</f>
        <v>30278.835003501063</v>
      </c>
      <c r="G26" s="153">
        <f>('Premissa EmpComb'!$I$7*(1+'Premissas SaintL'!L7)*G21*'Rec-Desp-FinComb'!G19)/1000</f>
        <v>31489.988403641109</v>
      </c>
    </row>
    <row r="27" spans="1:7" x14ac:dyDescent="0.25">
      <c r="A27" s="6" t="s">
        <v>119</v>
      </c>
      <c r="C27" s="153">
        <f>('Premissa EmpComb'!$I$8*(1+'Premissas SaintL'!H7)*'Rec-Desp-FinComb'!C22*'Rec-Desp-FinComb'!C17)/1000</f>
        <v>64383.484366080003</v>
      </c>
      <c r="D27" s="153">
        <f>('Premissa EmpComb'!$I$8*(1+'Premissas SaintL'!I7)*'Rec-Desp-FinComb'!D22*'Rec-Desp-FinComb'!D17)/1000</f>
        <v>67280.74116255359</v>
      </c>
      <c r="E27" s="153">
        <f>('Premissa EmpComb'!$I$8*(1+'Premissas SaintL'!J7)*'Rec-Desp-FinComb'!E22*'Rec-Desp-FinComb'!E17)/1000</f>
        <v>74410.792486677499</v>
      </c>
      <c r="F27" s="153">
        <f>('Premissa EmpComb'!$I$8*(1+'Premissas SaintL'!K7)*'Rec-Desp-FinComb'!F22*'Rec-Desp-FinComb'!F17)/1000</f>
        <v>79191.806962719565</v>
      </c>
      <c r="G27" s="153">
        <f>('Premissa EmpComb'!$I$8*(1+'Premissas SaintL'!L7)*'Rec-Desp-FinComb'!G22*'Rec-Desp-FinComb'!G17)/1000</f>
        <v>82359.479241228357</v>
      </c>
    </row>
    <row r="28" spans="1:7" x14ac:dyDescent="0.25">
      <c r="A28" s="6" t="s">
        <v>120</v>
      </c>
      <c r="C28" s="153">
        <f>('Premissa EmpComb'!$I$9*(1+'Premissas SaintL'!H7)*'Rec-Desp-FinComb'!C17)/1000</f>
        <v>6953.07888</v>
      </c>
      <c r="D28" s="153">
        <f>('Premissa EmpComb'!$I$9*(1+'Premissas SaintL'!I7)*'Rec-Desp-FinComb'!D17)/1000</f>
        <v>7265.9674295999985</v>
      </c>
      <c r="E28" s="153">
        <f>('Premissa EmpComb'!$I$9*(1+'Premissas SaintL'!J7)*'Rec-Desp-FinComb'!E17)/1000</f>
        <v>8001.1123695359984</v>
      </c>
      <c r="F28" s="153">
        <f>('Premissa EmpComb'!$I$9*(1+'Premissas SaintL'!K7)*'Rec-Desp-FinComb'!F17)/1000</f>
        <v>8552.30011054848</v>
      </c>
      <c r="G28" s="153">
        <f>('Premissa EmpComb'!$I$9*(1+'Premissas SaintL'!L7)*'Rec-Desp-FinComb'!G17)/1000</f>
        <v>8894.3921149704202</v>
      </c>
    </row>
    <row r="29" spans="1:7" x14ac:dyDescent="0.25">
      <c r="A29" s="6" t="s">
        <v>121</v>
      </c>
      <c r="C29" s="153">
        <f>('Premissa EmpComb'!$I$10*(1+'Premissas SaintL'!H7)*'Rec-Desp-FinComb'!C19)/1000</f>
        <v>13128.259307724</v>
      </c>
      <c r="D29" s="153">
        <f>('Premissa EmpComb'!$I$10*(1+'Premissas SaintL'!I7)*'Rec-Desp-FinComb'!D19)/1000</f>
        <v>13719.030976571577</v>
      </c>
      <c r="E29" s="153">
        <f>('Premissa EmpComb'!$I$10*(1+'Premissas SaintL'!J7)*'Rec-Desp-FinComb'!E19)/1000</f>
        <v>15107.074110671758</v>
      </c>
      <c r="F29" s="153">
        <f>('Premissa EmpComb'!$I$10*(1+'Premissas SaintL'!K7)*'Rec-Desp-FinComb'!F19)/1000</f>
        <v>16147.783660518038</v>
      </c>
      <c r="G29" s="153">
        <f>('Premissa EmpComb'!$I$10*(1+'Premissas SaintL'!L7)*'Rec-Desp-FinComb'!G19)/1000</f>
        <v>16793.69500693876</v>
      </c>
    </row>
    <row r="30" spans="1:7" x14ac:dyDescent="0.25">
      <c r="A30" s="5" t="s">
        <v>23</v>
      </c>
      <c r="C30" s="153">
        <f>('Premissa EmpComb'!$I$11*(1+'Premissas SaintL'!H7)*'Rec-Desp-FinComb'!C19)/1000</f>
        <v>16780.440897890996</v>
      </c>
      <c r="D30" s="153">
        <f>('Premissa EmpComb'!$I$11*(1+'Premissas SaintL'!I7)*'Rec-Desp-FinComb'!D19)/1000</f>
        <v>17535.560738296092</v>
      </c>
      <c r="E30" s="153">
        <f>('Premissa EmpComb'!$I$11*(1+'Premissas SaintL'!J7)*'Rec-Desp-FinComb'!E19)/1000</f>
        <v>19309.746883582517</v>
      </c>
      <c r="F30" s="153">
        <f>('Premissa EmpComb'!$I$11*(1+'Premissas SaintL'!K7)*'Rec-Desp-FinComb'!F19)/1000</f>
        <v>20639.97389111821</v>
      </c>
      <c r="G30" s="153">
        <f>('Premissa EmpComb'!$I$11*(1+'Premissas SaintL'!L7)*'Rec-Desp-FinComb'!G19)/1000</f>
        <v>21465.572846762938</v>
      </c>
    </row>
    <row r="31" spans="1:7" x14ac:dyDescent="0.25">
      <c r="A31" s="101" t="s">
        <v>284</v>
      </c>
      <c r="C31" s="156">
        <f>SUM(C25:C30)</f>
        <v>166356.9678316075</v>
      </c>
      <c r="D31" s="156">
        <f t="shared" ref="D31:G31" si="8">SUM(D25:D30)</f>
        <v>173843.03138402983</v>
      </c>
      <c r="E31" s="156">
        <f t="shared" si="8"/>
        <v>191477.68854542295</v>
      </c>
      <c r="F31" s="156">
        <f t="shared" si="8"/>
        <v>204619.38357540494</v>
      </c>
      <c r="G31" s="156">
        <f t="shared" si="8"/>
        <v>212804.15891842119</v>
      </c>
    </row>
    <row r="32" spans="1:7" ht="5.25" customHeight="1" x14ac:dyDescent="0.25"/>
    <row r="33" spans="1:12" x14ac:dyDescent="0.25">
      <c r="A33" s="101" t="s">
        <v>285</v>
      </c>
    </row>
    <row r="34" spans="1:12" x14ac:dyDescent="0.25">
      <c r="A34" s="4" t="s">
        <v>124</v>
      </c>
      <c r="C34" s="194">
        <f>'Premissa EmpComb'!I14</f>
        <v>1700</v>
      </c>
      <c r="D34" s="153">
        <f>C34*(1+'Premissas SaintL'!I5)</f>
        <v>1776.4999999999998</v>
      </c>
      <c r="E34" s="153">
        <f>D34*(1+'Premissas SaintL'!J5)</f>
        <v>1847.5599999999997</v>
      </c>
      <c r="F34" s="153">
        <f>E34*(1+'Premissas SaintL'!K5)</f>
        <v>1921.4623999999997</v>
      </c>
      <c r="G34" s="153">
        <f>F34*(1+'Premissas SaintL'!L5)</f>
        <v>1998.3208959999997</v>
      </c>
    </row>
    <row r="35" spans="1:12" x14ac:dyDescent="0.25">
      <c r="A35" s="6" t="s">
        <v>286</v>
      </c>
      <c r="C35" s="101">
        <f>'Premissa EmpComb'!I15</f>
        <v>420</v>
      </c>
      <c r="D35" s="195">
        <f>C35*(1+'Premissas SaintL'!I5)</f>
        <v>438.9</v>
      </c>
      <c r="E35" s="195">
        <f>D35*(1+'Premissas SaintL'!J5)</f>
        <v>456.45600000000002</v>
      </c>
      <c r="F35" s="195">
        <f>E35*(1+'Premissas SaintL'!K5)</f>
        <v>474.71424000000002</v>
      </c>
      <c r="G35" s="195">
        <f>F35*(1+'Premissas SaintL'!L5)</f>
        <v>493.70280960000002</v>
      </c>
    </row>
    <row r="36" spans="1:12" x14ac:dyDescent="0.25">
      <c r="A36" s="5" t="s">
        <v>9</v>
      </c>
      <c r="C36" s="153">
        <f>'DFC-DRE-BPComb'!B62*'Premissa EmpComb'!$B$13*'Premissa EmpComb'!$B$14</f>
        <v>5581.2645000000002</v>
      </c>
      <c r="D36" s="153">
        <f>'DFC-DRE-BPComb'!C62*'Premissa EmpComb'!$B$13*'Premissa EmpComb'!$B$14</f>
        <v>6828.6644999999999</v>
      </c>
      <c r="E36" s="153">
        <f>'DFC-DRE-BPComb'!D62*'Premissa EmpComb'!$B$13*'Premissa EmpComb'!$B$14</f>
        <v>8125.9604999999992</v>
      </c>
      <c r="F36" s="153">
        <f>'DFC-DRE-BPComb'!E62*'Premissa EmpComb'!$B$13*'Premissa EmpComb'!$B$14</f>
        <v>9475.1370000000006</v>
      </c>
      <c r="G36" s="153">
        <f>'DFC-DRE-BPComb'!F62*'Premissa EmpComb'!$B$13*'Premissa EmpComb'!$B$14</f>
        <v>9602.7120000000014</v>
      </c>
    </row>
    <row r="37" spans="1:12" x14ac:dyDescent="0.25">
      <c r="A37" s="101" t="s">
        <v>126</v>
      </c>
      <c r="C37" s="153">
        <f>SUM(C34:C36)</f>
        <v>7701.2645000000002</v>
      </c>
      <c r="D37" s="153">
        <f t="shared" ref="D37:F37" si="9">SUM(D34:D36)</f>
        <v>9044.0645000000004</v>
      </c>
      <c r="E37" s="153">
        <f t="shared" si="9"/>
        <v>10429.976499999999</v>
      </c>
      <c r="F37" s="153">
        <f t="shared" si="9"/>
        <v>11871.31364</v>
      </c>
      <c r="G37" s="153">
        <f>SUM(G34:G36)</f>
        <v>12094.7357056</v>
      </c>
    </row>
    <row r="38" spans="1:12" ht="30" customHeight="1" x14ac:dyDescent="0.25">
      <c r="A38" s="137" t="s">
        <v>127</v>
      </c>
      <c r="C38" s="156">
        <f>C31+C37</f>
        <v>174058.23233160749</v>
      </c>
      <c r="D38" s="156">
        <f t="shared" ref="D38:G38" si="10">D31+D37</f>
        <v>182887.09588402984</v>
      </c>
      <c r="E38" s="156">
        <f t="shared" si="10"/>
        <v>201907.66504542294</v>
      </c>
      <c r="F38" s="156">
        <f t="shared" si="10"/>
        <v>216490.69721540494</v>
      </c>
      <c r="G38" s="156">
        <f t="shared" si="10"/>
        <v>224898.8946240212</v>
      </c>
    </row>
    <row r="39" spans="1:12" ht="5.25" customHeight="1" x14ac:dyDescent="0.25"/>
    <row r="40" spans="1:12" x14ac:dyDescent="0.25">
      <c r="A40" s="101" t="s">
        <v>128</v>
      </c>
      <c r="C40" s="156">
        <f>C38</f>
        <v>174058.23233160749</v>
      </c>
      <c r="D40" s="156">
        <f t="shared" ref="D40:G40" si="11">D38</f>
        <v>182887.09588402984</v>
      </c>
      <c r="E40" s="156">
        <f t="shared" si="11"/>
        <v>201907.66504542294</v>
      </c>
      <c r="F40" s="156">
        <f t="shared" si="11"/>
        <v>216490.69721540494</v>
      </c>
      <c r="G40" s="156">
        <f t="shared" si="11"/>
        <v>224898.8946240212</v>
      </c>
    </row>
    <row r="42" spans="1:12" ht="30" x14ac:dyDescent="0.25">
      <c r="A42" s="136" t="s">
        <v>129</v>
      </c>
      <c r="B42" s="49">
        <f>'Rec-Desp-Fin (2)'!B42</f>
        <v>324</v>
      </c>
      <c r="C42" s="153">
        <f>'Premissa EmpComb'!$B$13*'Premissa EmpComb'!$C$13*'DFC-DRE-BPComb'!B62</f>
        <v>620.14049999999997</v>
      </c>
      <c r="D42" s="153">
        <f>'Premissa EmpComb'!$B$13*'Premissa EmpComb'!$C$13*'DFC-DRE-BPComb'!C62</f>
        <v>758.7405</v>
      </c>
      <c r="E42" s="153">
        <f>'Premissa EmpComb'!$B$13*'Premissa EmpComb'!$C$13*'DFC-DRE-BPComb'!D62</f>
        <v>902.8845</v>
      </c>
      <c r="F42" s="153">
        <f>'Premissa EmpComb'!$B$13*'Premissa EmpComb'!$C$13*'DFC-DRE-BPComb'!E62</f>
        <v>1052.7930000000001</v>
      </c>
      <c r="G42" s="153">
        <f>'Premissa EmpComb'!$B$13*'Premissa EmpComb'!$C$13*'DFC-DRE-BPComb'!F62</f>
        <v>1066.9680000000001</v>
      </c>
    </row>
    <row r="43" spans="1:12" ht="5.25" customHeight="1" x14ac:dyDescent="0.25"/>
    <row r="44" spans="1:12" x14ac:dyDescent="0.25">
      <c r="A44" s="134" t="s">
        <v>130</v>
      </c>
    </row>
    <row r="45" spans="1:12" x14ac:dyDescent="0.25">
      <c r="A45" s="4" t="s">
        <v>124</v>
      </c>
      <c r="B45" s="200">
        <f>0.862*('Premissas SaintL'!G39+'Premissa FrangoB'!E29)</f>
        <v>1471.434</v>
      </c>
      <c r="C45" s="153">
        <f>B45*(1+'Premissas SaintL'!H5)</f>
        <v>1537.6485299999999</v>
      </c>
      <c r="D45" s="153">
        <f>C45*(1+'Premissas SaintL'!I5)</f>
        <v>1606.8427138499999</v>
      </c>
      <c r="E45" s="153">
        <f>D45*(1+'Premissas SaintL'!J5)</f>
        <v>1671.1164224039999</v>
      </c>
      <c r="F45" s="153">
        <f>E45*(1+'Premissas SaintL'!K5)</f>
        <v>1737.96107930016</v>
      </c>
      <c r="G45" s="153">
        <f>F45*(1+'Premissas SaintL'!L5)</f>
        <v>1807.4795224721665</v>
      </c>
      <c r="J45" s="215"/>
      <c r="K45" s="214"/>
      <c r="L45" s="214"/>
    </row>
    <row r="46" spans="1:12" x14ac:dyDescent="0.25">
      <c r="A46" s="6" t="s">
        <v>286</v>
      </c>
      <c r="B46" s="200">
        <f>0.862*('Premissas SaintL'!G40+'Premissa FrangoB'!E30)</f>
        <v>705.11599999999999</v>
      </c>
      <c r="C46" s="153">
        <f>B46*(1+'Premissas SaintL'!H5)</f>
        <v>736.8462199999999</v>
      </c>
      <c r="D46" s="153">
        <f>C46*(1+'Premissas SaintL'!I5)</f>
        <v>770.00429989999986</v>
      </c>
      <c r="E46" s="153">
        <f>D46*(1+'Premissas SaintL'!J5)</f>
        <v>800.80447189599988</v>
      </c>
      <c r="F46" s="153">
        <f>E46*(1+'Premissas SaintL'!K5)</f>
        <v>832.83665077183991</v>
      </c>
      <c r="G46" s="153">
        <f>F46*(1+'Premissas SaintL'!L5)</f>
        <v>866.15011680271357</v>
      </c>
      <c r="J46" s="216"/>
      <c r="K46" s="214"/>
      <c r="L46" s="214"/>
    </row>
    <row r="47" spans="1:12" x14ac:dyDescent="0.25">
      <c r="A47" s="6" t="s">
        <v>23</v>
      </c>
      <c r="B47" s="200">
        <f>0.862*('Premissas SaintL'!G41+'Premissa FrangoB'!E31)</f>
        <v>309.45799999999997</v>
      </c>
      <c r="C47" s="153">
        <f>B47*(1+'Premissas SaintL'!H5)</f>
        <v>323.38360999999992</v>
      </c>
      <c r="D47" s="153">
        <f>C47*(1+'Premissas SaintL'!I5)</f>
        <v>337.93587244999992</v>
      </c>
      <c r="E47" s="153">
        <f>D47*(1+'Premissas SaintL'!J5)</f>
        <v>351.45330734799995</v>
      </c>
      <c r="F47" s="153">
        <f>E47*(1+'Premissas SaintL'!K5)</f>
        <v>365.51143964191994</v>
      </c>
      <c r="G47" s="153">
        <f>F47*(1+'Premissas SaintL'!L5)</f>
        <v>380.13189722759677</v>
      </c>
      <c r="J47" s="215"/>
      <c r="K47" s="214"/>
      <c r="L47" s="214"/>
    </row>
    <row r="48" spans="1:12" x14ac:dyDescent="0.25">
      <c r="A48" s="5"/>
      <c r="B48" s="101"/>
      <c r="C48" s="145"/>
      <c r="K48" s="214"/>
      <c r="L48" s="214"/>
    </row>
    <row r="49" spans="1:12" x14ac:dyDescent="0.25">
      <c r="A49" s="101" t="s">
        <v>287</v>
      </c>
      <c r="C49" s="156">
        <f>SUM(C45:C47)</f>
        <v>2597.8783599999997</v>
      </c>
      <c r="D49" s="153">
        <f>SUM(D45:D47)</f>
        <v>2714.7828861999997</v>
      </c>
      <c r="E49" s="153">
        <f t="shared" ref="E49:G49" si="12">SUM(E45:E47)</f>
        <v>2823.3742016480001</v>
      </c>
      <c r="F49" s="153">
        <f t="shared" si="12"/>
        <v>2936.3091697139198</v>
      </c>
      <c r="G49" s="153">
        <f t="shared" si="12"/>
        <v>3053.7615365024767</v>
      </c>
      <c r="K49" s="214"/>
      <c r="L49" s="214"/>
    </row>
    <row r="50" spans="1:12" x14ac:dyDescent="0.25">
      <c r="K50" s="214"/>
      <c r="L50" s="214"/>
    </row>
    <row r="51" spans="1:12" x14ac:dyDescent="0.25">
      <c r="A51" s="134" t="s">
        <v>132</v>
      </c>
      <c r="K51" s="214"/>
      <c r="L51" s="214"/>
    </row>
    <row r="52" spans="1:12" ht="30" x14ac:dyDescent="0.25">
      <c r="A52" s="138" t="s">
        <v>133</v>
      </c>
      <c r="B52" s="162">
        <f>'BP-DREComb'!D41/'BP-DREComb'!D34</f>
        <v>2.2489922663278102E-2</v>
      </c>
      <c r="C52" s="162">
        <f>$B$52</f>
        <v>2.2489922663278102E-2</v>
      </c>
      <c r="D52" s="162">
        <f t="shared" ref="D52:G52" si="13">$B$52</f>
        <v>2.2489922663278102E-2</v>
      </c>
      <c r="E52" s="162">
        <f t="shared" si="13"/>
        <v>2.2489922663278102E-2</v>
      </c>
      <c r="F52" s="162">
        <f t="shared" si="13"/>
        <v>2.2489922663278102E-2</v>
      </c>
      <c r="G52" s="162">
        <f t="shared" si="13"/>
        <v>2.2489922663278102E-2</v>
      </c>
      <c r="K52" s="214"/>
      <c r="L52" s="214"/>
    </row>
    <row r="53" spans="1:12" x14ac:dyDescent="0.25">
      <c r="A53" s="101" t="s">
        <v>11</v>
      </c>
      <c r="C53" s="156">
        <f>C52*C12</f>
        <v>5542.6986547281422</v>
      </c>
      <c r="D53" s="156">
        <f t="shared" ref="D53:G53" si="14">D52*D12</f>
        <v>5792.1200941909083</v>
      </c>
      <c r="E53" s="156">
        <f t="shared" si="14"/>
        <v>6440.763286790364</v>
      </c>
      <c r="F53" s="156">
        <f t="shared" si="14"/>
        <v>6884.4603132136999</v>
      </c>
      <c r="G53" s="156">
        <f t="shared" si="14"/>
        <v>7159.8387257422482</v>
      </c>
      <c r="K53" s="214"/>
      <c r="L53" s="214"/>
    </row>
    <row r="54" spans="1:12" x14ac:dyDescent="0.25">
      <c r="K54" s="214"/>
      <c r="L54" s="214"/>
    </row>
    <row r="55" spans="1:12" x14ac:dyDescent="0.25">
      <c r="A55" s="134" t="s">
        <v>135</v>
      </c>
      <c r="B55" s="134" t="s">
        <v>52</v>
      </c>
      <c r="C55" s="134" t="s">
        <v>53</v>
      </c>
      <c r="D55" s="134" t="s">
        <v>54</v>
      </c>
      <c r="E55" s="134" t="s">
        <v>55</v>
      </c>
      <c r="F55" s="134" t="s">
        <v>56</v>
      </c>
      <c r="G55" s="134" t="s">
        <v>57</v>
      </c>
    </row>
    <row r="56" spans="1:12" x14ac:dyDescent="0.25">
      <c r="A56" s="4" t="s">
        <v>21</v>
      </c>
      <c r="B56" s="197">
        <f>'BP-DREComb'!D4</f>
        <v>14926</v>
      </c>
      <c r="C56" s="12">
        <f>('Premissa EmpComb'!B19*'Rec-Desp-FinComb'!C12)/360</f>
        <v>15745.579199999995</v>
      </c>
      <c r="D56" s="12">
        <f>('Premissa EmpComb'!C19*'Rec-Desp-FinComb'!D12)/360</f>
        <v>16454.130263999996</v>
      </c>
      <c r="E56" s="12">
        <f>('Premissa EmpComb'!D19*'Rec-Desp-FinComb'!E12)/360</f>
        <v>15910.245133199993</v>
      </c>
      <c r="F56" s="12">
        <f>('Premissa EmpComb'!E19*'Rec-Desp-FinComb'!F12)/360</f>
        <v>17006.28424237599</v>
      </c>
      <c r="G56" s="12">
        <f>('Premissa EmpComb'!F19*'Rec-Desp-FinComb'!G12)/360</f>
        <v>17686.535612071035</v>
      </c>
    </row>
    <row r="57" spans="1:12" x14ac:dyDescent="0.25">
      <c r="A57" s="15" t="s">
        <v>136</v>
      </c>
      <c r="B57" s="198">
        <f>'BP-DREComb'!D5</f>
        <v>12085</v>
      </c>
      <c r="C57" s="93">
        <f>('Premissa EmpComb'!B20*'Rec-Desp-FinComb'!C40)/360</f>
        <v>12570.872335060541</v>
      </c>
      <c r="D57" s="93">
        <f>('Premissa EmpComb'!C20*'Rec-Desp-FinComb'!D40)/360</f>
        <v>13208.512480513265</v>
      </c>
      <c r="E57" s="93">
        <f>('Premissa EmpComb'!D20*'Rec-Desp-FinComb'!E40)/360</f>
        <v>13460.511003028196</v>
      </c>
      <c r="F57" s="93">
        <f>('Premissa EmpComb'!E20*'Rec-Desp-FinComb'!F40)/360</f>
        <v>14432.713147693663</v>
      </c>
      <c r="G57" s="93">
        <f>('Premissa EmpComb'!F20*'Rec-Desp-FinComb'!G40)/360</f>
        <v>14993.259641601415</v>
      </c>
    </row>
    <row r="58" spans="1:12" x14ac:dyDescent="0.25">
      <c r="A58" s="15" t="s">
        <v>288</v>
      </c>
      <c r="B58" s="198">
        <f>'BP-DREComb'!D6</f>
        <v>1046</v>
      </c>
      <c r="C58" s="95">
        <f>$B$58</f>
        <v>1046</v>
      </c>
      <c r="D58" s="95">
        <f t="shared" ref="D58:G58" si="15">$B$58</f>
        <v>1046</v>
      </c>
      <c r="E58" s="95">
        <f t="shared" si="15"/>
        <v>1046</v>
      </c>
      <c r="F58" s="95">
        <f t="shared" si="15"/>
        <v>1046</v>
      </c>
      <c r="G58" s="95">
        <f t="shared" si="15"/>
        <v>1046</v>
      </c>
    </row>
    <row r="59" spans="1:12" x14ac:dyDescent="0.25">
      <c r="A59" s="15" t="s">
        <v>138</v>
      </c>
      <c r="B59" s="198">
        <f>'BP-DREComb'!D18</f>
        <v>2760</v>
      </c>
      <c r="C59" s="93">
        <f>('Premissa EmpComb'!B22*('Premissa EmpComb'!$B$11*'Rec-Desp-FinComb'!C12))/360</f>
        <v>2825.9891711999994</v>
      </c>
      <c r="D59" s="93">
        <f>('Premissa EmpComb'!C22*('Premissa EmpComb'!$B$11*'Rec-Desp-FinComb'!D12))/360</f>
        <v>2953.1586839039992</v>
      </c>
      <c r="E59" s="93">
        <f>('Premissa EmpComb'!D22*('Premissa EmpComb'!$B$11*'Rec-Desp-FinComb'!E12))/360</f>
        <v>2462.9059466193594</v>
      </c>
      <c r="F59" s="93">
        <f>('Premissa EmpComb'!E22*('Premissa EmpComb'!$B$11*'Rec-Desp-FinComb'!F12))/360</f>
        <v>2632.572800719804</v>
      </c>
      <c r="G59" s="93">
        <f>('Premissa EmpComb'!F22*('Premissa EmpComb'!$B$11*'Rec-Desp-FinComb'!G12))/360</f>
        <v>2737.875712748596</v>
      </c>
    </row>
    <row r="60" spans="1:12" x14ac:dyDescent="0.25">
      <c r="A60" s="15" t="s">
        <v>139</v>
      </c>
      <c r="B60" s="198">
        <f>'BP-DREComb'!D17</f>
        <v>20131</v>
      </c>
      <c r="C60" s="93">
        <f>('Premissa EmpComb'!B21*'Rec-Desp-FinComb'!C40)/360</f>
        <v>20790.288861830893</v>
      </c>
      <c r="D60" s="93">
        <f>('Premissa EmpComb'!C21*'Rec-Desp-FinComb'!D40)/360</f>
        <v>21844.847563925785</v>
      </c>
      <c r="E60" s="93">
        <f>('Premissa EmpComb'!D21*'Rec-Desp-FinComb'!E40)/360</f>
        <v>32529.568257318144</v>
      </c>
      <c r="F60" s="93">
        <f>('Premissa EmpComb'!E21*'Rec-Desp-FinComb'!F40)/360</f>
        <v>34879.056773593016</v>
      </c>
      <c r="G60" s="93">
        <f>('Premissa EmpComb'!F21*'Rec-Desp-FinComb'!G40)/360</f>
        <v>36233.710800536748</v>
      </c>
    </row>
    <row r="61" spans="1:12" x14ac:dyDescent="0.25">
      <c r="A61" s="75" t="s">
        <v>140</v>
      </c>
      <c r="B61" s="199">
        <f>'BP-DREComb'!D22</f>
        <v>300</v>
      </c>
      <c r="C61" s="96">
        <f>$B$61</f>
        <v>300</v>
      </c>
      <c r="D61" s="96">
        <f t="shared" ref="D61:G61" si="16">$B$61</f>
        <v>300</v>
      </c>
      <c r="E61" s="96">
        <f t="shared" si="16"/>
        <v>300</v>
      </c>
      <c r="F61" s="96">
        <f t="shared" si="16"/>
        <v>300</v>
      </c>
      <c r="G61" s="96">
        <f t="shared" si="16"/>
        <v>300</v>
      </c>
    </row>
    <row r="62" spans="1:12" x14ac:dyDescent="0.25">
      <c r="A62" s="101" t="s">
        <v>141</v>
      </c>
      <c r="B62" s="153">
        <f>B56+B57+B58-B59-B60-B61</f>
        <v>4866</v>
      </c>
      <c r="C62" s="153">
        <f>C56+C57+C58-C59-C60-C61</f>
        <v>5446.1735020296437</v>
      </c>
      <c r="D62" s="13">
        <f>D56+D57+D58-D59-D60-D61</f>
        <v>5610.6364966834772</v>
      </c>
      <c r="E62" s="153">
        <f t="shared" ref="E62:G62" si="17">E56+E57+E58-E59-E60-E61</f>
        <v>-4875.7180677093165</v>
      </c>
      <c r="F62" s="153">
        <f t="shared" si="17"/>
        <v>-5326.632184243168</v>
      </c>
      <c r="G62" s="153">
        <f t="shared" si="17"/>
        <v>-5545.7912596128954</v>
      </c>
    </row>
    <row r="63" spans="1:12" x14ac:dyDescent="0.25">
      <c r="D63" s="165"/>
    </row>
    <row r="64" spans="1:12" x14ac:dyDescent="0.25">
      <c r="A64" s="134" t="s">
        <v>142</v>
      </c>
      <c r="C64" s="134" t="s">
        <v>53</v>
      </c>
      <c r="D64" s="134" t="s">
        <v>54</v>
      </c>
      <c r="E64" s="134" t="s">
        <v>55</v>
      </c>
      <c r="F64" s="134" t="s">
        <v>56</v>
      </c>
      <c r="G64" s="134" t="s">
        <v>57</v>
      </c>
    </row>
    <row r="65" spans="1:10" x14ac:dyDescent="0.25">
      <c r="A65" s="101" t="s">
        <v>94</v>
      </c>
      <c r="C65" s="160">
        <f>'Premissas SaintL'!$G$52</f>
        <v>0.16</v>
      </c>
      <c r="D65" s="160">
        <f>'Premissas SaintL'!$G$52</f>
        <v>0.16</v>
      </c>
      <c r="E65" s="160">
        <f>'Premissas SaintL'!$G$52</f>
        <v>0.16</v>
      </c>
      <c r="F65" s="160">
        <f>'Premissas SaintL'!$G$52</f>
        <v>0.16</v>
      </c>
      <c r="G65" s="160">
        <f>'Premissas SaintL'!$G$52</f>
        <v>0.16</v>
      </c>
    </row>
    <row r="67" spans="1:10" x14ac:dyDescent="0.25">
      <c r="A67" s="101" t="s">
        <v>143</v>
      </c>
    </row>
    <row r="68" spans="1:10" x14ac:dyDescent="0.25">
      <c r="A68" s="4" t="s">
        <v>149</v>
      </c>
      <c r="C68" s="153">
        <f>B73</f>
        <v>3600</v>
      </c>
      <c r="D68" s="153">
        <f>C73</f>
        <v>3600</v>
      </c>
      <c r="E68" s="153">
        <f t="shared" ref="E68:G68" si="18">D73</f>
        <v>3600</v>
      </c>
      <c r="F68" s="153">
        <f t="shared" si="18"/>
        <v>3600</v>
      </c>
      <c r="G68" s="153">
        <f t="shared" si="18"/>
        <v>0</v>
      </c>
    </row>
    <row r="69" spans="1:10" x14ac:dyDescent="0.25">
      <c r="A69" s="15" t="s">
        <v>144</v>
      </c>
      <c r="C69" s="153">
        <f>C65*C68</f>
        <v>576</v>
      </c>
      <c r="D69" s="153">
        <f t="shared" ref="D69:G69" si="19">D65*D68</f>
        <v>576</v>
      </c>
      <c r="E69" s="153">
        <f t="shared" si="19"/>
        <v>576</v>
      </c>
      <c r="F69" s="153">
        <f t="shared" si="19"/>
        <v>576</v>
      </c>
      <c r="G69" s="153">
        <f t="shared" si="19"/>
        <v>0</v>
      </c>
    </row>
    <row r="70" spans="1:10" x14ac:dyDescent="0.25">
      <c r="A70" s="15" t="s">
        <v>145</v>
      </c>
      <c r="C70" s="153">
        <f>C68</f>
        <v>3600</v>
      </c>
      <c r="D70" s="153">
        <f t="shared" ref="D70:G70" si="20">D68</f>
        <v>3600</v>
      </c>
      <c r="E70" s="153">
        <f t="shared" si="20"/>
        <v>3600</v>
      </c>
      <c r="F70" s="153">
        <v>0</v>
      </c>
      <c r="G70" s="153">
        <f t="shared" si="20"/>
        <v>0</v>
      </c>
    </row>
    <row r="71" spans="1:10" x14ac:dyDescent="0.25">
      <c r="A71" s="15" t="s">
        <v>146</v>
      </c>
      <c r="C71" s="153">
        <f>C69</f>
        <v>576</v>
      </c>
      <c r="D71" s="153">
        <f t="shared" ref="D71:G71" si="21">D69</f>
        <v>576</v>
      </c>
      <c r="E71" s="153">
        <f t="shared" si="21"/>
        <v>576</v>
      </c>
      <c r="F71" s="153">
        <f t="shared" si="21"/>
        <v>576</v>
      </c>
      <c r="G71" s="153">
        <f t="shared" si="21"/>
        <v>0</v>
      </c>
    </row>
    <row r="72" spans="1:10" x14ac:dyDescent="0.25">
      <c r="A72" s="15" t="s">
        <v>147</v>
      </c>
      <c r="C72" s="153">
        <f>14400/4</f>
        <v>3600</v>
      </c>
      <c r="D72" s="153">
        <f t="shared" ref="D72:F72" si="22">14400/4</f>
        <v>3600</v>
      </c>
      <c r="E72" s="153">
        <f t="shared" si="22"/>
        <v>3600</v>
      </c>
      <c r="F72" s="153">
        <f t="shared" si="22"/>
        <v>3600</v>
      </c>
      <c r="G72" s="153">
        <v>0</v>
      </c>
    </row>
    <row r="73" spans="1:10" x14ac:dyDescent="0.25">
      <c r="A73" s="5" t="s">
        <v>289</v>
      </c>
      <c r="B73" s="101">
        <f>'BP-DREComb'!D20</f>
        <v>3600</v>
      </c>
      <c r="C73" s="153">
        <f>C68+C69+C70-C71-C72</f>
        <v>3600</v>
      </c>
      <c r="D73" s="153">
        <f t="shared" ref="D73:G73" si="23">D68+D69+D70-D71-D72</f>
        <v>3600</v>
      </c>
      <c r="E73" s="153">
        <f t="shared" si="23"/>
        <v>3600</v>
      </c>
      <c r="F73" s="153">
        <f>F68+F69+F70-F71-F72</f>
        <v>0</v>
      </c>
      <c r="G73" s="153">
        <f t="shared" si="23"/>
        <v>0</v>
      </c>
    </row>
    <row r="74" spans="1:10" x14ac:dyDescent="0.25">
      <c r="A74" s="101" t="s">
        <v>150</v>
      </c>
      <c r="C74" s="204"/>
      <c r="D74" s="204"/>
      <c r="E74" s="204"/>
      <c r="F74" s="204"/>
      <c r="G74" s="204"/>
    </row>
    <row r="75" spans="1:10" x14ac:dyDescent="0.25">
      <c r="A75" s="4" t="s">
        <v>149</v>
      </c>
      <c r="C75" s="153">
        <f>B79</f>
        <v>13100</v>
      </c>
      <c r="D75" s="153">
        <f>C79</f>
        <v>9500</v>
      </c>
      <c r="E75" s="153">
        <f t="shared" ref="E75:G75" si="24">D79</f>
        <v>5900</v>
      </c>
      <c r="F75" s="153">
        <f t="shared" si="24"/>
        <v>2300</v>
      </c>
      <c r="G75" s="153">
        <f t="shared" si="24"/>
        <v>2300</v>
      </c>
    </row>
    <row r="76" spans="1:10" x14ac:dyDescent="0.25">
      <c r="A76" s="15" t="s">
        <v>151</v>
      </c>
      <c r="C76" s="153">
        <f>C65*C75</f>
        <v>2096</v>
      </c>
      <c r="D76" s="153">
        <f t="shared" ref="D76:G76" si="25">D65*D75</f>
        <v>1520</v>
      </c>
      <c r="E76" s="153">
        <f t="shared" si="25"/>
        <v>944</v>
      </c>
      <c r="F76" s="153">
        <f t="shared" si="25"/>
        <v>368</v>
      </c>
      <c r="G76" s="153">
        <f t="shared" si="25"/>
        <v>368</v>
      </c>
    </row>
    <row r="77" spans="1:10" x14ac:dyDescent="0.25">
      <c r="A77" s="15" t="s">
        <v>152</v>
      </c>
      <c r="C77" s="153">
        <f>C70</f>
        <v>3600</v>
      </c>
      <c r="D77" s="153">
        <f t="shared" ref="D77:G77" si="26">D70</f>
        <v>3600</v>
      </c>
      <c r="E77" s="153">
        <f t="shared" si="26"/>
        <v>3600</v>
      </c>
      <c r="F77" s="153">
        <f t="shared" si="26"/>
        <v>0</v>
      </c>
      <c r="G77" s="153">
        <f t="shared" si="26"/>
        <v>0</v>
      </c>
    </row>
    <row r="78" spans="1:10" x14ac:dyDescent="0.25">
      <c r="A78" s="15" t="s">
        <v>146</v>
      </c>
      <c r="C78" s="153">
        <f>C76</f>
        <v>2096</v>
      </c>
      <c r="D78" s="153">
        <f t="shared" ref="D78:G78" si="27">D76</f>
        <v>1520</v>
      </c>
      <c r="E78" s="153">
        <f t="shared" si="27"/>
        <v>944</v>
      </c>
      <c r="F78" s="153">
        <f t="shared" si="27"/>
        <v>368</v>
      </c>
      <c r="G78" s="153">
        <f t="shared" si="27"/>
        <v>368</v>
      </c>
    </row>
    <row r="79" spans="1:10" x14ac:dyDescent="0.25">
      <c r="A79" s="5" t="s">
        <v>289</v>
      </c>
      <c r="B79" s="203">
        <f>'BP-DREComb'!D26</f>
        <v>13100</v>
      </c>
      <c r="C79" s="153">
        <f>C75+C76-C77-C78</f>
        <v>9500</v>
      </c>
      <c r="D79" s="153">
        <f t="shared" ref="D79:G79" si="28">D75+D76-D77-D78</f>
        <v>5900</v>
      </c>
      <c r="E79" s="153">
        <f t="shared" si="28"/>
        <v>2300</v>
      </c>
      <c r="F79" s="153">
        <f t="shared" si="28"/>
        <v>2300</v>
      </c>
      <c r="G79" s="153">
        <f t="shared" si="28"/>
        <v>2300</v>
      </c>
      <c r="J79" s="163"/>
    </row>
    <row r="80" spans="1:10" x14ac:dyDescent="0.25">
      <c r="A80" s="101" t="s">
        <v>153</v>
      </c>
      <c r="B80" s="153">
        <f>B73+B79</f>
        <v>16700</v>
      </c>
      <c r="C80" s="153">
        <f t="shared" ref="C80:G80" si="29">C73+C79</f>
        <v>13100</v>
      </c>
      <c r="D80" s="153">
        <f t="shared" si="29"/>
        <v>9500</v>
      </c>
      <c r="E80" s="153">
        <f t="shared" si="29"/>
        <v>5900</v>
      </c>
      <c r="F80" s="153">
        <f t="shared" si="29"/>
        <v>2300</v>
      </c>
      <c r="G80" s="153">
        <f t="shared" si="29"/>
        <v>2300</v>
      </c>
    </row>
    <row r="82" spans="1:7" x14ac:dyDescent="0.25">
      <c r="A82" s="134" t="s">
        <v>291</v>
      </c>
      <c r="C82" s="134" t="s">
        <v>53</v>
      </c>
      <c r="D82" s="134" t="s">
        <v>54</v>
      </c>
      <c r="E82" s="134" t="s">
        <v>55</v>
      </c>
      <c r="F82" s="134" t="s">
        <v>56</v>
      </c>
      <c r="G82" s="134" t="s">
        <v>57</v>
      </c>
    </row>
    <row r="83" spans="1:7" x14ac:dyDescent="0.25">
      <c r="A83" s="101" t="s">
        <v>94</v>
      </c>
      <c r="C83" s="160">
        <v>0.16</v>
      </c>
      <c r="D83" s="160">
        <v>0.16</v>
      </c>
      <c r="E83" s="160">
        <v>0.16</v>
      </c>
      <c r="F83" s="160">
        <v>0.16</v>
      </c>
      <c r="G83" s="160">
        <v>0.16</v>
      </c>
    </row>
    <row r="85" spans="1:7" x14ac:dyDescent="0.25">
      <c r="A85" s="140" t="s">
        <v>90</v>
      </c>
    </row>
    <row r="86" spans="1:7" x14ac:dyDescent="0.25">
      <c r="A86" s="4" t="s">
        <v>149</v>
      </c>
      <c r="C86" s="101">
        <v>0</v>
      </c>
      <c r="D86" s="101">
        <v>0</v>
      </c>
      <c r="E86" s="101">
        <v>0</v>
      </c>
      <c r="F86" s="101">
        <v>0</v>
      </c>
      <c r="G86" s="101">
        <v>0</v>
      </c>
    </row>
    <row r="87" spans="1:7" x14ac:dyDescent="0.25">
      <c r="A87" s="15" t="s">
        <v>144</v>
      </c>
      <c r="C87" s="101">
        <v>0</v>
      </c>
      <c r="D87" s="101">
        <v>0</v>
      </c>
      <c r="E87" s="101">
        <v>0</v>
      </c>
      <c r="F87" s="101">
        <v>0</v>
      </c>
      <c r="G87" s="101">
        <v>0</v>
      </c>
    </row>
    <row r="88" spans="1:7" x14ac:dyDescent="0.25">
      <c r="A88" s="15" t="s">
        <v>145</v>
      </c>
      <c r="C88" s="101">
        <v>0</v>
      </c>
      <c r="D88" s="101">
        <v>0</v>
      </c>
      <c r="E88" s="101">
        <v>0</v>
      </c>
      <c r="F88" s="101">
        <v>0</v>
      </c>
      <c r="G88" s="101">
        <v>0</v>
      </c>
    </row>
    <row r="89" spans="1:7" x14ac:dyDescent="0.25">
      <c r="A89" s="15" t="s">
        <v>146</v>
      </c>
      <c r="C89" s="101">
        <v>0</v>
      </c>
      <c r="D89" s="101">
        <v>0</v>
      </c>
      <c r="E89" s="101">
        <v>0</v>
      </c>
      <c r="F89" s="101">
        <v>0</v>
      </c>
      <c r="G89" s="101">
        <v>0</v>
      </c>
    </row>
    <row r="90" spans="1:7" x14ac:dyDescent="0.25">
      <c r="A90" s="15" t="s">
        <v>147</v>
      </c>
      <c r="C90" s="101">
        <v>0</v>
      </c>
      <c r="D90" s="101">
        <v>0</v>
      </c>
      <c r="E90" s="101">
        <v>0</v>
      </c>
      <c r="F90" s="101">
        <v>0</v>
      </c>
      <c r="G90" s="101">
        <v>0</v>
      </c>
    </row>
    <row r="91" spans="1:7" x14ac:dyDescent="0.25">
      <c r="A91" s="5" t="s">
        <v>289</v>
      </c>
      <c r="C91" s="101">
        <v>0</v>
      </c>
      <c r="D91" s="101">
        <v>0</v>
      </c>
      <c r="E91" s="101">
        <v>0</v>
      </c>
      <c r="F91" s="101">
        <v>0</v>
      </c>
      <c r="G91" s="101">
        <v>0</v>
      </c>
    </row>
    <row r="92" spans="1:7" x14ac:dyDescent="0.25">
      <c r="A92" s="101" t="s">
        <v>150</v>
      </c>
    </row>
    <row r="93" spans="1:7" x14ac:dyDescent="0.25">
      <c r="A93" s="4" t="s">
        <v>149</v>
      </c>
      <c r="C93" s="153">
        <f>'Rec-Desp-Fin'!C93</f>
        <v>0</v>
      </c>
      <c r="D93" s="153">
        <f>'Rec-Desp-Fin'!D93</f>
        <v>2000</v>
      </c>
      <c r="E93" s="153">
        <f>'Rec-Desp-Fin'!E93</f>
        <v>4000</v>
      </c>
      <c r="F93" s="153">
        <f>'Rec-Desp-Fin'!F93</f>
        <v>6000</v>
      </c>
      <c r="G93" s="153">
        <f>'Rec-Desp-Fin'!G93</f>
        <v>6000</v>
      </c>
    </row>
    <row r="94" spans="1:7" x14ac:dyDescent="0.25">
      <c r="A94" s="15" t="s">
        <v>151</v>
      </c>
      <c r="C94" s="153">
        <f>'Rec-Desp-Fin'!C94</f>
        <v>0</v>
      </c>
      <c r="D94" s="153">
        <f>'Rec-Desp-Fin'!D94</f>
        <v>320</v>
      </c>
      <c r="E94" s="153">
        <f>'Rec-Desp-Fin'!E94</f>
        <v>640</v>
      </c>
      <c r="F94" s="153">
        <f>'Rec-Desp-Fin'!F94</f>
        <v>960</v>
      </c>
      <c r="G94" s="153">
        <f>'Rec-Desp-Fin'!G94</f>
        <v>960</v>
      </c>
    </row>
    <row r="95" spans="1:7" x14ac:dyDescent="0.25">
      <c r="A95" s="15" t="s">
        <v>157</v>
      </c>
      <c r="C95" s="153">
        <f>'Rec-Desp-Fin'!C95</f>
        <v>2000</v>
      </c>
      <c r="D95" s="153">
        <f>'Rec-Desp-Fin'!D95</f>
        <v>2000</v>
      </c>
      <c r="E95" s="153">
        <f>'Rec-Desp-Fin'!E95</f>
        <v>2000</v>
      </c>
      <c r="F95" s="153">
        <f>'Rec-Desp-Fin'!F95</f>
        <v>0</v>
      </c>
      <c r="G95" s="153">
        <f>'Rec-Desp-Fin'!G95</f>
        <v>0</v>
      </c>
    </row>
    <row r="96" spans="1:7" x14ac:dyDescent="0.25">
      <c r="A96" s="15" t="s">
        <v>290</v>
      </c>
      <c r="C96" s="153">
        <f>'Rec-Desp-Fin'!C96</f>
        <v>0</v>
      </c>
      <c r="D96" s="153">
        <f>'Rec-Desp-Fin'!D96</f>
        <v>0</v>
      </c>
      <c r="E96" s="153">
        <f>'Rec-Desp-Fin'!E96</f>
        <v>0</v>
      </c>
      <c r="F96" s="153">
        <f>'Rec-Desp-Fin'!F96</f>
        <v>0</v>
      </c>
      <c r="G96" s="153">
        <f>'Rec-Desp-Fin'!G96</f>
        <v>0</v>
      </c>
    </row>
    <row r="97" spans="1:17" x14ac:dyDescent="0.25">
      <c r="A97" s="15" t="s">
        <v>146</v>
      </c>
      <c r="C97" s="153">
        <f>'Rec-Desp-Fin'!C97</f>
        <v>0</v>
      </c>
      <c r="D97" s="153">
        <f>'Rec-Desp-Fin'!D97</f>
        <v>320</v>
      </c>
      <c r="E97" s="153">
        <f>'Rec-Desp-Fin'!E97</f>
        <v>640</v>
      </c>
      <c r="F97" s="153">
        <f>'Rec-Desp-Fin'!F97</f>
        <v>960</v>
      </c>
      <c r="G97" s="153">
        <f>'Rec-Desp-Fin'!G97</f>
        <v>960</v>
      </c>
    </row>
    <row r="98" spans="1:17" x14ac:dyDescent="0.25">
      <c r="A98" s="5" t="s">
        <v>289</v>
      </c>
      <c r="C98" s="153">
        <f>'Rec-Desp-Fin'!C98</f>
        <v>2000</v>
      </c>
      <c r="D98" s="153">
        <f>'Rec-Desp-Fin'!D98</f>
        <v>4000</v>
      </c>
      <c r="E98" s="153">
        <f>'Rec-Desp-Fin'!E98</f>
        <v>6000</v>
      </c>
      <c r="F98" s="153">
        <f>'Rec-Desp-Fin'!F98</f>
        <v>6000</v>
      </c>
      <c r="G98" s="153">
        <f>'Rec-Desp-Fin'!G98</f>
        <v>6000</v>
      </c>
    </row>
    <row r="99" spans="1:17" x14ac:dyDescent="0.25">
      <c r="A99" s="101" t="s">
        <v>153</v>
      </c>
      <c r="C99" s="153">
        <f>'Rec-Desp-Fin'!C99</f>
        <v>2000</v>
      </c>
      <c r="D99" s="153">
        <f>'Rec-Desp-Fin'!D99</f>
        <v>4000</v>
      </c>
      <c r="E99" s="153">
        <f>'Rec-Desp-Fin'!E99</f>
        <v>6000</v>
      </c>
      <c r="F99" s="153">
        <f>'Rec-Desp-Fin'!F99</f>
        <v>6000</v>
      </c>
      <c r="G99" s="153">
        <f>'Rec-Desp-Fin'!G99</f>
        <v>6000</v>
      </c>
    </row>
    <row r="101" spans="1:17" x14ac:dyDescent="0.25">
      <c r="A101" s="134" t="s">
        <v>292</v>
      </c>
      <c r="C101" s="139" t="s">
        <v>53</v>
      </c>
      <c r="D101" s="139" t="s">
        <v>54</v>
      </c>
      <c r="E101" s="139" t="s">
        <v>55</v>
      </c>
      <c r="F101" s="139" t="s">
        <v>56</v>
      </c>
      <c r="G101" s="139" t="s">
        <v>57</v>
      </c>
    </row>
    <row r="102" spans="1:17" x14ac:dyDescent="0.25">
      <c r="A102" s="101" t="s">
        <v>94</v>
      </c>
      <c r="C102" s="205">
        <v>0.13</v>
      </c>
      <c r="D102" s="205">
        <v>0.13</v>
      </c>
      <c r="E102" s="205">
        <v>0.13</v>
      </c>
      <c r="F102" s="205">
        <v>0.13</v>
      </c>
      <c r="G102" s="205">
        <v>0.13</v>
      </c>
    </row>
    <row r="104" spans="1:17" x14ac:dyDescent="0.25">
      <c r="A104" s="7" t="s">
        <v>90</v>
      </c>
    </row>
    <row r="105" spans="1:17" x14ac:dyDescent="0.25">
      <c r="A105" s="4" t="s">
        <v>149</v>
      </c>
      <c r="C105" s="101">
        <v>0</v>
      </c>
      <c r="D105" s="156">
        <f>C110</f>
        <v>5238.333333333333</v>
      </c>
      <c r="E105" s="156">
        <f t="shared" ref="E105:G105" si="30">D110</f>
        <v>10686.2</v>
      </c>
      <c r="F105" s="156">
        <f t="shared" si="30"/>
        <v>16351.999999999998</v>
      </c>
      <c r="G105" s="156">
        <f t="shared" si="30"/>
        <v>0</v>
      </c>
      <c r="J105" s="2" t="s">
        <v>311</v>
      </c>
      <c r="K105" s="2"/>
      <c r="L105" s="2"/>
      <c r="M105" s="2"/>
    </row>
    <row r="106" spans="1:17" x14ac:dyDescent="0.25">
      <c r="A106" s="15" t="s">
        <v>144</v>
      </c>
      <c r="C106" s="208">
        <f>C102*C105</f>
        <v>0</v>
      </c>
      <c r="D106" s="209">
        <f>D102*D105</f>
        <v>680.98333333333335</v>
      </c>
      <c r="E106" s="209">
        <f t="shared" ref="E106:G106" si="31">E102*E105</f>
        <v>1389.2060000000001</v>
      </c>
      <c r="F106" s="209">
        <f t="shared" si="31"/>
        <v>2125.7599999999998</v>
      </c>
      <c r="G106" s="209">
        <f t="shared" si="31"/>
        <v>0</v>
      </c>
      <c r="K106" s="1" t="s">
        <v>53</v>
      </c>
      <c r="L106" s="1" t="s">
        <v>54</v>
      </c>
      <c r="M106" s="1" t="s">
        <v>55</v>
      </c>
      <c r="N106" s="1" t="s">
        <v>56</v>
      </c>
      <c r="O106" s="1" t="s">
        <v>57</v>
      </c>
    </row>
    <row r="107" spans="1:17" x14ac:dyDescent="0.25">
      <c r="A107" s="15" t="s">
        <v>145</v>
      </c>
      <c r="C107" s="156">
        <f>K114</f>
        <v>5238.333333333333</v>
      </c>
      <c r="D107" s="156">
        <f>L114+K120</f>
        <v>10686.199999999999</v>
      </c>
      <c r="E107" s="156">
        <f>M114+L120+K126</f>
        <v>16351.999999999998</v>
      </c>
      <c r="F107" s="101">
        <v>0</v>
      </c>
      <c r="G107" s="101">
        <v>0</v>
      </c>
      <c r="J107" s="187"/>
      <c r="K107" s="187">
        <v>22450</v>
      </c>
      <c r="L107" s="187">
        <v>23348</v>
      </c>
      <c r="M107" s="187">
        <v>24282</v>
      </c>
      <c r="N107" s="187">
        <v>2250</v>
      </c>
      <c r="O107" s="101">
        <v>0</v>
      </c>
      <c r="Q107" s="206" t="s">
        <v>314</v>
      </c>
    </row>
    <row r="108" spans="1:17" x14ac:dyDescent="0.25">
      <c r="A108" s="15" t="s">
        <v>146</v>
      </c>
      <c r="C108" s="101">
        <v>0</v>
      </c>
      <c r="D108" s="209">
        <f>D106</f>
        <v>680.98333333333335</v>
      </c>
      <c r="E108" s="209">
        <f t="shared" ref="E108:G108" si="32">E106</f>
        <v>1389.2060000000001</v>
      </c>
      <c r="F108" s="209">
        <f t="shared" si="32"/>
        <v>2125.7599999999998</v>
      </c>
      <c r="G108" s="209">
        <f t="shared" si="32"/>
        <v>0</v>
      </c>
      <c r="J108" s="7" t="s">
        <v>312</v>
      </c>
      <c r="K108" s="98">
        <v>0.7</v>
      </c>
      <c r="L108" s="98">
        <v>0.7</v>
      </c>
      <c r="M108" s="98">
        <v>0.7</v>
      </c>
      <c r="N108" s="98">
        <v>0.7</v>
      </c>
      <c r="O108" s="98">
        <v>0.7</v>
      </c>
      <c r="Q108" s="207">
        <v>0.13</v>
      </c>
    </row>
    <row r="109" spans="1:17" x14ac:dyDescent="0.25">
      <c r="A109" s="15" t="s">
        <v>147</v>
      </c>
      <c r="C109" s="101">
        <v>0</v>
      </c>
      <c r="D109" s="156">
        <f>C107</f>
        <v>5238.333333333333</v>
      </c>
      <c r="E109" s="156">
        <f t="shared" ref="E109:G109" si="33">D107</f>
        <v>10686.199999999999</v>
      </c>
      <c r="F109" s="156">
        <f t="shared" si="33"/>
        <v>16351.999999999998</v>
      </c>
      <c r="G109" s="156">
        <f t="shared" si="33"/>
        <v>0</v>
      </c>
      <c r="J109" s="48"/>
      <c r="K109" s="48">
        <f>K107*K108</f>
        <v>15714.999999999998</v>
      </c>
      <c r="L109" s="48">
        <f t="shared" ref="L109:O109" si="34">L107*L108</f>
        <v>16343.599999999999</v>
      </c>
      <c r="M109" s="48">
        <f t="shared" si="34"/>
        <v>16997.399999999998</v>
      </c>
      <c r="N109" s="48">
        <f t="shared" si="34"/>
        <v>1575</v>
      </c>
      <c r="O109" s="48">
        <f t="shared" si="34"/>
        <v>0</v>
      </c>
    </row>
    <row r="110" spans="1:17" x14ac:dyDescent="0.25">
      <c r="A110" s="5" t="s">
        <v>289</v>
      </c>
      <c r="C110" s="156">
        <f>C105+C106+C107-C108-C109</f>
        <v>5238.333333333333</v>
      </c>
      <c r="D110" s="156">
        <f t="shared" ref="D110:G110" si="35">D105+D106+D107-D108-D109</f>
        <v>10686.2</v>
      </c>
      <c r="E110" s="156">
        <f t="shared" si="35"/>
        <v>16351.999999999998</v>
      </c>
      <c r="F110" s="156">
        <f t="shared" si="35"/>
        <v>0</v>
      </c>
      <c r="G110" s="156">
        <f t="shared" si="35"/>
        <v>0</v>
      </c>
      <c r="J110" s="2"/>
      <c r="K110" s="2"/>
      <c r="L110" s="2"/>
      <c r="M110" s="2"/>
    </row>
    <row r="111" spans="1:17" x14ac:dyDescent="0.25">
      <c r="A111" s="140" t="s">
        <v>150</v>
      </c>
      <c r="K111" s="2"/>
      <c r="L111" s="2"/>
      <c r="M111" s="2"/>
    </row>
    <row r="112" spans="1:17" x14ac:dyDescent="0.25">
      <c r="A112" s="140" t="s">
        <v>318</v>
      </c>
      <c r="C112" s="101">
        <v>0</v>
      </c>
      <c r="D112" s="153">
        <f>C117</f>
        <v>10476.666666666664</v>
      </c>
      <c r="E112" s="153">
        <f t="shared" ref="E112:G112" si="36">D117</f>
        <v>16134.066666666666</v>
      </c>
      <c r="F112" s="153">
        <f t="shared" si="36"/>
        <v>16779.466666666667</v>
      </c>
      <c r="G112" s="153">
        <f t="shared" si="36"/>
        <v>18354.466666666667</v>
      </c>
      <c r="J112" s="7" t="s">
        <v>53</v>
      </c>
      <c r="K112" s="2"/>
      <c r="L112" s="2"/>
      <c r="M112" s="2"/>
    </row>
    <row r="113" spans="1:13" x14ac:dyDescent="0.25">
      <c r="A113" s="15" t="s">
        <v>151</v>
      </c>
      <c r="C113" s="101">
        <v>0</v>
      </c>
      <c r="D113" s="156">
        <f>D112*D102</f>
        <v>1361.9666666666665</v>
      </c>
      <c r="E113" s="156">
        <f t="shared" ref="E113:G113" si="37">E112*E102</f>
        <v>2097.4286666666667</v>
      </c>
      <c r="F113" s="156">
        <f t="shared" si="37"/>
        <v>2181.3306666666667</v>
      </c>
      <c r="G113" s="156">
        <f t="shared" si="37"/>
        <v>2386.0806666666667</v>
      </c>
      <c r="J113" s="7" t="s">
        <v>149</v>
      </c>
      <c r="K113" s="48">
        <f>K109</f>
        <v>15714.999999999998</v>
      </c>
      <c r="L113" s="48">
        <f>K116</f>
        <v>10476.666666666664</v>
      </c>
      <c r="M113" s="48">
        <f>L116</f>
        <v>5238.3333333333312</v>
      </c>
    </row>
    <row r="114" spans="1:13" x14ac:dyDescent="0.25">
      <c r="A114" s="15" t="s">
        <v>157</v>
      </c>
      <c r="C114" s="156">
        <f>K109</f>
        <v>15714.999999999998</v>
      </c>
      <c r="D114" s="156">
        <f>L109</f>
        <v>16343.599999999999</v>
      </c>
      <c r="E114" s="156">
        <f t="shared" ref="E114:G114" si="38">M109</f>
        <v>16997.399999999998</v>
      </c>
      <c r="F114" s="156">
        <f t="shared" si="38"/>
        <v>1575</v>
      </c>
      <c r="G114" s="156">
        <f t="shared" si="38"/>
        <v>0</v>
      </c>
      <c r="J114" s="7" t="s">
        <v>313</v>
      </c>
      <c r="K114" s="48">
        <f>$K$113/3</f>
        <v>5238.333333333333</v>
      </c>
      <c r="L114" s="48">
        <f t="shared" ref="L114:M114" si="39">$K$113/3</f>
        <v>5238.333333333333</v>
      </c>
      <c r="M114" s="48">
        <f t="shared" si="39"/>
        <v>5238.333333333333</v>
      </c>
    </row>
    <row r="115" spans="1:13" x14ac:dyDescent="0.25">
      <c r="A115" s="15" t="s">
        <v>152</v>
      </c>
      <c r="C115" s="156">
        <f>K114</f>
        <v>5238.333333333333</v>
      </c>
      <c r="D115" s="156">
        <f>L114+K120</f>
        <v>10686.199999999999</v>
      </c>
      <c r="E115" s="156">
        <f>M114+L120+K126</f>
        <v>16351.999999999998</v>
      </c>
      <c r="F115" s="101">
        <v>0</v>
      </c>
      <c r="G115" s="101">
        <v>0</v>
      </c>
      <c r="J115" s="7" t="s">
        <v>314</v>
      </c>
      <c r="K115" s="48">
        <f>$Q$108*K113</f>
        <v>2042.9499999999998</v>
      </c>
      <c r="L115" s="48">
        <f>$Q$108*L113</f>
        <v>1361.9666666666665</v>
      </c>
      <c r="M115" s="48">
        <f t="shared" ref="M115" si="40">$Q$108*M113</f>
        <v>680.98333333333312</v>
      </c>
    </row>
    <row r="116" spans="1:13" x14ac:dyDescent="0.25">
      <c r="A116" s="15" t="s">
        <v>146</v>
      </c>
      <c r="C116" s="101">
        <v>0</v>
      </c>
      <c r="D116" s="156">
        <f>D113</f>
        <v>1361.9666666666665</v>
      </c>
      <c r="E116" s="156">
        <f t="shared" ref="E116:G116" si="41">E113</f>
        <v>2097.4286666666667</v>
      </c>
      <c r="F116" s="156">
        <f t="shared" si="41"/>
        <v>2181.3306666666667</v>
      </c>
      <c r="G116" s="156">
        <f t="shared" si="41"/>
        <v>2386.0806666666667</v>
      </c>
      <c r="J116" s="7" t="s">
        <v>148</v>
      </c>
      <c r="K116" s="48">
        <f>K113-K114</f>
        <v>10476.666666666664</v>
      </c>
      <c r="L116" s="48">
        <f t="shared" ref="L116:M116" si="42">L113-L114</f>
        <v>5238.3333333333312</v>
      </c>
      <c r="M116" s="48">
        <f t="shared" si="42"/>
        <v>0</v>
      </c>
    </row>
    <row r="117" spans="1:13" x14ac:dyDescent="0.25">
      <c r="A117" s="5" t="s">
        <v>289</v>
      </c>
      <c r="C117" s="156">
        <f>C112+C113+C114-C115-C116</f>
        <v>10476.666666666664</v>
      </c>
      <c r="D117" s="156">
        <f t="shared" ref="D117:G117" si="43">D112+D113+D114-D115-D116</f>
        <v>16134.066666666666</v>
      </c>
      <c r="E117" s="156">
        <f t="shared" si="43"/>
        <v>16779.466666666667</v>
      </c>
      <c r="F117" s="156">
        <f t="shared" si="43"/>
        <v>18354.466666666667</v>
      </c>
      <c r="G117" s="156">
        <f t="shared" si="43"/>
        <v>18354.466666666667</v>
      </c>
      <c r="J117" s="2"/>
      <c r="K117" s="2"/>
      <c r="L117" s="2"/>
      <c r="M117" s="2"/>
    </row>
    <row r="118" spans="1:13" x14ac:dyDescent="0.25">
      <c r="A118" s="101" t="s">
        <v>153</v>
      </c>
      <c r="C118" s="156">
        <f>C110+C117</f>
        <v>15714.999999999996</v>
      </c>
      <c r="D118" s="156">
        <f t="shared" ref="D118:G118" si="44">D110+D117</f>
        <v>26820.266666666666</v>
      </c>
      <c r="E118" s="156">
        <f t="shared" si="44"/>
        <v>33131.466666666667</v>
      </c>
      <c r="F118" s="156">
        <f t="shared" si="44"/>
        <v>18354.466666666667</v>
      </c>
      <c r="G118" s="156">
        <f t="shared" si="44"/>
        <v>18354.466666666667</v>
      </c>
      <c r="J118" s="7" t="s">
        <v>54</v>
      </c>
      <c r="K118" s="2"/>
      <c r="L118" s="2"/>
      <c r="M118" s="2"/>
    </row>
    <row r="119" spans="1:13" x14ac:dyDescent="0.25">
      <c r="J119" s="7" t="s">
        <v>149</v>
      </c>
      <c r="K119" s="156">
        <f>L109</f>
        <v>16343.599999999999</v>
      </c>
      <c r="L119" s="156">
        <f>K122</f>
        <v>10895.733333333334</v>
      </c>
      <c r="M119" s="156">
        <f>L122</f>
        <v>5447.8666666666677</v>
      </c>
    </row>
    <row r="120" spans="1:13" x14ac:dyDescent="0.25">
      <c r="J120" s="7" t="s">
        <v>313</v>
      </c>
      <c r="K120" s="156">
        <f>$K$119/3</f>
        <v>5447.8666666666659</v>
      </c>
      <c r="L120" s="156">
        <f t="shared" ref="L120:M120" si="45">$K$119/3</f>
        <v>5447.8666666666659</v>
      </c>
      <c r="M120" s="156">
        <f t="shared" si="45"/>
        <v>5447.8666666666659</v>
      </c>
    </row>
    <row r="121" spans="1:13" x14ac:dyDescent="0.25">
      <c r="D121" s="165"/>
      <c r="J121" s="7" t="s">
        <v>314</v>
      </c>
      <c r="K121" s="48">
        <f>$Q$108*K119</f>
        <v>2124.6679999999997</v>
      </c>
      <c r="L121" s="48">
        <f t="shared" ref="L121:M121" si="46">$Q$108*L119</f>
        <v>1416.4453333333333</v>
      </c>
      <c r="M121" s="48">
        <f t="shared" si="46"/>
        <v>708.22266666666678</v>
      </c>
    </row>
    <row r="122" spans="1:13" x14ac:dyDescent="0.25">
      <c r="F122" s="165"/>
      <c r="J122" s="7" t="s">
        <v>148</v>
      </c>
      <c r="K122" s="48">
        <f>K119-K120</f>
        <v>10895.733333333334</v>
      </c>
      <c r="L122" s="48">
        <f t="shared" ref="L122:M122" si="47">L119-L120</f>
        <v>5447.8666666666677</v>
      </c>
      <c r="M122" s="48">
        <f t="shared" si="47"/>
        <v>0</v>
      </c>
    </row>
    <row r="123" spans="1:13" x14ac:dyDescent="0.25">
      <c r="J123" s="2"/>
      <c r="K123" s="2"/>
      <c r="L123" s="2"/>
      <c r="M123" s="2"/>
    </row>
    <row r="124" spans="1:13" x14ac:dyDescent="0.25">
      <c r="J124" s="7" t="s">
        <v>55</v>
      </c>
      <c r="K124" s="2"/>
      <c r="L124" s="2"/>
      <c r="M124" s="2"/>
    </row>
    <row r="125" spans="1:13" x14ac:dyDescent="0.25">
      <c r="J125" s="7" t="s">
        <v>149</v>
      </c>
      <c r="K125" s="48">
        <f>M109</f>
        <v>16997.399999999998</v>
      </c>
      <c r="L125" s="48">
        <f>K128</f>
        <v>11331.599999999999</v>
      </c>
      <c r="M125" s="48">
        <f>L128</f>
        <v>5665.7999999999993</v>
      </c>
    </row>
    <row r="126" spans="1:13" x14ac:dyDescent="0.25">
      <c r="J126" s="7" t="s">
        <v>313</v>
      </c>
      <c r="K126" s="48">
        <f>$K$125/3</f>
        <v>5665.7999999999993</v>
      </c>
      <c r="L126" s="48">
        <f t="shared" ref="L126:M126" si="48">$K$125/3</f>
        <v>5665.7999999999993</v>
      </c>
      <c r="M126" s="48">
        <f t="shared" si="48"/>
        <v>5665.7999999999993</v>
      </c>
    </row>
    <row r="127" spans="1:13" x14ac:dyDescent="0.25">
      <c r="J127" s="7" t="s">
        <v>314</v>
      </c>
      <c r="K127" s="48">
        <f>K125*$Q$108</f>
        <v>2209.6619999999998</v>
      </c>
      <c r="L127" s="48">
        <f t="shared" ref="L127:M127" si="49">L125*$Q$108</f>
        <v>1473.1079999999999</v>
      </c>
      <c r="M127" s="48">
        <f t="shared" si="49"/>
        <v>736.55399999999997</v>
      </c>
    </row>
    <row r="128" spans="1:13" x14ac:dyDescent="0.25">
      <c r="J128" s="7" t="s">
        <v>148</v>
      </c>
      <c r="K128" s="48">
        <f>K125-K126</f>
        <v>11331.599999999999</v>
      </c>
      <c r="L128" s="48">
        <f t="shared" ref="L128:M128" si="50">L125-L126</f>
        <v>5665.7999999999993</v>
      </c>
      <c r="M128" s="48">
        <f t="shared" si="50"/>
        <v>0</v>
      </c>
    </row>
    <row r="130" spans="10:13" x14ac:dyDescent="0.25">
      <c r="J130" s="7" t="s">
        <v>56</v>
      </c>
      <c r="K130" s="2"/>
      <c r="L130" s="2"/>
      <c r="M130" s="2"/>
    </row>
    <row r="131" spans="10:13" x14ac:dyDescent="0.25">
      <c r="J131" s="7" t="s">
        <v>149</v>
      </c>
      <c r="K131" s="48">
        <f>N109</f>
        <v>1575</v>
      </c>
      <c r="L131" s="48">
        <f>K134</f>
        <v>1050</v>
      </c>
      <c r="M131" s="48">
        <f>L134</f>
        <v>525</v>
      </c>
    </row>
    <row r="132" spans="10:13" x14ac:dyDescent="0.25">
      <c r="J132" s="7" t="s">
        <v>313</v>
      </c>
      <c r="K132" s="48">
        <f>$K$131/3</f>
        <v>525</v>
      </c>
      <c r="L132" s="48">
        <f t="shared" ref="L132:M132" si="51">$K$131/3</f>
        <v>525</v>
      </c>
      <c r="M132" s="48">
        <f t="shared" si="51"/>
        <v>525</v>
      </c>
    </row>
    <row r="133" spans="10:13" x14ac:dyDescent="0.25">
      <c r="J133" s="7" t="s">
        <v>314</v>
      </c>
      <c r="K133" s="48">
        <f>$Q$108*K131</f>
        <v>204.75</v>
      </c>
      <c r="L133" s="48">
        <f t="shared" ref="L133:M133" si="52">$Q$108*L131</f>
        <v>136.5</v>
      </c>
      <c r="M133" s="48">
        <f t="shared" si="52"/>
        <v>68.25</v>
      </c>
    </row>
    <row r="134" spans="10:13" x14ac:dyDescent="0.25">
      <c r="J134" s="7" t="s">
        <v>148</v>
      </c>
      <c r="K134" s="48">
        <f>K131-K132</f>
        <v>1050</v>
      </c>
      <c r="L134" s="48">
        <f t="shared" ref="L134:M134" si="53">L131-L132</f>
        <v>525</v>
      </c>
      <c r="M134" s="48">
        <f t="shared" si="53"/>
        <v>0</v>
      </c>
    </row>
    <row r="136" spans="10:13" x14ac:dyDescent="0.25">
      <c r="J136" s="7" t="s">
        <v>57</v>
      </c>
      <c r="K136" s="2"/>
      <c r="M136" s="2"/>
    </row>
    <row r="137" spans="10:13" x14ac:dyDescent="0.25">
      <c r="J137" s="7" t="s">
        <v>149</v>
      </c>
      <c r="K137" s="48">
        <f>O109</f>
        <v>0</v>
      </c>
      <c r="L137" s="48">
        <v>0</v>
      </c>
      <c r="M137" s="48">
        <v>0</v>
      </c>
    </row>
    <row r="138" spans="10:13" x14ac:dyDescent="0.25">
      <c r="J138" s="7" t="s">
        <v>313</v>
      </c>
      <c r="K138" s="48">
        <v>0</v>
      </c>
      <c r="L138" s="48">
        <v>0</v>
      </c>
      <c r="M138" s="48">
        <v>0</v>
      </c>
    </row>
    <row r="139" spans="10:13" x14ac:dyDescent="0.25">
      <c r="J139" s="7" t="s">
        <v>314</v>
      </c>
      <c r="K139" s="48">
        <v>0</v>
      </c>
      <c r="L139" s="48">
        <v>0</v>
      </c>
      <c r="M139" s="48">
        <v>0</v>
      </c>
    </row>
    <row r="140" spans="10:13" x14ac:dyDescent="0.25">
      <c r="J140" s="7" t="s">
        <v>148</v>
      </c>
      <c r="K140" s="48">
        <v>0</v>
      </c>
      <c r="L140" s="48">
        <v>0</v>
      </c>
      <c r="M140" s="48">
        <v>0</v>
      </c>
    </row>
  </sheetData>
  <dataConsolidate/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3"/>
  <sheetViews>
    <sheetView tabSelected="1" topLeftCell="B7" zoomScale="90" zoomScaleNormal="90" workbookViewId="0">
      <selection activeCell="L45" sqref="L45"/>
    </sheetView>
  </sheetViews>
  <sheetFormatPr defaultRowHeight="15" x14ac:dyDescent="0.25"/>
  <cols>
    <col min="1" max="1" width="68.42578125" bestFit="1" customWidth="1"/>
    <col min="2" max="2" width="11.5703125" bestFit="1" customWidth="1"/>
    <col min="3" max="7" width="12.140625" bestFit="1" customWidth="1"/>
    <col min="10" max="10" width="41" customWidth="1"/>
    <col min="11" max="11" width="11.140625" bestFit="1" customWidth="1"/>
    <col min="12" max="12" width="13.140625" bestFit="1" customWidth="1"/>
    <col min="13" max="14" width="11.140625" bestFit="1" customWidth="1"/>
    <col min="15" max="15" width="13.42578125" bestFit="1" customWidth="1"/>
  </cols>
  <sheetData>
    <row r="2" spans="1:16" ht="39" customHeight="1" x14ac:dyDescent="0.25">
      <c r="A2" s="141" t="s">
        <v>293</v>
      </c>
      <c r="B2" s="142" t="s">
        <v>159</v>
      </c>
      <c r="C2" s="142" t="s">
        <v>53</v>
      </c>
      <c r="D2" s="142" t="s">
        <v>54</v>
      </c>
      <c r="E2" s="142" t="s">
        <v>55</v>
      </c>
      <c r="F2" s="142" t="s">
        <v>56</v>
      </c>
      <c r="G2" s="143" t="s">
        <v>57</v>
      </c>
      <c r="J2" s="17"/>
      <c r="K2" s="142" t="s">
        <v>304</v>
      </c>
      <c r="L2" s="142" t="s">
        <v>254</v>
      </c>
      <c r="M2" s="142" t="s">
        <v>254</v>
      </c>
      <c r="N2" s="142" t="s">
        <v>254</v>
      </c>
      <c r="O2" s="142" t="s">
        <v>254</v>
      </c>
      <c r="P2" s="143" t="s">
        <v>254</v>
      </c>
    </row>
    <row r="3" spans="1:16" x14ac:dyDescent="0.25">
      <c r="A3" s="4" t="s">
        <v>160</v>
      </c>
      <c r="B3" s="2"/>
      <c r="C3" s="201">
        <f>C44</f>
        <v>31841.215977664302</v>
      </c>
      <c r="D3" s="201">
        <f t="shared" ref="D3:G3" si="0">D44</f>
        <v>32167.133921659184</v>
      </c>
      <c r="E3" s="201">
        <f t="shared" si="0"/>
        <v>37366.136164448209</v>
      </c>
      <c r="F3" s="201">
        <f t="shared" si="0"/>
        <v>39260.26465363826</v>
      </c>
      <c r="G3" s="201">
        <f t="shared" si="0"/>
        <v>41110.042439783712</v>
      </c>
      <c r="J3" s="69"/>
      <c r="K3" s="146"/>
      <c r="L3" s="146">
        <v>1</v>
      </c>
      <c r="M3" s="146">
        <v>2</v>
      </c>
      <c r="N3" s="146">
        <v>3</v>
      </c>
      <c r="O3" s="146">
        <v>4</v>
      </c>
      <c r="P3" s="147">
        <v>5</v>
      </c>
    </row>
    <row r="4" spans="1:16" x14ac:dyDescent="0.25">
      <c r="A4" s="15" t="s">
        <v>161</v>
      </c>
      <c r="B4" s="2"/>
      <c r="C4" s="93">
        <f>'Rec-Desp-FinComb'!C36+'Rec-Desp-FinComb'!C42</f>
        <v>6201.4050000000007</v>
      </c>
      <c r="D4" s="93">
        <f>'Rec-Desp-FinComb'!D36+'Rec-Desp-FinComb'!D42</f>
        <v>7587.4049999999997</v>
      </c>
      <c r="E4" s="93">
        <f>'Rec-Desp-FinComb'!E36+'Rec-Desp-FinComb'!E42</f>
        <v>9028.8449999999993</v>
      </c>
      <c r="F4" s="93">
        <f>'Rec-Desp-FinComb'!F36+'Rec-Desp-FinComb'!F42</f>
        <v>10527.93</v>
      </c>
      <c r="G4" s="93">
        <f>'Rec-Desp-FinComb'!G36+'Rec-Desp-FinComb'!G42</f>
        <v>10669.680000000002</v>
      </c>
      <c r="I4" s="202"/>
      <c r="J4" s="69" t="s">
        <v>303</v>
      </c>
      <c r="K4" s="167">
        <v>0.34</v>
      </c>
      <c r="L4" s="167">
        <f>$K$4</f>
        <v>0.34</v>
      </c>
      <c r="M4" s="167">
        <f t="shared" ref="M4:P4" si="1">$K$4</f>
        <v>0.34</v>
      </c>
      <c r="N4" s="167">
        <f t="shared" si="1"/>
        <v>0.34</v>
      </c>
      <c r="O4" s="167">
        <f t="shared" si="1"/>
        <v>0.34</v>
      </c>
      <c r="P4" s="172">
        <f t="shared" si="1"/>
        <v>0.34</v>
      </c>
    </row>
    <row r="5" spans="1:16" x14ac:dyDescent="0.25">
      <c r="A5" s="6" t="s">
        <v>162</v>
      </c>
      <c r="B5" s="2"/>
      <c r="C5" s="93">
        <f>C3+C4</f>
        <v>38042.620977664301</v>
      </c>
      <c r="D5" s="93">
        <f t="shared" ref="D5:G5" si="2">D3+D4</f>
        <v>39754.538921659187</v>
      </c>
      <c r="E5" s="93">
        <f t="shared" si="2"/>
        <v>46394.981164448211</v>
      </c>
      <c r="F5" s="93">
        <f t="shared" si="2"/>
        <v>49788.19465363826</v>
      </c>
      <c r="G5" s="93">
        <f t="shared" si="2"/>
        <v>51779.722439783713</v>
      </c>
      <c r="J5" s="69"/>
      <c r="K5" s="70"/>
      <c r="L5" s="70"/>
      <c r="M5" s="70"/>
      <c r="N5" s="70"/>
      <c r="O5" s="70"/>
      <c r="P5" s="71"/>
    </row>
    <row r="6" spans="1:16" x14ac:dyDescent="0.25">
      <c r="A6" s="47" t="s">
        <v>163</v>
      </c>
      <c r="B6" s="2"/>
      <c r="C6" s="93">
        <f>'Rec-Desp-FinComb'!C62-'Rec-Desp-FinComb'!B62</f>
        <v>580.17350202964371</v>
      </c>
      <c r="D6" s="93">
        <f>'Rec-Desp-FinComb'!D62-'Rec-Desp-FinComb'!C62</f>
        <v>164.46299465383345</v>
      </c>
      <c r="E6" s="93">
        <f>'Rec-Desp-FinComb'!E62-'Rec-Desp-FinComb'!D62</f>
        <v>-10486.354564392794</v>
      </c>
      <c r="F6" s="93">
        <f>'Rec-Desp-FinComb'!F62-'Rec-Desp-FinComb'!E62</f>
        <v>-450.91411653385148</v>
      </c>
      <c r="G6" s="93">
        <f>'Rec-Desp-FinComb'!G62-'Rec-Desp-FinComb'!F62</f>
        <v>-219.15907536972736</v>
      </c>
      <c r="J6" s="148" t="s">
        <v>305</v>
      </c>
      <c r="K6" s="70"/>
      <c r="L6" s="70"/>
      <c r="M6" s="70"/>
      <c r="N6" s="70"/>
      <c r="O6" s="70"/>
      <c r="P6" s="71"/>
    </row>
    <row r="7" spans="1:16" x14ac:dyDescent="0.25">
      <c r="A7" s="4" t="s">
        <v>164</v>
      </c>
      <c r="B7" s="2"/>
      <c r="C7" s="48">
        <f>C5-C6</f>
        <v>37462.447475634661</v>
      </c>
      <c r="D7" s="48">
        <f t="shared" ref="D7:G7" si="3">D5-D6</f>
        <v>39590.075927005353</v>
      </c>
      <c r="E7" s="48">
        <f t="shared" si="3"/>
        <v>56881.335728841004</v>
      </c>
      <c r="F7" s="48">
        <f t="shared" si="3"/>
        <v>50239.108770172112</v>
      </c>
      <c r="G7" s="48">
        <f t="shared" si="3"/>
        <v>51998.881515153436</v>
      </c>
      <c r="J7" s="69" t="s">
        <v>97</v>
      </c>
      <c r="K7" s="70"/>
      <c r="L7" s="168">
        <f>'Premissa EmpComb'!$I$21</f>
        <v>2.9499999999999998E-2</v>
      </c>
      <c r="M7" s="168">
        <f>'Premissa EmpComb'!$I$21</f>
        <v>2.9499999999999998E-2</v>
      </c>
      <c r="N7" s="168">
        <f>'Premissa EmpComb'!$I$21</f>
        <v>2.9499999999999998E-2</v>
      </c>
      <c r="O7" s="168">
        <f>'Premissa EmpComb'!$I$21</f>
        <v>2.9499999999999998E-2</v>
      </c>
      <c r="P7" s="173">
        <f>'Premissa EmpComb'!$I$21</f>
        <v>2.9499999999999998E-2</v>
      </c>
    </row>
    <row r="8" spans="1:16" x14ac:dyDescent="0.25">
      <c r="A8" s="7" t="s">
        <v>165</v>
      </c>
      <c r="B8" s="2"/>
      <c r="C8" s="13">
        <f>SUM(C9:C10)</f>
        <v>28586.404999999999</v>
      </c>
      <c r="D8" s="13">
        <f t="shared" ref="D8:G8" si="4">SUM(D9:D10)</f>
        <v>32302.805</v>
      </c>
      <c r="E8" s="13">
        <f t="shared" si="4"/>
        <v>34857.260999999999</v>
      </c>
      <c r="F8" s="13">
        <f t="shared" si="4"/>
        <v>13599.954000000002</v>
      </c>
      <c r="G8" s="13">
        <f t="shared" si="4"/>
        <v>11491.704000000002</v>
      </c>
      <c r="J8" s="69" t="s">
        <v>306</v>
      </c>
      <c r="K8" s="70"/>
      <c r="L8" s="168">
        <f>'Premissa EmpComb'!$I$22</f>
        <v>0.03</v>
      </c>
      <c r="M8" s="168">
        <f>'Premissa EmpComb'!$I$22</f>
        <v>0.03</v>
      </c>
      <c r="N8" s="168">
        <f>'Premissa EmpComb'!$I$22</f>
        <v>0.03</v>
      </c>
      <c r="O8" s="168">
        <f>'Premissa EmpComb'!$I$22</f>
        <v>0.03</v>
      </c>
      <c r="P8" s="173">
        <f>'Premissa EmpComb'!$I$22</f>
        <v>0.03</v>
      </c>
    </row>
    <row r="9" spans="1:16" x14ac:dyDescent="0.25">
      <c r="A9" s="55" t="s">
        <v>166</v>
      </c>
      <c r="B9" s="2"/>
      <c r="C9" s="12">
        <f>'DFC-DRE'!C8+'DFC-DRE2'!C8</f>
        <v>28586.404999999999</v>
      </c>
      <c r="D9" s="12">
        <f>'DFC-DRE'!D8+'DFC-DRE2'!D8</f>
        <v>32302.805</v>
      </c>
      <c r="E9" s="12">
        <f>'DFC-DRE'!E8+'DFC-DRE2'!E8</f>
        <v>34857.260999999999</v>
      </c>
      <c r="F9" s="12">
        <f>'DFC-DRE'!F8+'DFC-DRE2'!F8</f>
        <v>13599.954000000002</v>
      </c>
      <c r="G9" s="12">
        <f>'DFC-DRE'!G8+'DFC-DRE2'!G8</f>
        <v>11491.704000000002</v>
      </c>
      <c r="J9" s="69" t="s">
        <v>99</v>
      </c>
      <c r="K9" s="70"/>
      <c r="L9" s="168">
        <f>'Premissa EmpComb'!$I$23</f>
        <v>5.5E-2</v>
      </c>
      <c r="M9" s="168">
        <f>'Premissa EmpComb'!$I$23</f>
        <v>5.5E-2</v>
      </c>
      <c r="N9" s="168">
        <f>'Premissa EmpComb'!$I$23</f>
        <v>5.5E-2</v>
      </c>
      <c r="O9" s="168">
        <f>'Premissa EmpComb'!$I$23</f>
        <v>5.5E-2</v>
      </c>
      <c r="P9" s="173">
        <f>'Premissa EmpComb'!$I$23</f>
        <v>5.5E-2</v>
      </c>
    </row>
    <row r="10" spans="1:16" x14ac:dyDescent="0.25">
      <c r="A10" s="47" t="s">
        <v>167</v>
      </c>
      <c r="B10" s="2"/>
      <c r="C10" s="245">
        <f>'DFC-DRE'!C9+'DFC-DRE2'!C9</f>
        <v>0</v>
      </c>
      <c r="D10" s="245">
        <f>'DFC-DRE'!D9+'DFC-DRE2'!D9</f>
        <v>0</v>
      </c>
      <c r="E10" s="245">
        <f>'DFC-DRE'!E9+'DFC-DRE2'!E9</f>
        <v>0</v>
      </c>
      <c r="F10" s="245">
        <f>'DFC-DRE'!F9+'DFC-DRE2'!F9</f>
        <v>0</v>
      </c>
      <c r="G10" s="245">
        <f>'DFC-DRE'!G9+'DFC-DRE2'!G9</f>
        <v>0</v>
      </c>
      <c r="J10" s="69" t="s">
        <v>208</v>
      </c>
      <c r="K10" s="70"/>
      <c r="L10" s="169">
        <f>'Premissa EmpComb'!$I$24</f>
        <v>1.1000000000000001</v>
      </c>
      <c r="M10" s="169">
        <f>'Premissa EmpComb'!$I$24</f>
        <v>1.1000000000000001</v>
      </c>
      <c r="N10" s="169">
        <f>'Premissa EmpComb'!$I$24</f>
        <v>1.1000000000000001</v>
      </c>
      <c r="O10" s="169">
        <f>'Premissa EmpComb'!$I$24</f>
        <v>1.1000000000000001</v>
      </c>
      <c r="P10" s="174">
        <f>'Premissa EmpComb'!$I$24</f>
        <v>1.1000000000000001</v>
      </c>
    </row>
    <row r="11" spans="1:16" ht="30" x14ac:dyDescent="0.25">
      <c r="A11" s="164" t="s">
        <v>168</v>
      </c>
      <c r="B11" s="2"/>
      <c r="C11" s="48">
        <f>-C13-C14+C16-C17-C18+C19+C20-C21-C22</f>
        <v>-15639.999124814796</v>
      </c>
      <c r="D11" s="48">
        <f t="shared" ref="D11:G11" si="5">-D13-D14+D16-D17-D18+D19+D20-D21-D22</f>
        <v>-7765.3361810454917</v>
      </c>
      <c r="E11" s="48">
        <f t="shared" si="5"/>
        <v>-14476.846118098003</v>
      </c>
      <c r="F11" s="48">
        <f t="shared" si="5"/>
        <v>-38364.680574037935</v>
      </c>
      <c r="G11" s="48">
        <f t="shared" si="5"/>
        <v>-19114.304355140452</v>
      </c>
      <c r="J11" s="149" t="s">
        <v>209</v>
      </c>
      <c r="K11" s="70"/>
      <c r="L11" s="166">
        <f>L7+L10*(L9+L8)</f>
        <v>0.123</v>
      </c>
      <c r="M11" s="166">
        <f t="shared" ref="M11:P11" si="6">M7+M10*(M9+M8)</f>
        <v>0.123</v>
      </c>
      <c r="N11" s="166">
        <f t="shared" si="6"/>
        <v>0.123</v>
      </c>
      <c r="O11" s="166">
        <f t="shared" si="6"/>
        <v>0.123</v>
      </c>
      <c r="P11" s="175">
        <f t="shared" si="6"/>
        <v>0.123</v>
      </c>
    </row>
    <row r="12" spans="1:16" x14ac:dyDescent="0.25">
      <c r="A12" s="4" t="s">
        <v>169</v>
      </c>
      <c r="B12" s="2"/>
      <c r="C12" s="4"/>
      <c r="D12" s="4"/>
      <c r="E12" s="4"/>
      <c r="F12" s="4"/>
      <c r="G12" s="4"/>
      <c r="J12" s="69" t="s">
        <v>210</v>
      </c>
      <c r="K12" s="70"/>
      <c r="L12" s="170">
        <f>'Premissas SaintL'!H6</f>
        <v>0.02</v>
      </c>
      <c r="M12" s="170">
        <f>'Premissas SaintL'!I6</f>
        <v>0.02</v>
      </c>
      <c r="N12" s="170">
        <f>'Premissas SaintL'!J6</f>
        <v>0.02</v>
      </c>
      <c r="O12" s="170">
        <f>'Premissas SaintL'!K6</f>
        <v>0.02</v>
      </c>
      <c r="P12" s="176">
        <f>'Premissas SaintL'!L6</f>
        <v>0.02</v>
      </c>
    </row>
    <row r="13" spans="1:16" x14ac:dyDescent="0.25">
      <c r="A13" s="15" t="s">
        <v>170</v>
      </c>
      <c r="B13" s="2"/>
      <c r="C13" s="93">
        <f>'DFC-DRE'!C12+'DFC-DRE2'!C12</f>
        <v>12630</v>
      </c>
      <c r="D13" s="93">
        <v>0</v>
      </c>
      <c r="E13" s="93">
        <v>0</v>
      </c>
      <c r="F13" s="93">
        <v>0</v>
      </c>
      <c r="G13" s="93">
        <v>0</v>
      </c>
      <c r="J13" s="69" t="s">
        <v>211</v>
      </c>
      <c r="K13" s="70"/>
      <c r="L13" s="170">
        <f>'Premissas SaintL'!H5</f>
        <v>4.4999999999999998E-2</v>
      </c>
      <c r="M13" s="170">
        <f>'Premissas SaintL'!I5</f>
        <v>4.4999999999999998E-2</v>
      </c>
      <c r="N13" s="170">
        <f>'Premissas SaintL'!J5</f>
        <v>0.04</v>
      </c>
      <c r="O13" s="170">
        <f>'Premissas SaintL'!K5</f>
        <v>0.04</v>
      </c>
      <c r="P13" s="176">
        <f>'Premissas SaintL'!L5</f>
        <v>0.04</v>
      </c>
    </row>
    <row r="14" spans="1:16" ht="30" x14ac:dyDescent="0.25">
      <c r="A14" s="15" t="s">
        <v>171</v>
      </c>
      <c r="B14" s="2"/>
      <c r="C14" s="93">
        <f>C13*'Premissas SaintL'!H10</f>
        <v>2083.9500000000003</v>
      </c>
      <c r="D14" s="93">
        <f>D13*'Premissas SaintL'!I10</f>
        <v>0</v>
      </c>
      <c r="E14" s="93">
        <f>E13*'Premissas SaintL'!J10</f>
        <v>0</v>
      </c>
      <c r="F14" s="93">
        <f>F13*'Premissas SaintL'!K10</f>
        <v>0</v>
      </c>
      <c r="G14" s="93">
        <f>G13*'Premissas SaintL'!L10</f>
        <v>0</v>
      </c>
      <c r="J14" s="149" t="s">
        <v>212</v>
      </c>
      <c r="K14" s="70"/>
      <c r="L14" s="166">
        <f>(1+L11)*((1+L13)/(1+L12))-1</f>
        <v>0.1505245098039214</v>
      </c>
      <c r="M14" s="166">
        <f t="shared" ref="M14:P14" si="7">(1+M11)*((1+M13)/(1+M12))-1</f>
        <v>0.1505245098039214</v>
      </c>
      <c r="N14" s="166">
        <f t="shared" si="7"/>
        <v>0.14501960784313717</v>
      </c>
      <c r="O14" s="166">
        <f t="shared" si="7"/>
        <v>0.14501960784313717</v>
      </c>
      <c r="P14" s="175">
        <f t="shared" si="7"/>
        <v>0.14501960784313717</v>
      </c>
    </row>
    <row r="15" spans="1:16" x14ac:dyDescent="0.25">
      <c r="A15" s="6" t="s">
        <v>36</v>
      </c>
      <c r="B15" s="2"/>
      <c r="C15" s="6"/>
      <c r="D15" s="6"/>
      <c r="E15" s="6"/>
      <c r="F15" s="6"/>
      <c r="G15" s="6"/>
      <c r="J15" s="69"/>
      <c r="K15" s="70"/>
      <c r="L15" s="70"/>
      <c r="M15" s="70"/>
      <c r="N15" s="70"/>
      <c r="O15" s="70"/>
      <c r="P15" s="71"/>
    </row>
    <row r="16" spans="1:16" ht="30" x14ac:dyDescent="0.25">
      <c r="A16" s="15" t="s">
        <v>172</v>
      </c>
      <c r="B16" s="2"/>
      <c r="C16" s="93">
        <f>'Rec-Desp-FinComb'!C95+'Rec-Desp-FinComb'!C114</f>
        <v>17715</v>
      </c>
      <c r="D16" s="93">
        <f>'Rec-Desp-FinComb'!D95+'Rec-Desp-FinComb'!D114</f>
        <v>18343.599999999999</v>
      </c>
      <c r="E16" s="93">
        <f>'Rec-Desp-FinComb'!E95+'Rec-Desp-FinComb'!E114</f>
        <v>18997.399999999998</v>
      </c>
      <c r="F16" s="93">
        <f>'Rec-Desp-FinComb'!F95+'Rec-Desp-FinComb'!F114</f>
        <v>1575</v>
      </c>
      <c r="G16" s="93">
        <f>'Rec-Desp-FinComb'!G95+'Rec-Desp-FinComb'!G114</f>
        <v>0</v>
      </c>
      <c r="J16" s="150" t="s">
        <v>213</v>
      </c>
      <c r="K16" s="70"/>
      <c r="L16" s="129"/>
      <c r="M16" s="70"/>
      <c r="N16" s="70"/>
      <c r="O16" s="70"/>
      <c r="P16" s="71"/>
    </row>
    <row r="17" spans="1:16" x14ac:dyDescent="0.25">
      <c r="A17" s="15" t="s">
        <v>294</v>
      </c>
      <c r="B17" s="2"/>
      <c r="C17" s="93">
        <f>'Rec-Desp-FinComb'!C72</f>
        <v>3600</v>
      </c>
      <c r="D17" s="93">
        <f>'Rec-Desp-FinComb'!D72+'Rec-Desp-FinComb'!K114</f>
        <v>8838.3333333333321</v>
      </c>
      <c r="E17" s="93">
        <f>'Rec-Desp-FinComb'!E72+'Rec-Desp-FinComb'!L114+'Rec-Desp-FinComb'!K120</f>
        <v>14286.199999999997</v>
      </c>
      <c r="F17" s="93">
        <f>'Rec-Desp-FinComb'!F72+'Rec-Desp-FinComb'!M114+'Rec-Desp-FinComb'!L120+'Rec-Desp-FinComb'!K126</f>
        <v>19951.999999999996</v>
      </c>
      <c r="G17" s="210">
        <v>0</v>
      </c>
      <c r="J17" s="69" t="s">
        <v>310</v>
      </c>
      <c r="K17" s="70"/>
      <c r="L17" s="190">
        <f>C46/(B78+B73+B74)</f>
        <v>0.16215308557790661</v>
      </c>
      <c r="M17" s="190">
        <f t="shared" ref="M17:P17" si="8">D46/(C78+C73+C74)</f>
        <v>0.14470063280869708</v>
      </c>
      <c r="N17" s="190">
        <f t="shared" si="8"/>
        <v>0.14004457642475912</v>
      </c>
      <c r="O17" s="190">
        <f t="shared" si="8"/>
        <v>0.13792778975294315</v>
      </c>
      <c r="P17" s="193">
        <f t="shared" si="8"/>
        <v>0.13934177386154165</v>
      </c>
    </row>
    <row r="18" spans="1:16" x14ac:dyDescent="0.25">
      <c r="A18" s="15" t="s">
        <v>174</v>
      </c>
      <c r="B18" s="2"/>
      <c r="C18" s="93">
        <f>'Rec-Desp-FinComb'!C69+'Rec-Desp-FinComb'!C76</f>
        <v>2672</v>
      </c>
      <c r="D18" s="93">
        <f>'Rec-Desp-FinComb'!D69+'Rec-Desp-FinComb'!D76+'Rec-Desp-FinComb'!D87+'Rec-Desp-FinComb'!D94+'Rec-Desp-FinComb'!D106+'Rec-Desp-FinComb'!D113</f>
        <v>4458.95</v>
      </c>
      <c r="E18" s="93">
        <f>'Rec-Desp-FinComb'!E69+'Rec-Desp-FinComb'!E76+'Rec-Desp-FinComb'!E87+'Rec-Desp-FinComb'!E94+'Rec-Desp-FinComb'!E106+'Rec-Desp-FinComb'!E113</f>
        <v>5646.6346666666668</v>
      </c>
      <c r="F18" s="93">
        <f>'Rec-Desp-FinComb'!F69+'Rec-Desp-FinComb'!F76+'Rec-Desp-FinComb'!F87+'Rec-Desp-FinComb'!F94+'Rec-Desp-FinComb'!F106+'Rec-Desp-FinComb'!F113</f>
        <v>6211.0906666666669</v>
      </c>
      <c r="G18" s="93">
        <f>'Rec-Desp-FinComb'!G69+'Rec-Desp-FinComb'!G76+'Rec-Desp-FinComb'!G87+'Rec-Desp-FinComb'!G94+'Rec-Desp-FinComb'!G106+'Rec-Desp-FinComb'!G113</f>
        <v>3714.0806666666667</v>
      </c>
      <c r="J18" s="69" t="s">
        <v>307</v>
      </c>
      <c r="K18" s="70"/>
      <c r="L18" s="190">
        <f>L17*(1-L4)</f>
        <v>0.10702103648141835</v>
      </c>
      <c r="M18" s="190">
        <f t="shared" ref="M18:P18" si="9">M17*(1-M4)</f>
        <v>9.5502417653740054E-2</v>
      </c>
      <c r="N18" s="190">
        <f t="shared" si="9"/>
        <v>9.2429420440341012E-2</v>
      </c>
      <c r="O18" s="190">
        <f t="shared" si="9"/>
        <v>9.1032341236942468E-2</v>
      </c>
      <c r="P18" s="193">
        <f t="shared" si="9"/>
        <v>9.196557074861747E-2</v>
      </c>
    </row>
    <row r="19" spans="1:16" x14ac:dyDescent="0.25">
      <c r="A19" s="15" t="s">
        <v>175</v>
      </c>
      <c r="B19" s="2"/>
      <c r="C19" s="95">
        <f>'Premissas SaintL'!H8*C30</f>
        <v>1112.21</v>
      </c>
      <c r="D19" s="95">
        <f>'Premissas SaintL'!I8*D30</f>
        <v>368.17476859018524</v>
      </c>
      <c r="E19" s="95">
        <f>'Premissas SaintL'!J8*E30</f>
        <v>258.20802871017543</v>
      </c>
      <c r="F19" s="95">
        <f>'Premissas SaintL'!K8*F30</f>
        <v>1041.6206707522731</v>
      </c>
      <c r="G19" s="95">
        <f>'Premissas SaintL'!L8*G30</f>
        <v>955.97489940225989</v>
      </c>
      <c r="J19" s="69" t="s">
        <v>308</v>
      </c>
      <c r="K19" s="70"/>
      <c r="L19" s="166">
        <f>L14+((L14-L17)*((B73+B74+B78)/B82)*(1-L4))</f>
        <v>0.14703084758456378</v>
      </c>
      <c r="M19" s="166">
        <f t="shared" ref="M19:P19" si="10">M14+((M14-M17)*((C73+C74+C78)/C82)*(1-M4))</f>
        <v>0.15204116407789711</v>
      </c>
      <c r="N19" s="166">
        <f t="shared" si="10"/>
        <v>0.14648003073652457</v>
      </c>
      <c r="O19" s="166">
        <f t="shared" si="10"/>
        <v>0.14703368996685692</v>
      </c>
      <c r="P19" s="175">
        <f t="shared" si="10"/>
        <v>0.14585593938069466</v>
      </c>
    </row>
    <row r="20" spans="1:16" x14ac:dyDescent="0.25">
      <c r="A20" s="15" t="s">
        <v>176</v>
      </c>
      <c r="B20" s="2"/>
      <c r="C20" s="210">
        <f>'DFC-DRE'!C19+'DFC-DRE2'!C19</f>
        <v>0</v>
      </c>
      <c r="D20" s="210">
        <f>'DFC-DRE'!D19+'DFC-DRE2'!D19</f>
        <v>0</v>
      </c>
      <c r="E20" s="210">
        <f>'DFC-DRE'!E19+'DFC-DRE2'!E19</f>
        <v>0</v>
      </c>
      <c r="F20" s="210">
        <f>'DFC-DRE'!F19+'DFC-DRE2'!F19</f>
        <v>0</v>
      </c>
      <c r="G20" s="210">
        <f>'DFC-DRE'!G19+'DFC-DRE2'!G19</f>
        <v>0</v>
      </c>
      <c r="J20" s="18" t="s">
        <v>215</v>
      </c>
      <c r="K20" s="73"/>
      <c r="L20" s="171">
        <f>L18*((B78+B73+B74)/(B78+B73+B74+B82))+L19*(B82/(B82+B78+B73+B74))</f>
        <v>0.13451524681180665</v>
      </c>
      <c r="M20" s="171">
        <f t="shared" ref="M20:P20" si="11">M18*((C78+C73+C74)/(C78+C73+C74+C82))+M19*(C82/(C82+C78+C73+C74))</f>
        <v>0.13604431272399359</v>
      </c>
      <c r="N20" s="171">
        <f t="shared" si="11"/>
        <v>0.12984055209960274</v>
      </c>
      <c r="O20" s="171">
        <f t="shared" si="11"/>
        <v>0.13018579273805297</v>
      </c>
      <c r="P20" s="177">
        <f t="shared" si="11"/>
        <v>0.1360232287904963</v>
      </c>
    </row>
    <row r="21" spans="1:16" x14ac:dyDescent="0.25">
      <c r="A21" s="15" t="s">
        <v>295</v>
      </c>
      <c r="B21" s="2"/>
      <c r="C21" s="93">
        <f>'DFC-DRE'!C20+'DFC-DRE2'!C20</f>
        <v>4095.5249999999996</v>
      </c>
      <c r="D21" s="93">
        <f>'DFC-DRE'!D20+'DFC-DRE2'!D20</f>
        <v>4554.8415605718856</v>
      </c>
      <c r="E21" s="93">
        <f>'DFC-DRE'!E20+'DFC-DRE2'!E20</f>
        <v>4185.6549976338983</v>
      </c>
      <c r="F21" s="93">
        <f>'DFC-DRE'!F20+'DFC-DRE2'!F20</f>
        <v>4665.6004106286946</v>
      </c>
      <c r="G21" s="93">
        <f>'DFC-DRE'!G20+'DFC-DRE2'!G20</f>
        <v>4927.0019930489743</v>
      </c>
    </row>
    <row r="22" spans="1:16" x14ac:dyDescent="0.25">
      <c r="A22" s="47" t="s">
        <v>296</v>
      </c>
      <c r="B22" s="2"/>
      <c r="C22" s="96">
        <f>'DFC-DRE'!C21+'DFC-DRE2'!C21</f>
        <v>9385.7341248147968</v>
      </c>
      <c r="D22" s="96">
        <f>'DFC-DRE'!D21+'DFC-DRE2'!D21</f>
        <v>8624.9860557304582</v>
      </c>
      <c r="E22" s="96">
        <f>'DFC-DRE'!E21+'DFC-DRE2'!E21</f>
        <v>9613.9644825076139</v>
      </c>
      <c r="F22" s="96">
        <f>'DFC-DRE'!F21+'DFC-DRE2'!F21</f>
        <v>10152.610167494855</v>
      </c>
      <c r="G22" s="96">
        <f>'DFC-DRE'!G21+'DFC-DRE2'!G21</f>
        <v>11429.19659482707</v>
      </c>
      <c r="J22" s="242" t="s">
        <v>309</v>
      </c>
      <c r="K22" s="243"/>
      <c r="L22" s="243"/>
      <c r="M22" s="243"/>
      <c r="N22" s="243"/>
      <c r="O22" s="244"/>
    </row>
    <row r="23" spans="1:16" ht="30" x14ac:dyDescent="0.25">
      <c r="A23" s="2"/>
      <c r="B23" s="2"/>
      <c r="C23" s="2"/>
      <c r="D23" s="2"/>
      <c r="E23" s="2"/>
      <c r="F23" s="2"/>
      <c r="G23" s="2"/>
      <c r="J23" s="152" t="s">
        <v>220</v>
      </c>
      <c r="K23" s="66"/>
      <c r="L23" s="66"/>
      <c r="M23" s="66"/>
      <c r="N23" s="66"/>
      <c r="O23" s="151"/>
    </row>
    <row r="24" spans="1:16" x14ac:dyDescent="0.25">
      <c r="A24" s="7" t="s">
        <v>179</v>
      </c>
      <c r="B24" s="2"/>
      <c r="C24" s="48">
        <f>C7-C8+C11</f>
        <v>-6763.9566491801343</v>
      </c>
      <c r="D24" s="48">
        <f>D7-D8+D11</f>
        <v>-478.06525404013883</v>
      </c>
      <c r="E24" s="48">
        <f t="shared" ref="D24:G24" si="12">E7-E8+E11</f>
        <v>7547.2286107430027</v>
      </c>
      <c r="F24" s="48">
        <f t="shared" si="12"/>
        <v>-1725.5258038658212</v>
      </c>
      <c r="G24" s="48">
        <f t="shared" si="12"/>
        <v>21392.873160012987</v>
      </c>
      <c r="J24" s="145"/>
      <c r="K24" s="67" t="s">
        <v>53</v>
      </c>
      <c r="L24" s="67" t="s">
        <v>54</v>
      </c>
      <c r="M24" s="67" t="s">
        <v>55</v>
      </c>
      <c r="N24" s="67" t="s">
        <v>56</v>
      </c>
      <c r="O24" s="68" t="s">
        <v>57</v>
      </c>
    </row>
    <row r="25" spans="1:16" x14ac:dyDescent="0.25">
      <c r="A25" s="55" t="s">
        <v>180</v>
      </c>
      <c r="B25" s="2"/>
      <c r="C25" s="12">
        <f>IF(C24&lt;0,-C24,0)</f>
        <v>6763.9566491801343</v>
      </c>
      <c r="D25" s="12">
        <f t="shared" ref="D25:G25" si="13">IF(D24&lt;0,-D24,0)</f>
        <v>478.06525404013883</v>
      </c>
      <c r="E25" s="12">
        <f t="shared" si="13"/>
        <v>0</v>
      </c>
      <c r="F25" s="12">
        <f t="shared" si="13"/>
        <v>1725.5258038658212</v>
      </c>
      <c r="G25" s="12">
        <f t="shared" si="13"/>
        <v>0</v>
      </c>
      <c r="J25" s="69" t="s">
        <v>221</v>
      </c>
      <c r="K25" s="121">
        <f>C44</f>
        <v>31841.215977664302</v>
      </c>
      <c r="L25" s="121">
        <f t="shared" ref="L25:O25" si="14">D44</f>
        <v>32167.133921659184</v>
      </c>
      <c r="M25" s="121">
        <f t="shared" si="14"/>
        <v>37366.136164448209</v>
      </c>
      <c r="N25" s="121">
        <f t="shared" si="14"/>
        <v>39260.26465363826</v>
      </c>
      <c r="O25" s="105">
        <f t="shared" si="14"/>
        <v>41110.042439783712</v>
      </c>
    </row>
    <row r="26" spans="1:16" x14ac:dyDescent="0.25">
      <c r="A26" s="6" t="s">
        <v>297</v>
      </c>
      <c r="B26" s="2"/>
      <c r="C26" s="95">
        <f>C24+C25</f>
        <v>0</v>
      </c>
      <c r="D26" s="95">
        <f t="shared" ref="D26:G26" si="15">D24+D25</f>
        <v>0</v>
      </c>
      <c r="E26" s="95">
        <f t="shared" si="15"/>
        <v>7547.2286107430027</v>
      </c>
      <c r="F26" s="95">
        <f t="shared" si="15"/>
        <v>0</v>
      </c>
      <c r="G26" s="95">
        <f t="shared" si="15"/>
        <v>21392.873160012987</v>
      </c>
      <c r="J26" s="72" t="s">
        <v>222</v>
      </c>
      <c r="K26" s="121">
        <f>K4*K25</f>
        <v>10826.013432405864</v>
      </c>
      <c r="L26" s="121">
        <f t="shared" ref="L26:O26" si="16">L4*L25</f>
        <v>10936.825533364123</v>
      </c>
      <c r="M26" s="121">
        <f t="shared" si="16"/>
        <v>12704.486295912393</v>
      </c>
      <c r="N26" s="121">
        <f t="shared" si="16"/>
        <v>13348.48998223701</v>
      </c>
      <c r="O26" s="105">
        <f t="shared" si="16"/>
        <v>13977.414429526463</v>
      </c>
    </row>
    <row r="27" spans="1:16" x14ac:dyDescent="0.25">
      <c r="A27" s="15" t="s">
        <v>182</v>
      </c>
      <c r="B27" s="2"/>
      <c r="C27" s="210">
        <v>0</v>
      </c>
      <c r="D27" s="210">
        <v>0</v>
      </c>
      <c r="E27" s="210">
        <v>0</v>
      </c>
      <c r="F27" s="210">
        <v>0</v>
      </c>
      <c r="G27" s="210">
        <v>0</v>
      </c>
      <c r="J27" s="72" t="s">
        <v>223</v>
      </c>
      <c r="K27" s="121">
        <f>K25-K26</f>
        <v>21015.202545258438</v>
      </c>
      <c r="L27" s="121">
        <f t="shared" ref="L27:O27" si="17">L25-L26</f>
        <v>21230.30838829506</v>
      </c>
      <c r="M27" s="121">
        <f t="shared" si="17"/>
        <v>24661.649868535816</v>
      </c>
      <c r="N27" s="121">
        <f t="shared" si="17"/>
        <v>25911.77467140125</v>
      </c>
      <c r="O27" s="105">
        <f t="shared" si="17"/>
        <v>27132.628010257249</v>
      </c>
    </row>
    <row r="28" spans="1:16" x14ac:dyDescent="0.25">
      <c r="A28" s="5" t="s">
        <v>298</v>
      </c>
      <c r="B28" s="2"/>
      <c r="C28" s="96">
        <f>C26+C27</f>
        <v>0</v>
      </c>
      <c r="D28" s="96">
        <f t="shared" ref="D28:G28" si="18">D26+D27</f>
        <v>0</v>
      </c>
      <c r="E28" s="96">
        <f t="shared" si="18"/>
        <v>7547.2286107430027</v>
      </c>
      <c r="F28" s="96">
        <f t="shared" si="18"/>
        <v>0</v>
      </c>
      <c r="G28" s="96">
        <f t="shared" si="18"/>
        <v>21392.873160012987</v>
      </c>
      <c r="J28" s="72" t="s">
        <v>161</v>
      </c>
      <c r="K28" s="121">
        <f>C4</f>
        <v>6201.4050000000007</v>
      </c>
      <c r="L28" s="121">
        <f t="shared" ref="L28:O28" si="19">D4</f>
        <v>7587.4049999999997</v>
      </c>
      <c r="M28" s="121">
        <f t="shared" si="19"/>
        <v>9028.8449999999993</v>
      </c>
      <c r="N28" s="121">
        <f t="shared" si="19"/>
        <v>10527.93</v>
      </c>
      <c r="O28" s="105">
        <f t="shared" si="19"/>
        <v>10669.680000000002</v>
      </c>
    </row>
    <row r="29" spans="1:16" x14ac:dyDescent="0.25">
      <c r="A29" s="2"/>
      <c r="B29" s="2"/>
      <c r="C29" s="2"/>
      <c r="D29" s="2"/>
      <c r="E29" s="2"/>
      <c r="F29" s="2"/>
      <c r="G29" s="2"/>
      <c r="J29" s="72" t="s">
        <v>224</v>
      </c>
      <c r="K29" s="121">
        <f>C8</f>
        <v>28586.404999999999</v>
      </c>
      <c r="L29" s="121">
        <f t="shared" ref="L29:O29" si="20">D8</f>
        <v>32302.805</v>
      </c>
      <c r="M29" s="121">
        <f t="shared" si="20"/>
        <v>34857.260999999999</v>
      </c>
      <c r="N29" s="121">
        <f t="shared" si="20"/>
        <v>13599.954000000002</v>
      </c>
      <c r="O29" s="105">
        <f t="shared" si="20"/>
        <v>11491.704000000002</v>
      </c>
    </row>
    <row r="30" spans="1:16" x14ac:dyDescent="0.25">
      <c r="A30" s="4" t="s">
        <v>184</v>
      </c>
      <c r="B30" s="2"/>
      <c r="C30" s="13">
        <f>'BP-DREComb'!D3</f>
        <v>10111</v>
      </c>
      <c r="D30" s="13">
        <f>C33</f>
        <v>3347.0433508198657</v>
      </c>
      <c r="E30" s="13">
        <f t="shared" ref="E30:G30" si="21">D33</f>
        <v>2868.9780967797269</v>
      </c>
      <c r="F30" s="13">
        <f t="shared" si="21"/>
        <v>10416.20670752273</v>
      </c>
      <c r="G30" s="13">
        <f t="shared" si="21"/>
        <v>8690.6809036569084</v>
      </c>
      <c r="J30" s="72" t="s">
        <v>163</v>
      </c>
      <c r="K30" s="178">
        <f>C6</f>
        <v>580.17350202964371</v>
      </c>
      <c r="L30" s="178">
        <f t="shared" ref="L30:O30" si="22">D6</f>
        <v>164.46299465383345</v>
      </c>
      <c r="M30" s="178">
        <f t="shared" si="22"/>
        <v>-10486.354564392794</v>
      </c>
      <c r="N30" s="178">
        <f t="shared" si="22"/>
        <v>-450.91411653385148</v>
      </c>
      <c r="O30" s="180">
        <f t="shared" si="22"/>
        <v>-219.15907536972736</v>
      </c>
    </row>
    <row r="31" spans="1:16" x14ac:dyDescent="0.25">
      <c r="A31" s="15" t="s">
        <v>185</v>
      </c>
      <c r="B31" s="2"/>
      <c r="C31" s="12">
        <f>C25</f>
        <v>6763.9566491801343</v>
      </c>
      <c r="D31" s="12">
        <f t="shared" ref="D31:G31" si="23">D25</f>
        <v>478.06525404013883</v>
      </c>
      <c r="E31" s="12">
        <f t="shared" si="23"/>
        <v>0</v>
      </c>
      <c r="F31" s="12">
        <f t="shared" si="23"/>
        <v>1725.5258038658212</v>
      </c>
      <c r="G31" s="12">
        <f t="shared" si="23"/>
        <v>0</v>
      </c>
      <c r="J31" s="69" t="s">
        <v>225</v>
      </c>
      <c r="K31" s="179">
        <f>K27+K28-K29-K30</f>
        <v>-1949.9709567712016</v>
      </c>
      <c r="L31" s="179">
        <f t="shared" ref="L31:O31" si="24">L27+L28-L29-L30</f>
        <v>-3649.5546063587753</v>
      </c>
      <c r="M31" s="179">
        <f t="shared" si="24"/>
        <v>9319.5884329286127</v>
      </c>
      <c r="N31" s="179">
        <f t="shared" si="24"/>
        <v>23290.664787935104</v>
      </c>
      <c r="O31" s="181">
        <f t="shared" si="24"/>
        <v>26529.763085626975</v>
      </c>
    </row>
    <row r="32" spans="1:16" x14ac:dyDescent="0.25">
      <c r="A32" s="15" t="s">
        <v>186</v>
      </c>
      <c r="B32" s="2"/>
      <c r="C32" s="95">
        <f>C26</f>
        <v>0</v>
      </c>
      <c r="D32" s="95">
        <f t="shared" ref="D32:G32" si="25">D26</f>
        <v>0</v>
      </c>
      <c r="E32" s="95">
        <f t="shared" si="25"/>
        <v>7547.2286107430027</v>
      </c>
      <c r="F32" s="95">
        <f t="shared" si="25"/>
        <v>0</v>
      </c>
      <c r="G32" s="95">
        <f t="shared" si="25"/>
        <v>21392.873160012987</v>
      </c>
      <c r="J32" s="69" t="s">
        <v>226</v>
      </c>
      <c r="K32" s="70"/>
      <c r="L32" s="70"/>
      <c r="M32" s="70"/>
      <c r="N32" s="70"/>
      <c r="O32" s="105">
        <f>O31/(P14-'Premissas SaintL'!$H$66)</f>
        <v>182939.145128039</v>
      </c>
    </row>
    <row r="33" spans="1:15" x14ac:dyDescent="0.25">
      <c r="A33" s="47" t="s">
        <v>187</v>
      </c>
      <c r="B33" s="2"/>
      <c r="C33" s="96">
        <f>C30-C31+C32</f>
        <v>3347.0433508198657</v>
      </c>
      <c r="D33" s="96">
        <f t="shared" ref="D33:G33" si="26">D30-D31+D32</f>
        <v>2868.9780967797269</v>
      </c>
      <c r="E33" s="96">
        <f t="shared" si="26"/>
        <v>10416.20670752273</v>
      </c>
      <c r="F33" s="96">
        <f t="shared" si="26"/>
        <v>8690.6809036569084</v>
      </c>
      <c r="G33" s="96">
        <f t="shared" si="26"/>
        <v>30083.554063669893</v>
      </c>
      <c r="J33" s="18"/>
      <c r="K33" s="73"/>
      <c r="L33" s="73"/>
      <c r="M33" s="73"/>
      <c r="N33" s="73"/>
      <c r="O33" s="74"/>
    </row>
    <row r="34" spans="1:15" x14ac:dyDescent="0.25">
      <c r="A34" s="2"/>
      <c r="B34" s="2"/>
      <c r="C34" s="2"/>
      <c r="D34" s="2"/>
      <c r="E34" s="2"/>
      <c r="F34" s="2"/>
      <c r="G34" s="2"/>
      <c r="J34" s="7" t="s">
        <v>227</v>
      </c>
      <c r="K34" s="48">
        <f>K31+K32</f>
        <v>-1949.9709567712016</v>
      </c>
      <c r="L34" s="48">
        <f t="shared" ref="L34:O34" si="27">L31+L32</f>
        <v>-3649.5546063587753</v>
      </c>
      <c r="M34" s="48">
        <f t="shared" si="27"/>
        <v>9319.5884329286127</v>
      </c>
      <c r="N34" s="48">
        <f t="shared" si="27"/>
        <v>23290.664787935104</v>
      </c>
      <c r="O34" s="48">
        <f t="shared" si="27"/>
        <v>209468.90821366597</v>
      </c>
    </row>
    <row r="35" spans="1:15" x14ac:dyDescent="0.25">
      <c r="A35" s="144" t="s">
        <v>188</v>
      </c>
      <c r="B35" s="3" t="s">
        <v>52</v>
      </c>
      <c r="C35" s="144" t="s">
        <v>53</v>
      </c>
      <c r="D35" s="144" t="s">
        <v>54</v>
      </c>
      <c r="E35" s="144" t="s">
        <v>55</v>
      </c>
      <c r="F35" s="144" t="s">
        <v>56</v>
      </c>
      <c r="G35" s="144" t="s">
        <v>57</v>
      </c>
      <c r="J35" s="7" t="s">
        <v>228</v>
      </c>
      <c r="K35" s="12">
        <f>K34/(1+L20)^L3</f>
        <v>-1718.7701639541408</v>
      </c>
      <c r="L35" s="13">
        <f>L34/(1+M20)^M3</f>
        <v>-2827.8041169473254</v>
      </c>
      <c r="M35" s="13">
        <f t="shared" ref="M35:O35" si="28">M34/(1+N20)^N3</f>
        <v>6461.6772018816337</v>
      </c>
      <c r="N35" s="13">
        <f t="shared" si="28"/>
        <v>14275.210152719212</v>
      </c>
      <c r="O35" s="13">
        <f t="shared" si="28"/>
        <v>110709.14854942782</v>
      </c>
    </row>
    <row r="36" spans="1:15" x14ac:dyDescent="0.25">
      <c r="A36" s="4" t="s">
        <v>277</v>
      </c>
      <c r="B36" s="200">
        <f>'BP-DREComb'!D34</f>
        <v>237662</v>
      </c>
      <c r="C36" s="13">
        <f>'Rec-Desp-FinComb'!C12</f>
        <v>246452.54399999994</v>
      </c>
      <c r="D36" s="13">
        <f>'Rec-Desp-FinComb'!D12</f>
        <v>257542.90847999993</v>
      </c>
      <c r="E36" s="13">
        <f>'Rec-Desp-FinComb'!E12</f>
        <v>286384.4123975999</v>
      </c>
      <c r="F36" s="13">
        <f>'Rec-Desp-FinComb'!F12</f>
        <v>306113.11636276788</v>
      </c>
      <c r="G36" s="13">
        <f>'Rec-Desp-FinComb'!G12</f>
        <v>318357.6410172786</v>
      </c>
      <c r="J36" s="69" t="s">
        <v>229</v>
      </c>
      <c r="K36" s="48">
        <f>SUM(K35:O35)</f>
        <v>126899.46162312719</v>
      </c>
      <c r="L36" s="70"/>
      <c r="M36" s="70"/>
      <c r="N36" s="70"/>
      <c r="O36" s="71"/>
    </row>
    <row r="37" spans="1:15" x14ac:dyDescent="0.25">
      <c r="A37" s="5" t="s">
        <v>189</v>
      </c>
      <c r="B37" s="200">
        <f>'BP-DREComb'!D35</f>
        <v>30707</v>
      </c>
      <c r="C37" s="48">
        <f>C36*'Premissa EmpComb'!$B$11</f>
        <v>31792.378175999991</v>
      </c>
      <c r="D37" s="48">
        <f>D36*'Premissa EmpComb'!$B$11</f>
        <v>33223.03519391999</v>
      </c>
      <c r="E37" s="48">
        <f>E36*'Premissa EmpComb'!$B$11</f>
        <v>36943.589199290385</v>
      </c>
      <c r="F37" s="48">
        <f>F36*'Premissa EmpComb'!$B$11</f>
        <v>39488.59201079706</v>
      </c>
      <c r="G37" s="48">
        <f>G36*'Premissa EmpComb'!$B$11</f>
        <v>41068.135691228941</v>
      </c>
      <c r="J37" s="72" t="s">
        <v>230</v>
      </c>
      <c r="K37" s="48">
        <f>B55</f>
        <v>10111</v>
      </c>
      <c r="L37" s="70"/>
      <c r="M37" s="70"/>
      <c r="N37" s="70"/>
      <c r="O37" s="71"/>
    </row>
    <row r="38" spans="1:15" x14ac:dyDescent="0.25">
      <c r="A38" s="4" t="s">
        <v>6</v>
      </c>
      <c r="B38" s="200">
        <f>'BP-DREComb'!D36</f>
        <v>206955</v>
      </c>
      <c r="C38" s="48">
        <f>C36-C37</f>
        <v>214660.16582399994</v>
      </c>
      <c r="D38" s="48">
        <f t="shared" ref="D38:G38" si="29">D36-D37</f>
        <v>224319.87328607994</v>
      </c>
      <c r="E38" s="48">
        <f t="shared" si="29"/>
        <v>249440.82319830952</v>
      </c>
      <c r="F38" s="48">
        <f t="shared" si="29"/>
        <v>266624.52435197082</v>
      </c>
      <c r="G38" s="48">
        <f t="shared" si="29"/>
        <v>277289.50532604964</v>
      </c>
      <c r="J38" s="72" t="s">
        <v>231</v>
      </c>
      <c r="K38" s="48">
        <f>B73+B74+B78</f>
        <v>29330</v>
      </c>
      <c r="L38" s="70"/>
      <c r="M38" s="70"/>
      <c r="N38" s="70"/>
      <c r="O38" s="71"/>
    </row>
    <row r="39" spans="1:15" x14ac:dyDescent="0.25">
      <c r="A39" s="5" t="s">
        <v>191</v>
      </c>
      <c r="B39" s="200">
        <f>'BP-DREComb'!D37</f>
        <v>165896</v>
      </c>
      <c r="C39" s="13">
        <f>'Rec-Desp-FinComb'!C40</f>
        <v>174058.23233160749</v>
      </c>
      <c r="D39" s="13">
        <f>'Rec-Desp-FinComb'!D40</f>
        <v>182887.09588402984</v>
      </c>
      <c r="E39" s="13">
        <f>'Rec-Desp-FinComb'!E40</f>
        <v>201907.66504542294</v>
      </c>
      <c r="F39" s="13">
        <f>'Rec-Desp-FinComb'!F40</f>
        <v>216490.69721540494</v>
      </c>
      <c r="G39" s="13">
        <f>'Rec-Desp-FinComb'!G40</f>
        <v>224898.8946240212</v>
      </c>
      <c r="J39" s="7" t="s">
        <v>232</v>
      </c>
      <c r="K39" s="48">
        <f>K36+K37-K38</f>
        <v>107680.46162312719</v>
      </c>
      <c r="L39" s="73"/>
      <c r="M39" s="73"/>
      <c r="N39" s="73"/>
      <c r="O39" s="74"/>
    </row>
    <row r="40" spans="1:15" x14ac:dyDescent="0.25">
      <c r="A40" s="4" t="s">
        <v>299</v>
      </c>
      <c r="B40" s="200">
        <f>'BP-DREComb'!D38</f>
        <v>41059</v>
      </c>
      <c r="C40" s="48">
        <f>C38-C39</f>
        <v>40601.933492392447</v>
      </c>
      <c r="D40" s="48">
        <f t="shared" ref="D40:G40" si="30">D38-D39</f>
        <v>41432.777402050095</v>
      </c>
      <c r="E40" s="48">
        <f t="shared" si="30"/>
        <v>47533.158152886579</v>
      </c>
      <c r="F40" s="48">
        <f t="shared" si="30"/>
        <v>50133.827136565873</v>
      </c>
      <c r="G40" s="48">
        <f t="shared" si="30"/>
        <v>52390.61070202844</v>
      </c>
    </row>
    <row r="41" spans="1:15" x14ac:dyDescent="0.25">
      <c r="A41" s="6" t="s">
        <v>192</v>
      </c>
      <c r="B41" s="200">
        <f>'Rec-Desp-FinComb'!B42</f>
        <v>324</v>
      </c>
      <c r="C41" s="13">
        <f>'Rec-Desp-FinComb'!C42</f>
        <v>620.14049999999997</v>
      </c>
      <c r="D41" s="13">
        <f>'Rec-Desp-FinComb'!D42</f>
        <v>758.7405</v>
      </c>
      <c r="E41" s="13">
        <f>'Rec-Desp-FinComb'!E42</f>
        <v>902.8845</v>
      </c>
      <c r="F41" s="13">
        <f>'Rec-Desp-FinComb'!F42</f>
        <v>1052.7930000000001</v>
      </c>
      <c r="G41" s="13">
        <f>'Rec-Desp-FinComb'!G42</f>
        <v>1066.9680000000001</v>
      </c>
      <c r="M41" s="246"/>
    </row>
    <row r="42" spans="1:15" x14ac:dyDescent="0.25">
      <c r="A42" s="6" t="s">
        <v>10</v>
      </c>
      <c r="B42" s="200">
        <f>'BP-DREComb'!D40</f>
        <v>2694</v>
      </c>
      <c r="C42" s="13">
        <f>'Rec-Desp-FinComb'!C49</f>
        <v>2597.8783599999997</v>
      </c>
      <c r="D42" s="13">
        <f>'Rec-Desp-FinComb'!D49</f>
        <v>2714.7828861999997</v>
      </c>
      <c r="E42" s="13">
        <f>'Rec-Desp-FinComb'!E49</f>
        <v>2823.3742016480001</v>
      </c>
      <c r="F42" s="13">
        <f>'Rec-Desp-FinComb'!F49</f>
        <v>2936.3091697139198</v>
      </c>
      <c r="G42" s="13">
        <f>'Rec-Desp-FinComb'!G49</f>
        <v>3053.7615365024767</v>
      </c>
      <c r="M42" s="246"/>
    </row>
    <row r="43" spans="1:15" x14ac:dyDescent="0.25">
      <c r="A43" s="5" t="s">
        <v>11</v>
      </c>
      <c r="B43" s="200">
        <f>'BP-DREComb'!D41</f>
        <v>5345</v>
      </c>
      <c r="C43" s="13">
        <f>'Rec-Desp-FinComb'!C53</f>
        <v>5542.6986547281422</v>
      </c>
      <c r="D43" s="13">
        <f>'Rec-Desp-FinComb'!D53</f>
        <v>5792.1200941909083</v>
      </c>
      <c r="E43" s="13">
        <f>'Rec-Desp-FinComb'!E53</f>
        <v>6440.763286790364</v>
      </c>
      <c r="F43" s="13">
        <f>'Rec-Desp-FinComb'!F53</f>
        <v>6884.4603132136999</v>
      </c>
      <c r="G43" s="13">
        <f>'Rec-Desp-FinComb'!G53</f>
        <v>7159.8387257422482</v>
      </c>
      <c r="M43" s="165"/>
    </row>
    <row r="44" spans="1:15" x14ac:dyDescent="0.25">
      <c r="A44" s="4" t="s">
        <v>193</v>
      </c>
      <c r="B44" s="200">
        <f>B40-B41-B42-B43</f>
        <v>32696</v>
      </c>
      <c r="C44" s="48">
        <f>C40-C41-C42-C43</f>
        <v>31841.215977664302</v>
      </c>
      <c r="D44" s="48">
        <f t="shared" ref="D44:G44" si="31">D40-D41-D42-D43</f>
        <v>32167.133921659184</v>
      </c>
      <c r="E44" s="48">
        <f t="shared" si="31"/>
        <v>37366.136164448209</v>
      </c>
      <c r="F44" s="48">
        <f t="shared" si="31"/>
        <v>39260.26465363826</v>
      </c>
      <c r="G44" s="48">
        <f t="shared" si="31"/>
        <v>41110.042439783712</v>
      </c>
      <c r="M44" s="165"/>
    </row>
    <row r="45" spans="1:15" x14ac:dyDescent="0.25">
      <c r="A45" s="6" t="s">
        <v>13</v>
      </c>
      <c r="B45" s="200">
        <f>'BP-DREComb'!D43</f>
        <v>998</v>
      </c>
      <c r="C45" s="13">
        <f>C19</f>
        <v>1112.21</v>
      </c>
      <c r="D45" s="13">
        <f t="shared" ref="D45:G45" si="32">D19</f>
        <v>368.17476859018524</v>
      </c>
      <c r="E45" s="13">
        <f t="shared" si="32"/>
        <v>258.20802871017543</v>
      </c>
      <c r="F45" s="13">
        <f t="shared" si="32"/>
        <v>1041.6206707522731</v>
      </c>
      <c r="G45" s="13">
        <f t="shared" si="32"/>
        <v>955.97489940225989</v>
      </c>
      <c r="I45" s="165"/>
    </row>
    <row r="46" spans="1:15" x14ac:dyDescent="0.25">
      <c r="A46" s="5" t="s">
        <v>14</v>
      </c>
      <c r="B46" s="200">
        <f>'BP-DREComb'!D44</f>
        <v>8644</v>
      </c>
      <c r="C46" s="48">
        <f>C14+C18</f>
        <v>4755.9500000000007</v>
      </c>
      <c r="D46" s="48">
        <f t="shared" ref="D46:G46" si="33">D14+D18</f>
        <v>4458.95</v>
      </c>
      <c r="E46" s="48">
        <f t="shared" si="33"/>
        <v>5646.6346666666668</v>
      </c>
      <c r="F46" s="48">
        <f t="shared" si="33"/>
        <v>6211.0906666666669</v>
      </c>
      <c r="G46" s="48">
        <f t="shared" si="33"/>
        <v>3714.0806666666667</v>
      </c>
      <c r="M46" s="163"/>
    </row>
    <row r="47" spans="1:15" x14ac:dyDescent="0.25">
      <c r="A47" s="4" t="s">
        <v>300</v>
      </c>
      <c r="B47" s="200">
        <f>B44+B45-B46</f>
        <v>25050</v>
      </c>
      <c r="C47" s="48">
        <f>C44+C45-C46</f>
        <v>28197.4759776643</v>
      </c>
      <c r="D47" s="48">
        <f t="shared" ref="D47:G47" si="34">D44+D45-D46</f>
        <v>28076.35869024937</v>
      </c>
      <c r="E47" s="48">
        <f t="shared" si="34"/>
        <v>31977.709526491722</v>
      </c>
      <c r="F47" s="48">
        <f t="shared" si="34"/>
        <v>34090.794657723862</v>
      </c>
      <c r="G47" s="48">
        <f t="shared" si="34"/>
        <v>38351.936672519303</v>
      </c>
      <c r="M47" s="247"/>
    </row>
    <row r="48" spans="1:15" x14ac:dyDescent="0.25">
      <c r="A48" s="5" t="s">
        <v>16</v>
      </c>
      <c r="B48" s="200">
        <f>B47*'Premissas SaintL'!$H$61</f>
        <v>8517</v>
      </c>
      <c r="C48" s="48">
        <f>C47*'Premissa EmpComb'!$I$26</f>
        <v>9587.1418324058632</v>
      </c>
      <c r="D48" s="48">
        <f>D47*'Premissa EmpComb'!$I$26</f>
        <v>9545.9619546847862</v>
      </c>
      <c r="E48" s="48">
        <f>E47*'Premissa EmpComb'!$I$26</f>
        <v>10872.421239007186</v>
      </c>
      <c r="F48" s="48">
        <f>F47*'Premissa EmpComb'!$I$26</f>
        <v>11590.870183626113</v>
      </c>
      <c r="G48" s="48">
        <f>G47*'Premissa EmpComb'!$I$26</f>
        <v>13039.658468656564</v>
      </c>
    </row>
    <row r="49" spans="1:8" x14ac:dyDescent="0.25">
      <c r="A49" s="7" t="s">
        <v>197</v>
      </c>
      <c r="B49" s="13">
        <f>B47-B48</f>
        <v>16533</v>
      </c>
      <c r="C49" s="48">
        <f>C47-C48</f>
        <v>18610.334145258435</v>
      </c>
      <c r="D49" s="48">
        <f t="shared" ref="D49:G49" si="35">D47-D48</f>
        <v>18530.396735564584</v>
      </c>
      <c r="E49" s="48">
        <f t="shared" si="35"/>
        <v>21105.288287484538</v>
      </c>
      <c r="F49" s="48">
        <f t="shared" si="35"/>
        <v>22499.924474097748</v>
      </c>
      <c r="G49" s="48">
        <f t="shared" si="35"/>
        <v>25312.278203862741</v>
      </c>
    </row>
    <row r="50" spans="1:8" x14ac:dyDescent="0.25">
      <c r="A50" s="2"/>
      <c r="B50" s="2"/>
      <c r="C50" s="2"/>
      <c r="D50" s="2"/>
      <c r="E50" s="2"/>
      <c r="F50" s="2"/>
      <c r="G50" s="2"/>
    </row>
    <row r="51" spans="1:8" x14ac:dyDescent="0.25">
      <c r="A51" s="1" t="s">
        <v>301</v>
      </c>
      <c r="B51" s="1" t="s">
        <v>52</v>
      </c>
      <c r="C51" s="1" t="s">
        <v>53</v>
      </c>
      <c r="D51" s="1" t="s">
        <v>54</v>
      </c>
      <c r="E51" s="1" t="s">
        <v>55</v>
      </c>
      <c r="F51" s="1" t="s">
        <v>56</v>
      </c>
      <c r="G51" s="1" t="s">
        <v>57</v>
      </c>
    </row>
    <row r="52" spans="1:8" x14ac:dyDescent="0.25">
      <c r="A52" s="2"/>
      <c r="B52" s="2"/>
      <c r="C52" s="2"/>
      <c r="D52" s="2"/>
      <c r="E52" s="2"/>
      <c r="F52" s="2"/>
      <c r="G52" s="2"/>
    </row>
    <row r="53" spans="1:8" x14ac:dyDescent="0.25">
      <c r="A53" s="1" t="s">
        <v>18</v>
      </c>
      <c r="B53" s="2"/>
      <c r="C53" s="2"/>
      <c r="D53" s="2"/>
      <c r="E53" s="2"/>
      <c r="F53" s="2"/>
      <c r="G53" s="2"/>
    </row>
    <row r="54" spans="1:8" x14ac:dyDescent="0.25">
      <c r="A54" s="7" t="s">
        <v>19</v>
      </c>
      <c r="B54" s="2"/>
      <c r="C54" s="2"/>
      <c r="D54" s="2"/>
      <c r="E54" s="2"/>
      <c r="F54" s="2"/>
      <c r="G54" s="2"/>
    </row>
    <row r="55" spans="1:8" x14ac:dyDescent="0.25">
      <c r="A55" s="2" t="s">
        <v>20</v>
      </c>
      <c r="B55" s="11">
        <f>'BP-DREComb'!D3</f>
        <v>10111</v>
      </c>
      <c r="C55" s="48">
        <f>C33</f>
        <v>3347.0433508198657</v>
      </c>
      <c r="D55" s="48">
        <f t="shared" ref="D55:G55" si="36">D33</f>
        <v>2868.9780967797269</v>
      </c>
      <c r="E55" s="48">
        <f t="shared" si="36"/>
        <v>10416.20670752273</v>
      </c>
      <c r="F55" s="48">
        <f t="shared" si="36"/>
        <v>8690.6809036569084</v>
      </c>
      <c r="G55" s="48">
        <f t="shared" si="36"/>
        <v>30083.554063669893</v>
      </c>
    </row>
    <row r="56" spans="1:8" x14ac:dyDescent="0.25">
      <c r="A56" s="2" t="s">
        <v>21</v>
      </c>
      <c r="B56" s="11">
        <f>'BP-DREComb'!D4</f>
        <v>14926</v>
      </c>
      <c r="C56" s="13">
        <f>'Rec-Desp-FinComb'!C56</f>
        <v>15745.579199999995</v>
      </c>
      <c r="D56" s="13">
        <f>'Rec-Desp-FinComb'!D56</f>
        <v>16454.130263999996</v>
      </c>
      <c r="E56" s="13">
        <f>'Rec-Desp-FinComb'!E56</f>
        <v>15910.245133199993</v>
      </c>
      <c r="F56" s="13">
        <f>'Rec-Desp-FinComb'!F56</f>
        <v>17006.28424237599</v>
      </c>
      <c r="G56" s="13">
        <f>'Rec-Desp-FinComb'!G56</f>
        <v>17686.535612071035</v>
      </c>
    </row>
    <row r="57" spans="1:8" x14ac:dyDescent="0.25">
      <c r="A57" s="2" t="s">
        <v>22</v>
      </c>
      <c r="B57" s="11">
        <f>'BP-DREComb'!D5</f>
        <v>12085</v>
      </c>
      <c r="C57" s="13">
        <f>'Rec-Desp-FinComb'!C57</f>
        <v>12570.872335060541</v>
      </c>
      <c r="D57" s="13">
        <f>'Rec-Desp-FinComb'!D57</f>
        <v>13208.512480513265</v>
      </c>
      <c r="E57" s="13">
        <f>'Rec-Desp-FinComb'!E57</f>
        <v>13460.511003028196</v>
      </c>
      <c r="F57" s="13">
        <f>'Rec-Desp-FinComb'!F57</f>
        <v>14432.713147693663</v>
      </c>
      <c r="G57" s="13">
        <f>'Rec-Desp-FinComb'!G57</f>
        <v>14993.259641601415</v>
      </c>
    </row>
    <row r="58" spans="1:8" x14ac:dyDescent="0.25">
      <c r="A58" s="2" t="s">
        <v>199</v>
      </c>
      <c r="B58" s="11">
        <f>'BP-DREComb'!D6</f>
        <v>1046</v>
      </c>
      <c r="C58" s="13">
        <f>'Rec-Desp-FinComb'!C58</f>
        <v>1046</v>
      </c>
      <c r="D58" s="13">
        <f>'Rec-Desp-FinComb'!D58</f>
        <v>1046</v>
      </c>
      <c r="E58" s="13">
        <f>'Rec-Desp-FinComb'!E58</f>
        <v>1046</v>
      </c>
      <c r="F58" s="13">
        <f>'Rec-Desp-FinComb'!F58</f>
        <v>1046</v>
      </c>
      <c r="G58" s="13">
        <f>'Rec-Desp-FinComb'!G58</f>
        <v>1046</v>
      </c>
    </row>
    <row r="59" spans="1:8" x14ac:dyDescent="0.25">
      <c r="A59" s="2"/>
      <c r="B59" s="11">
        <f>'BP-DREComb'!D7</f>
        <v>38168</v>
      </c>
      <c r="C59" s="48">
        <f>SUM(C55:C58)</f>
        <v>32709.494885880405</v>
      </c>
      <c r="D59" s="48">
        <f t="shared" ref="D59:F59" si="37">SUM(D55:D58)</f>
        <v>33577.620841292985</v>
      </c>
      <c r="E59" s="48">
        <f t="shared" si="37"/>
        <v>40832.962843750916</v>
      </c>
      <c r="F59" s="48">
        <f t="shared" si="37"/>
        <v>41175.67829372656</v>
      </c>
      <c r="G59" s="48">
        <f>SUM(G55:G58)</f>
        <v>63809.349317342341</v>
      </c>
    </row>
    <row r="60" spans="1:8" x14ac:dyDescent="0.25">
      <c r="A60" s="7" t="s">
        <v>35</v>
      </c>
      <c r="B60" s="2"/>
      <c r="C60" s="2"/>
      <c r="D60" s="2"/>
      <c r="E60" s="2"/>
      <c r="F60" s="2"/>
      <c r="G60" s="2"/>
    </row>
    <row r="61" spans="1:8" x14ac:dyDescent="0.25">
      <c r="A61" s="4" t="s">
        <v>25</v>
      </c>
      <c r="B61" s="70"/>
      <c r="C61" s="70"/>
      <c r="D61" s="70"/>
      <c r="E61" s="70"/>
      <c r="F61" s="70"/>
      <c r="G61" s="70"/>
    </row>
    <row r="62" spans="1:8" x14ac:dyDescent="0.25">
      <c r="A62" s="6" t="s">
        <v>200</v>
      </c>
      <c r="B62" s="97">
        <f>'BP-DREComb'!D9</f>
        <v>98435</v>
      </c>
      <c r="C62" s="13">
        <f>'BP-WACC-Valuation'!C12+'BP-WACC-Val2'!C13</f>
        <v>120435</v>
      </c>
      <c r="D62" s="13">
        <f>'BP-WACC-Valuation'!D12+'BP-WACC-Val2'!D13</f>
        <v>143315</v>
      </c>
      <c r="E62" s="13">
        <f>'BP-WACC-Valuation'!E12+'BP-WACC-Val2'!E13</f>
        <v>167110</v>
      </c>
      <c r="F62" s="13">
        <f>'BP-WACC-Valuation'!F12+'BP-WACC-Val2'!F13</f>
        <v>169360</v>
      </c>
      <c r="G62" s="13">
        <f>'BP-WACC-Valuation'!G12+'BP-WACC-Val2'!G13</f>
        <v>169360</v>
      </c>
    </row>
    <row r="63" spans="1:8" x14ac:dyDescent="0.25">
      <c r="A63" s="6" t="s">
        <v>201</v>
      </c>
      <c r="B63" s="97">
        <f>'BP-DREComb'!D10</f>
        <v>15502</v>
      </c>
      <c r="C63" s="13">
        <f>'BP-WACC-Valuation'!C13+'BP-WACC-Val2'!C14</f>
        <v>15806.045</v>
      </c>
      <c r="D63" s="13">
        <f>'BP-WACC-Valuation'!D13+'BP-WACC-Val2'!D14</f>
        <v>16124.09</v>
      </c>
      <c r="E63" s="13">
        <f>'BP-WACC-Valuation'!E13+'BP-WACC-Val2'!E14</f>
        <v>16456.695</v>
      </c>
      <c r="F63" s="13">
        <f>'BP-WACC-Valuation'!F13+'BP-WACC-Val2'!F14</f>
        <v>16804.440999999999</v>
      </c>
      <c r="G63" s="13">
        <f>'BP-WACC-Valuation'!G13+'BP-WACC-Val2'!G14</f>
        <v>17167.936999999998</v>
      </c>
    </row>
    <row r="64" spans="1:8" x14ac:dyDescent="0.25">
      <c r="A64" s="5"/>
      <c r="B64" s="97">
        <f>'BP-DREComb'!D11</f>
        <v>82933</v>
      </c>
      <c r="C64" s="13">
        <f>C62-C63</f>
        <v>104628.955</v>
      </c>
      <c r="D64" s="13">
        <f t="shared" ref="D64:G64" si="38">D62-D63</f>
        <v>127190.91</v>
      </c>
      <c r="E64" s="13">
        <f t="shared" si="38"/>
        <v>150653.30499999999</v>
      </c>
      <c r="F64" s="13">
        <f t="shared" si="38"/>
        <v>152555.55900000001</v>
      </c>
      <c r="G64" s="13">
        <f t="shared" si="38"/>
        <v>152192.06299999999</v>
      </c>
      <c r="H64" s="165"/>
    </row>
    <row r="65" spans="1:7" x14ac:dyDescent="0.25">
      <c r="A65" s="1" t="s">
        <v>28</v>
      </c>
      <c r="B65" s="97">
        <f>'BP-DREComb'!D12</f>
        <v>121101</v>
      </c>
      <c r="C65" s="48">
        <f>C59+C64</f>
        <v>137338.4498858804</v>
      </c>
      <c r="D65" s="48">
        <f t="shared" ref="D65:F65" si="39">D59+D64</f>
        <v>160768.53084129299</v>
      </c>
      <c r="E65" s="48">
        <f t="shared" si="39"/>
        <v>191486.26784375092</v>
      </c>
      <c r="F65" s="48">
        <f t="shared" si="39"/>
        <v>193731.23729372656</v>
      </c>
      <c r="G65" s="48">
        <f>G59+G64</f>
        <v>216001.41231734233</v>
      </c>
    </row>
    <row r="66" spans="1:7" x14ac:dyDescent="0.25">
      <c r="A66" s="2"/>
      <c r="B66" s="2"/>
      <c r="C66" s="2"/>
      <c r="D66" s="2"/>
      <c r="E66" s="2"/>
      <c r="F66" s="2"/>
      <c r="G66" s="2"/>
    </row>
    <row r="67" spans="1:7" x14ac:dyDescent="0.25">
      <c r="A67" s="144" t="s">
        <v>29</v>
      </c>
      <c r="B67" s="2"/>
      <c r="C67" s="2"/>
      <c r="D67" s="2"/>
      <c r="E67" s="2"/>
      <c r="F67" s="2"/>
      <c r="G67" s="2"/>
    </row>
    <row r="68" spans="1:7" x14ac:dyDescent="0.25">
      <c r="A68" s="7" t="s">
        <v>19</v>
      </c>
      <c r="B68" s="2"/>
      <c r="C68" s="2"/>
      <c r="D68" s="2"/>
      <c r="E68" s="2"/>
      <c r="F68" s="2"/>
      <c r="G68" s="2"/>
    </row>
    <row r="69" spans="1:7" x14ac:dyDescent="0.25">
      <c r="A69" s="4" t="s">
        <v>30</v>
      </c>
      <c r="B69" s="11">
        <f>'BP-DREComb'!D17</f>
        <v>20131</v>
      </c>
      <c r="C69" s="13">
        <f>'Rec-Desp-FinComb'!C60</f>
        <v>20790.288861830893</v>
      </c>
      <c r="D69" s="13">
        <f>'Rec-Desp-FinComb'!D60</f>
        <v>21844.847563925785</v>
      </c>
      <c r="E69" s="13">
        <f>'Rec-Desp-FinComb'!E60</f>
        <v>32529.568257318144</v>
      </c>
      <c r="F69" s="13">
        <f>'Rec-Desp-FinComb'!F60</f>
        <v>34879.056773593016</v>
      </c>
      <c r="G69" s="13">
        <f>'Rec-Desp-FinComb'!G60</f>
        <v>36233.710800536748</v>
      </c>
    </row>
    <row r="70" spans="1:7" x14ac:dyDescent="0.25">
      <c r="A70" s="6" t="s">
        <v>302</v>
      </c>
      <c r="B70" s="11">
        <f>'BP-DREComb'!D18</f>
        <v>2760</v>
      </c>
      <c r="C70" s="13">
        <f>'Rec-Desp-FinComb'!C59</f>
        <v>2825.9891711999994</v>
      </c>
      <c r="D70" s="13">
        <f>'Rec-Desp-FinComb'!D59</f>
        <v>2953.1586839039992</v>
      </c>
      <c r="E70" s="13">
        <f>'Rec-Desp-FinComb'!E59</f>
        <v>2462.9059466193594</v>
      </c>
      <c r="F70" s="13">
        <f>'Rec-Desp-FinComb'!F59</f>
        <v>2632.572800719804</v>
      </c>
      <c r="G70" s="13">
        <f>'Rec-Desp-FinComb'!G59</f>
        <v>2737.875712748596</v>
      </c>
    </row>
    <row r="71" spans="1:7" x14ac:dyDescent="0.25">
      <c r="A71" s="6" t="s">
        <v>34</v>
      </c>
      <c r="B71" s="11">
        <f>'BP-DREComb'!D21</f>
        <v>4095.5249999999996</v>
      </c>
      <c r="C71" s="13">
        <f>'DFC-DRE-BPComb'!C21</f>
        <v>4095.5249999999996</v>
      </c>
      <c r="D71" s="13">
        <f>'DFC-DRE-BPComb'!D21</f>
        <v>4554.8415605718856</v>
      </c>
      <c r="E71" s="13">
        <f>'DFC-DRE-BPComb'!E21</f>
        <v>4185.6549976338983</v>
      </c>
      <c r="F71" s="13">
        <f>'DFC-DRE-BPComb'!F21</f>
        <v>4665.6004106286946</v>
      </c>
      <c r="G71" s="13">
        <f>'DFC-DRE-BPComb'!G21</f>
        <v>4927.0019930489743</v>
      </c>
    </row>
    <row r="72" spans="1:7" x14ac:dyDescent="0.25">
      <c r="A72" s="6" t="s">
        <v>202</v>
      </c>
      <c r="B72" s="11">
        <f>'BP-DREComb'!D22</f>
        <v>300</v>
      </c>
      <c r="C72" s="13">
        <f>'Rec-Desp-FinComb'!C61</f>
        <v>300</v>
      </c>
      <c r="D72" s="13">
        <f>'Rec-Desp-FinComb'!D61</f>
        <v>300</v>
      </c>
      <c r="E72" s="13">
        <f>'Rec-Desp-FinComb'!E61</f>
        <v>300</v>
      </c>
      <c r="F72" s="13">
        <f>'Rec-Desp-FinComb'!F61</f>
        <v>300</v>
      </c>
      <c r="G72" s="13">
        <f>'Rec-Desp-FinComb'!G61</f>
        <v>300</v>
      </c>
    </row>
    <row r="73" spans="1:7" x14ac:dyDescent="0.25">
      <c r="A73" s="6" t="s">
        <v>32</v>
      </c>
      <c r="B73" s="11">
        <f>'BP-DREComb'!D19</f>
        <v>12630</v>
      </c>
      <c r="C73" s="13">
        <f>C27</f>
        <v>0</v>
      </c>
      <c r="D73" s="13">
        <f t="shared" ref="D73:G73" si="40">D27</f>
        <v>0</v>
      </c>
      <c r="E73" s="13">
        <f t="shared" si="40"/>
        <v>0</v>
      </c>
      <c r="F73" s="13">
        <f t="shared" si="40"/>
        <v>0</v>
      </c>
      <c r="G73" s="13">
        <f t="shared" si="40"/>
        <v>0</v>
      </c>
    </row>
    <row r="74" spans="1:7" x14ac:dyDescent="0.25">
      <c r="A74" s="6" t="s">
        <v>33</v>
      </c>
      <c r="B74" s="11">
        <f>'BP-DREComb'!D20</f>
        <v>3600</v>
      </c>
      <c r="C74" s="13">
        <f>D17</f>
        <v>8838.3333333333321</v>
      </c>
      <c r="D74" s="13">
        <f t="shared" ref="D74:G74" si="41">E17</f>
        <v>14286.199999999997</v>
      </c>
      <c r="E74" s="13">
        <f t="shared" si="41"/>
        <v>19951.999999999996</v>
      </c>
      <c r="F74" s="13">
        <f t="shared" si="41"/>
        <v>0</v>
      </c>
      <c r="G74" s="13">
        <f t="shared" si="41"/>
        <v>0</v>
      </c>
    </row>
    <row r="75" spans="1:7" x14ac:dyDescent="0.25">
      <c r="A75" s="5"/>
      <c r="B75" s="11">
        <f>SUM(B69:B74)</f>
        <v>43516.525000000001</v>
      </c>
      <c r="C75" s="13">
        <f t="shared" ref="C75:G75" si="42">SUM(C69:C74)</f>
        <v>36850.136366364226</v>
      </c>
      <c r="D75" s="13">
        <f t="shared" si="42"/>
        <v>43939.047808401665</v>
      </c>
      <c r="E75" s="13">
        <f t="shared" si="42"/>
        <v>59430.129201571399</v>
      </c>
      <c r="F75" s="13">
        <f t="shared" si="42"/>
        <v>42477.229984941514</v>
      </c>
      <c r="G75" s="13">
        <f t="shared" si="42"/>
        <v>44198.588506334316</v>
      </c>
    </row>
    <row r="76" spans="1:7" x14ac:dyDescent="0.25">
      <c r="A76" s="7" t="s">
        <v>35</v>
      </c>
      <c r="B76" s="2"/>
      <c r="C76" s="2"/>
      <c r="D76" s="2"/>
      <c r="E76" s="2"/>
      <c r="F76" s="2"/>
      <c r="G76" s="2"/>
    </row>
    <row r="77" spans="1:7" x14ac:dyDescent="0.25">
      <c r="A77" s="4" t="s">
        <v>36</v>
      </c>
      <c r="B77" s="11">
        <f>'BP-DREComb'!D25</f>
        <v>13100</v>
      </c>
      <c r="C77" s="13">
        <f>'Rec-Desp-FinComb'!C79+'Rec-Desp-FinComb'!C98+'Rec-Desp-FinComb'!C117</f>
        <v>21976.666666666664</v>
      </c>
      <c r="D77" s="13">
        <f>'Rec-Desp-FinComb'!D79+'Rec-Desp-FinComb'!D98+'Rec-Desp-FinComb'!D117</f>
        <v>26034.066666666666</v>
      </c>
      <c r="E77" s="13">
        <f>'Rec-Desp-FinComb'!E79+'Rec-Desp-FinComb'!E98+'Rec-Desp-FinComb'!E117</f>
        <v>25079.466666666667</v>
      </c>
      <c r="F77" s="13">
        <f>'Rec-Desp-FinComb'!F79+'Rec-Desp-FinComb'!F98+'Rec-Desp-FinComb'!F117</f>
        <v>26654.466666666667</v>
      </c>
      <c r="G77" s="13">
        <f>'Rec-Desp-FinComb'!G79+'Rec-Desp-FinComb'!G98+'Rec-Desp-FinComb'!G117</f>
        <v>26654.466666666667</v>
      </c>
    </row>
    <row r="78" spans="1:7" x14ac:dyDescent="0.25">
      <c r="A78" s="5"/>
      <c r="B78" s="11">
        <f>'BP-DREComb'!D26</f>
        <v>13100</v>
      </c>
      <c r="C78" s="13">
        <f>C77</f>
        <v>21976.666666666664</v>
      </c>
      <c r="D78" s="13">
        <f t="shared" ref="D78:G78" si="43">D77</f>
        <v>26034.066666666666</v>
      </c>
      <c r="E78" s="13">
        <f t="shared" si="43"/>
        <v>25079.466666666667</v>
      </c>
      <c r="F78" s="13">
        <f t="shared" si="43"/>
        <v>26654.466666666667</v>
      </c>
      <c r="G78" s="13">
        <f t="shared" si="43"/>
        <v>26654.466666666667</v>
      </c>
    </row>
    <row r="79" spans="1:7" x14ac:dyDescent="0.25">
      <c r="A79" s="7" t="s">
        <v>37</v>
      </c>
      <c r="B79" s="2"/>
      <c r="C79" s="2"/>
      <c r="D79" s="2"/>
      <c r="E79" s="2"/>
      <c r="F79" s="2"/>
      <c r="G79" s="2"/>
    </row>
    <row r="80" spans="1:7" x14ac:dyDescent="0.25">
      <c r="A80" s="4" t="s">
        <v>38</v>
      </c>
      <c r="B80" s="11">
        <f>'BP-DREComb'!D28</f>
        <v>47787</v>
      </c>
      <c r="C80" s="13">
        <f>'BP-WACC-Valuation'!C30+'BP-WACC-Val2'!C31</f>
        <v>47787</v>
      </c>
      <c r="D80" s="13">
        <f>'BP-WACC-Valuation'!D30+'BP-WACC-Val2'!D31</f>
        <v>47787</v>
      </c>
      <c r="E80" s="13">
        <f>'BP-WACC-Valuation'!E30+'BP-WACC-Val2'!E31</f>
        <v>47787</v>
      </c>
      <c r="F80" s="13">
        <f>'BP-WACC-Valuation'!F30+'BP-WACC-Val2'!F31</f>
        <v>47787</v>
      </c>
      <c r="G80" s="13">
        <f>'BP-WACC-Valuation'!G30+'BP-WACC-Val2'!G31</f>
        <v>47787</v>
      </c>
    </row>
    <row r="81" spans="1:7" x14ac:dyDescent="0.25">
      <c r="A81" s="6" t="s">
        <v>39</v>
      </c>
      <c r="B81" s="11">
        <f>'BP-DREComb'!D29</f>
        <v>16645</v>
      </c>
      <c r="C81" s="13">
        <f>'BP-WACC-Valuation'!C31+'BP-WACC-Val2'!C32</f>
        <v>30309.524681715659</v>
      </c>
      <c r="D81" s="13">
        <f>'BP-WACC-Valuation'!D31+'BP-WACC-Val2'!D32</f>
        <v>42866.489674617347</v>
      </c>
      <c r="E81" s="13">
        <f>'BP-WACC-Valuation'!E31+'BP-WACC-Val2'!E32</f>
        <v>56863.290906503433</v>
      </c>
      <c r="F81" s="13">
        <f>'BP-WACC-Valuation'!F31+'BP-WACC-Val2'!F32</f>
        <v>71644.296885650343</v>
      </c>
      <c r="G81" s="13">
        <f>'BP-WACC-Valuation'!G31+'BP-WACC-Val2'!G32</f>
        <v>88283.862516354464</v>
      </c>
    </row>
    <row r="82" spans="1:7" x14ac:dyDescent="0.25">
      <c r="A82" s="5"/>
      <c r="B82" s="11">
        <f>'BP-DREComb'!D30</f>
        <v>64432</v>
      </c>
      <c r="C82" s="13">
        <f>C80+C81</f>
        <v>78096.524681715659</v>
      </c>
      <c r="D82" s="13">
        <f t="shared" ref="D82:G82" si="44">D80+D81</f>
        <v>90653.489674617347</v>
      </c>
      <c r="E82" s="13">
        <f t="shared" si="44"/>
        <v>104650.29090650343</v>
      </c>
      <c r="F82" s="13">
        <f t="shared" si="44"/>
        <v>119431.29688565034</v>
      </c>
      <c r="G82" s="13">
        <f t="shared" si="44"/>
        <v>136070.86251635448</v>
      </c>
    </row>
    <row r="83" spans="1:7" x14ac:dyDescent="0.25">
      <c r="A83" s="1" t="s">
        <v>40</v>
      </c>
      <c r="B83" s="11">
        <f>'BP-DREComb'!D31</f>
        <v>121100.77499999999</v>
      </c>
      <c r="C83" s="48">
        <f>C75+C78+C82</f>
        <v>136923.32771474656</v>
      </c>
      <c r="D83" s="48">
        <f t="shared" ref="D83:G83" si="45">D75+D78+D82</f>
        <v>160626.60414968568</v>
      </c>
      <c r="E83" s="48">
        <f t="shared" si="45"/>
        <v>189159.88677474152</v>
      </c>
      <c r="F83" s="48">
        <f t="shared" si="45"/>
        <v>188562.99353725853</v>
      </c>
      <c r="G83" s="48">
        <f t="shared" si="45"/>
        <v>206923.91768935547</v>
      </c>
    </row>
  </sheetData>
  <mergeCells count="1">
    <mergeCell ref="J22:O2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16"/>
  <sheetViews>
    <sheetView topLeftCell="A21" zoomScaleNormal="100" workbookViewId="0">
      <selection activeCell="B42" sqref="B42"/>
    </sheetView>
  </sheetViews>
  <sheetFormatPr defaultRowHeight="15" x14ac:dyDescent="0.25"/>
  <cols>
    <col min="1" max="1" width="48.5703125" bestFit="1" customWidth="1"/>
    <col min="2" max="2" width="9.42578125" bestFit="1" customWidth="1"/>
    <col min="3" max="7" width="11.5703125" bestFit="1" customWidth="1"/>
    <col min="10" max="10" width="9.140625" customWidth="1"/>
  </cols>
  <sheetData>
    <row r="1" spans="1:20" x14ac:dyDescent="0.25">
      <c r="A1" s="1" t="s">
        <v>101</v>
      </c>
      <c r="B1" s="2"/>
      <c r="C1" s="1" t="s">
        <v>53</v>
      </c>
      <c r="D1" s="1" t="s">
        <v>54</v>
      </c>
      <c r="E1" s="1" t="s">
        <v>55</v>
      </c>
      <c r="F1" s="1" t="s">
        <v>56</v>
      </c>
      <c r="G1" s="1" t="s">
        <v>57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4" t="s">
        <v>102</v>
      </c>
      <c r="B3" s="2"/>
      <c r="C3" s="38">
        <v>288</v>
      </c>
      <c r="D3" s="38">
        <v>288</v>
      </c>
      <c r="E3" s="38">
        <v>288</v>
      </c>
      <c r="F3" s="38">
        <v>288</v>
      </c>
      <c r="G3" s="38">
        <v>288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6" t="s">
        <v>103</v>
      </c>
      <c r="B4" s="2"/>
      <c r="C4" s="39">
        <f>'Premissas SaintL'!G13</f>
        <v>70000</v>
      </c>
      <c r="D4" s="39">
        <f>'Premissas SaintL'!H13</f>
        <v>70000</v>
      </c>
      <c r="E4" s="39">
        <f>'Premissas SaintL'!I13</f>
        <v>70000</v>
      </c>
      <c r="F4" s="39">
        <f>'Premissas SaintL'!J13</f>
        <v>75000</v>
      </c>
      <c r="G4" s="39">
        <f>F4</f>
        <v>75000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6" t="s">
        <v>104</v>
      </c>
      <c r="B5" s="2"/>
      <c r="C5" s="40">
        <f>C4*C3</f>
        <v>20160000</v>
      </c>
      <c r="D5" s="40">
        <f t="shared" ref="D5:G5" si="0">D4*D3</f>
        <v>20160000</v>
      </c>
      <c r="E5" s="40">
        <f t="shared" si="0"/>
        <v>20160000</v>
      </c>
      <c r="F5" s="40">
        <f t="shared" si="0"/>
        <v>21600000</v>
      </c>
      <c r="G5" s="40">
        <f t="shared" si="0"/>
        <v>21600000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A6" s="6" t="s">
        <v>105</v>
      </c>
      <c r="B6" s="2"/>
      <c r="C6" s="32">
        <v>2.2999999999999998</v>
      </c>
      <c r="D6" s="32">
        <v>2.2999999999999998</v>
      </c>
      <c r="E6" s="32">
        <v>2.2999999999999998</v>
      </c>
      <c r="F6" s="32">
        <v>2.2999999999999998</v>
      </c>
      <c r="G6" s="32">
        <v>2.2999999999999998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A7" s="6" t="s">
        <v>106</v>
      </c>
      <c r="B7" s="2"/>
      <c r="C7" s="43">
        <f>C5*C6</f>
        <v>46368000</v>
      </c>
      <c r="D7" s="43">
        <f t="shared" ref="D7:G7" si="1">D5*D6</f>
        <v>46368000</v>
      </c>
      <c r="E7" s="43">
        <f t="shared" si="1"/>
        <v>46368000</v>
      </c>
      <c r="F7" s="43">
        <f t="shared" si="1"/>
        <v>49679999.999999993</v>
      </c>
      <c r="G7" s="43">
        <f t="shared" si="1"/>
        <v>49679999.999999993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25">
      <c r="A8" s="6" t="s">
        <v>107</v>
      </c>
      <c r="B8" s="2"/>
      <c r="C8" s="44">
        <f>'Premissas SaintL'!$G$15</f>
        <v>0.18</v>
      </c>
      <c r="D8" s="44">
        <f>'Premissas SaintL'!$G$15</f>
        <v>0.18</v>
      </c>
      <c r="E8" s="44">
        <f>'Premissas SaintL'!$G$15</f>
        <v>0.18</v>
      </c>
      <c r="F8" s="44">
        <f>'Premissas SaintL'!$G$15</f>
        <v>0.18</v>
      </c>
      <c r="G8" s="44">
        <f>'Premissas SaintL'!$G$15</f>
        <v>0.18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25">
      <c r="A9" s="6" t="s">
        <v>108</v>
      </c>
      <c r="B9" s="2"/>
      <c r="C9" s="40">
        <f>C7*(1-C8)</f>
        <v>38021760</v>
      </c>
      <c r="D9" s="40">
        <f t="shared" ref="D9:F9" si="2">D7*(1-D8)</f>
        <v>38021760</v>
      </c>
      <c r="E9" s="40">
        <f t="shared" si="2"/>
        <v>38021760</v>
      </c>
      <c r="F9" s="40">
        <f t="shared" si="2"/>
        <v>40737600</v>
      </c>
      <c r="G9" s="40">
        <f>G7*(1-G8)</f>
        <v>40737600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x14ac:dyDescent="0.25">
      <c r="A10" s="5" t="s">
        <v>109</v>
      </c>
      <c r="B10" s="2"/>
      <c r="C10" s="41">
        <f>'Premissas SaintL'!G14</f>
        <v>2.6</v>
      </c>
      <c r="D10" s="42">
        <f>C10*(1+'Premissas SaintL'!H5)</f>
        <v>2.7170000000000001</v>
      </c>
      <c r="E10" s="42">
        <f>D10*(1+'Premissas SaintL'!I5)</f>
        <v>2.8392649999999997</v>
      </c>
      <c r="F10" s="42">
        <f>E10*(1+'Premissas SaintL'!J5)</f>
        <v>2.9528355999999998</v>
      </c>
      <c r="G10" s="42">
        <f>F10*(1+'Premissas SaintL'!K5)</f>
        <v>3.0709490239999999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A12" s="7" t="s">
        <v>110</v>
      </c>
      <c r="B12" s="2"/>
      <c r="C12" s="13">
        <f>(C9*C10)/1000</f>
        <v>98856.576000000001</v>
      </c>
      <c r="D12" s="13">
        <f t="shared" ref="D12:F12" si="3">(D9*D10)/1000</f>
        <v>103305.12192000001</v>
      </c>
      <c r="E12" s="13">
        <f t="shared" si="3"/>
        <v>107953.85240639999</v>
      </c>
      <c r="F12" s="13">
        <f t="shared" si="3"/>
        <v>120291.43553855999</v>
      </c>
      <c r="G12" s="13">
        <f>(G9*G10)/1000</f>
        <v>125103.0929601024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25">
      <c r="A14" s="1" t="s">
        <v>115</v>
      </c>
      <c r="B14" s="2"/>
      <c r="C14" s="1" t="s">
        <v>53</v>
      </c>
      <c r="D14" s="1" t="s">
        <v>54</v>
      </c>
      <c r="E14" s="1" t="s">
        <v>55</v>
      </c>
      <c r="F14" s="1" t="s">
        <v>56</v>
      </c>
      <c r="G14" s="1" t="s">
        <v>57</v>
      </c>
      <c r="H14" s="2"/>
      <c r="I14" s="2"/>
      <c r="J14" s="8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x14ac:dyDescent="0.25">
      <c r="A15" s="4" t="s">
        <v>102</v>
      </c>
      <c r="B15" s="2"/>
      <c r="C15" s="36">
        <f>C3</f>
        <v>288</v>
      </c>
      <c r="D15" s="36">
        <f t="shared" ref="D15:G15" si="4">D3</f>
        <v>288</v>
      </c>
      <c r="E15" s="36">
        <f t="shared" si="4"/>
        <v>288</v>
      </c>
      <c r="F15" s="36">
        <f t="shared" si="4"/>
        <v>288</v>
      </c>
      <c r="G15" s="36">
        <f t="shared" si="4"/>
        <v>288</v>
      </c>
      <c r="H15" s="2"/>
      <c r="I15" s="2"/>
      <c r="J15" s="83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25">
      <c r="A16" s="6" t="s">
        <v>103</v>
      </c>
      <c r="B16" s="2"/>
      <c r="C16" s="37">
        <f>C4</f>
        <v>70000</v>
      </c>
      <c r="D16" s="37">
        <f t="shared" ref="D16:G16" si="5">D4</f>
        <v>70000</v>
      </c>
      <c r="E16" s="37">
        <f t="shared" si="5"/>
        <v>70000</v>
      </c>
      <c r="F16" s="37">
        <f t="shared" si="5"/>
        <v>75000</v>
      </c>
      <c r="G16" s="37">
        <f t="shared" si="5"/>
        <v>75000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25">
      <c r="A17" s="6" t="s">
        <v>104</v>
      </c>
      <c r="B17" s="2"/>
      <c r="C17" s="13">
        <f>C15*C16</f>
        <v>20160000</v>
      </c>
      <c r="D17" s="13">
        <f t="shared" ref="D17:G17" si="6">D15*D16</f>
        <v>20160000</v>
      </c>
      <c r="E17" s="13">
        <f t="shared" si="6"/>
        <v>20160000</v>
      </c>
      <c r="F17" s="13">
        <f t="shared" si="6"/>
        <v>21600000</v>
      </c>
      <c r="G17" s="13">
        <f t="shared" si="6"/>
        <v>21600000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25">
      <c r="A18" s="6" t="s">
        <v>111</v>
      </c>
      <c r="B18" s="2"/>
      <c r="C18" s="45">
        <f>'Premissas SaintL'!$G$19</f>
        <v>6.3829811507936526E-2</v>
      </c>
      <c r="D18" s="45">
        <f>'Premissas SaintL'!$G$19</f>
        <v>6.3829811507936526E-2</v>
      </c>
      <c r="E18" s="45">
        <f>'Premissas SaintL'!$G$19</f>
        <v>6.3829811507936526E-2</v>
      </c>
      <c r="F18" s="45">
        <f>'Premissas SaintL'!$G$19</f>
        <v>6.3829811507936526E-2</v>
      </c>
      <c r="G18" s="45">
        <f>'Premissas SaintL'!$G$19</f>
        <v>6.3829811507936526E-2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25">
      <c r="A19" s="5" t="s">
        <v>112</v>
      </c>
      <c r="B19" s="2"/>
      <c r="C19" s="13">
        <f>C17*(1+C18)</f>
        <v>21446809</v>
      </c>
      <c r="D19" s="13">
        <f>D17*(1+D18)</f>
        <v>21446809</v>
      </c>
      <c r="E19" s="13">
        <f t="shared" ref="E19:G19" si="7">E17*(1+E18)</f>
        <v>21446809</v>
      </c>
      <c r="F19" s="13">
        <f t="shared" si="7"/>
        <v>22978723.928571429</v>
      </c>
      <c r="G19" s="13">
        <f t="shared" si="7"/>
        <v>22978723.928571429</v>
      </c>
      <c r="H19" s="2"/>
      <c r="I19" s="2"/>
      <c r="J19" s="83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5">
      <c r="A20" s="2"/>
      <c r="B20" s="2"/>
      <c r="C20" s="2"/>
      <c r="D20" s="2"/>
      <c r="E20" s="2"/>
      <c r="F20" s="2"/>
      <c r="G20" s="2"/>
      <c r="H20" s="2"/>
      <c r="I20" s="2"/>
      <c r="J20" s="83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A21" s="4" t="s">
        <v>113</v>
      </c>
      <c r="B21" s="2"/>
      <c r="C21" s="45">
        <f>'Premissas SaintL'!$G$23</f>
        <v>0.6</v>
      </c>
      <c r="D21" s="45">
        <f>'Premissas SaintL'!$G$23</f>
        <v>0.6</v>
      </c>
      <c r="E21" s="45">
        <f>'Premissas SaintL'!$G$23</f>
        <v>0.6</v>
      </c>
      <c r="F21" s="45">
        <f>'Premissas SaintL'!$G$23</f>
        <v>0.6</v>
      </c>
      <c r="G21" s="45">
        <f>'Premissas SaintL'!$G$23</f>
        <v>0.6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A22" s="5" t="s">
        <v>114</v>
      </c>
      <c r="B22" s="2"/>
      <c r="C22" s="45">
        <f>'Premissas SaintL'!$G$24</f>
        <v>0.4</v>
      </c>
      <c r="D22" s="45">
        <f>'Premissas SaintL'!$G$24</f>
        <v>0.4</v>
      </c>
      <c r="E22" s="45">
        <f>'Premissas SaintL'!$G$24</f>
        <v>0.4</v>
      </c>
      <c r="F22" s="45">
        <f>'Premissas SaintL'!$G$24</f>
        <v>0.4</v>
      </c>
      <c r="G22" s="45">
        <f>'Premissas SaintL'!$G$24</f>
        <v>0.4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25">
      <c r="A24" s="7" t="s">
        <v>116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25">
      <c r="A25" s="4" t="s">
        <v>117</v>
      </c>
      <c r="B25" s="2"/>
      <c r="C25" s="13">
        <f>(('Premissas SaintL'!$G$27*(1+'Premissas SaintL'!H7))*3.5*C21*'Rec-Desp-Fin'!C5)/1000</f>
        <v>19417.427567999996</v>
      </c>
      <c r="D25" s="13">
        <f>(('Premissas SaintL'!$G$27*(1+'Premissas SaintL'!I7))*3.5*D21*'Rec-Desp-Fin'!D5)/1000</f>
        <v>20291.211808559998</v>
      </c>
      <c r="E25" s="13">
        <f>(('Premissas SaintL'!$G$27*(1+'Premissas SaintL'!J7))*3.5*E21*'Rec-Desp-Fin'!E5)/1000</f>
        <v>21102.860280902398</v>
      </c>
      <c r="F25" s="13">
        <f>(('Premissas SaintL'!$G$27*(1+'Premissas SaintL'!K7))*3.5*F21*'Rec-Desp-Fin'!F5)/1000</f>
        <v>23514.615741576959</v>
      </c>
      <c r="G25" s="13">
        <f>(('Premissas SaintL'!$G$27*(1+'Premissas SaintL'!L7))*3.5*G21*'Rec-Desp-Fin'!G5)/1000</f>
        <v>24455.20037124004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x14ac:dyDescent="0.25">
      <c r="A26" s="6" t="s">
        <v>118</v>
      </c>
      <c r="B26" s="2"/>
      <c r="C26" s="13">
        <f>(('Premissas SaintL'!$G$28*(1+'Premissas SaintL'!H7)*('Rec-Desp-Fin'!C19*C21)/1000))</f>
        <v>11524.206901251</v>
      </c>
      <c r="D26" s="13">
        <f>(('Premissas SaintL'!$G$28*(1+'Premissas SaintL'!I7)*('Rec-Desp-Fin'!D19*D21)/1000))</f>
        <v>12042.796211807292</v>
      </c>
      <c r="E26" s="13">
        <f>(('Premissas SaintL'!$G$28*(1+'Premissas SaintL'!J7)*('Rec-Desp-Fin'!E19*E21)/1000))</f>
        <v>12524.508060279586</v>
      </c>
      <c r="F26" s="13">
        <f>(('Premissas SaintL'!$G$28*(1+'Premissas SaintL'!K7)*('Rec-Desp-Fin'!F19*F21)/1000))</f>
        <v>13955.880410025826</v>
      </c>
      <c r="G26" s="13">
        <f>(('Premissas SaintL'!$G$28*(1+'Premissas SaintL'!L7)*('Rec-Desp-Fin'!G19*G21)/1000))</f>
        <v>14514.115626426859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25">
      <c r="A27" s="6" t="s">
        <v>119</v>
      </c>
      <c r="B27" s="2"/>
      <c r="C27" s="13">
        <f>(('Premissas SaintL'!$G$29*(1+'Premissas SaintL'!H7))*('Rec-Desp-Fin'!C22*'Rec-Desp-Fin'!C17))/1000</f>
        <v>24657.050879999999</v>
      </c>
      <c r="D27" s="13">
        <f>(('Premissas SaintL'!$G$29*(1+'Premissas SaintL'!I7))*('Rec-Desp-Fin'!D22*'Rec-Desp-Fin'!D17))/1000</f>
        <v>25766.618169599995</v>
      </c>
      <c r="E27" s="13">
        <f>(('Premissas SaintL'!$G$29*(1+'Premissas SaintL'!J7))*('Rec-Desp-Fin'!E22*'Rec-Desp-Fin'!E17))/1000</f>
        <v>26797.282896383997</v>
      </c>
      <c r="F27" s="13">
        <f>(('Premissas SaintL'!$G$29*(1+'Premissas SaintL'!K7))*('Rec-Desp-Fin'!F22*'Rec-Desp-Fin'!F17))/1000</f>
        <v>29859.829513113604</v>
      </c>
      <c r="G27" s="13">
        <f>(('Premissas SaintL'!$G$29*(1+'Premissas SaintL'!L7))*('Rec-Desp-Fin'!G22*'Rec-Desp-Fin'!G17))/1000</f>
        <v>31054.222693638148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6" t="s">
        <v>120</v>
      </c>
      <c r="B28" s="2"/>
      <c r="C28" s="13">
        <f>('Premissas SaintL'!$G$30*(1+'Premissas SaintL'!H7)*'Rec-Desp-Fin'!C5)/1000</f>
        <v>2863.0324799999999</v>
      </c>
      <c r="D28" s="13">
        <f>('Premissas SaintL'!$G$30*(1+'Premissas SaintL'!I7)*'Rec-Desp-Fin'!D5)/1000</f>
        <v>2991.8689415999997</v>
      </c>
      <c r="E28" s="13">
        <f>('Premissas SaintL'!$G$30*(1+'Premissas SaintL'!J7)*'Rec-Desp-Fin'!E5)/1000</f>
        <v>3111.5436992639993</v>
      </c>
      <c r="F28" s="13">
        <f>('Premissas SaintL'!$G$30*(1+'Premissas SaintL'!K7)*'Rec-Desp-Fin'!F5)/1000</f>
        <v>3467.1486934656</v>
      </c>
      <c r="G28" s="13">
        <f>('Premissas SaintL'!$G$30*(1+'Premissas SaintL'!L7)*'Rec-Desp-Fin'!G5)/1000</f>
        <v>3605.8346412042238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25">
      <c r="A29" s="6" t="s">
        <v>121</v>
      </c>
      <c r="B29" s="2"/>
      <c r="C29" s="13">
        <f>(('Premissas SaintL'!$G$31*(1+'Premissas SaintL'!H7))*'Rec-Desp-Fin'!C19)/1000</f>
        <v>5481.9545080629996</v>
      </c>
      <c r="D29" s="13">
        <f>(('Premissas SaintL'!$G$31*(1+'Premissas SaintL'!I7))*'Rec-Desp-Fin'!D19)/1000</f>
        <v>5728.6424609258338</v>
      </c>
      <c r="E29" s="13">
        <f>(('Premissas SaintL'!$G$31*(1+'Premissas SaintL'!J7))*'Rec-Desp-Fin'!E19)/1000</f>
        <v>5957.7881593628681</v>
      </c>
      <c r="F29" s="13">
        <f>(('Premissas SaintL'!$G$31*(1+'Premissas SaintL'!K7))*'Rec-Desp-Fin'!F19)/1000</f>
        <v>6638.6782347186254</v>
      </c>
      <c r="G29" s="13">
        <f>(('Premissas SaintL'!$G$31*(1+'Premissas SaintL'!L7))*'Rec-Desp-Fin'!G19)/1000</f>
        <v>6904.2253641073703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25">
      <c r="A30" s="5" t="s">
        <v>23</v>
      </c>
      <c r="B30" s="2"/>
      <c r="C30" s="13">
        <f>(('Premissas SaintL'!$G$32*(1+'Premissas SaintL'!H7))*'Rec-Desp-Fin'!C19)/1000</f>
        <v>6611.5150444749997</v>
      </c>
      <c r="D30" s="13">
        <f>(('Premissas SaintL'!$G$32*(1+'Premissas SaintL'!I7))*'Rec-Desp-Fin'!D19)/1000</f>
        <v>6909.033221476373</v>
      </c>
      <c r="E30" s="13">
        <f>(('Premissas SaintL'!$G$32*(1+'Premissas SaintL'!J7))*'Rec-Desp-Fin'!E19)/1000</f>
        <v>7185.3945503354289</v>
      </c>
      <c r="F30" s="13">
        <f>(('Premissas SaintL'!$G$32*(1+'Premissas SaintL'!K7))*'Rec-Desp-Fin'!F19)/1000</f>
        <v>8006.582498945193</v>
      </c>
      <c r="G30" s="13">
        <f>(('Premissas SaintL'!$G$32*(1+'Premissas SaintL'!L7))*'Rec-Desp-Fin'!G19)/1000</f>
        <v>8326.8457989030012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25">
      <c r="A31" s="7" t="s">
        <v>122</v>
      </c>
      <c r="B31" s="2"/>
      <c r="C31" s="48">
        <f>SUM(C25:C30)</f>
        <v>70555.187381789001</v>
      </c>
      <c r="D31" s="48">
        <f t="shared" ref="D31:G31" si="8">SUM(D25:D30)</f>
        <v>73730.170813969497</v>
      </c>
      <c r="E31" s="48">
        <f t="shared" si="8"/>
        <v>76679.377646528286</v>
      </c>
      <c r="F31" s="48">
        <f t="shared" si="8"/>
        <v>85442.735091845811</v>
      </c>
      <c r="G31" s="48">
        <f t="shared" si="8"/>
        <v>88860.444495519652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7" t="s">
        <v>123</v>
      </c>
      <c r="B33" s="2"/>
      <c r="C33" s="1" t="s">
        <v>53</v>
      </c>
      <c r="D33" s="1" t="s">
        <v>54</v>
      </c>
      <c r="E33" s="1" t="s">
        <v>55</v>
      </c>
      <c r="F33" s="1" t="s">
        <v>56</v>
      </c>
      <c r="G33" s="1" t="s">
        <v>57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4" t="s">
        <v>124</v>
      </c>
      <c r="B34" s="2"/>
      <c r="C34" s="49">
        <f>'Premissas SaintL'!G35</f>
        <v>500</v>
      </c>
      <c r="D34" s="49">
        <f>C34*(1+'Premissas SaintL'!I5)</f>
        <v>522.5</v>
      </c>
      <c r="E34" s="49">
        <f>D34*(1+'Premissas SaintL'!J5)</f>
        <v>543.4</v>
      </c>
      <c r="F34" s="49">
        <f>E34*(1+'Premissas SaintL'!K5)</f>
        <v>565.13599999999997</v>
      </c>
      <c r="G34" s="49">
        <f>F34*(1+'Premissas SaintL'!L5)</f>
        <v>587.74144000000001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20" x14ac:dyDescent="0.25">
      <c r="A35" s="5" t="s">
        <v>125</v>
      </c>
      <c r="B35" s="2"/>
      <c r="C35" s="49">
        <f>'Premissas SaintL'!G36</f>
        <v>120</v>
      </c>
      <c r="D35" s="49">
        <f>C35*(1+'Premissas SaintL'!I5)</f>
        <v>125.39999999999999</v>
      </c>
      <c r="E35" s="49">
        <f>D35*(1+'Premissas SaintL'!J5)</f>
        <v>130.416</v>
      </c>
      <c r="F35" s="49">
        <f>E35*(1+'Premissas SaintL'!K5)</f>
        <v>135.63264000000001</v>
      </c>
      <c r="G35" s="49">
        <f>F35*(1+'Premissas SaintL'!L5)</f>
        <v>141.05794560000001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20" x14ac:dyDescent="0.25">
      <c r="A36" s="7" t="s">
        <v>9</v>
      </c>
      <c r="B36" s="2"/>
      <c r="C36" s="13">
        <f>90%*'Premissas SaintL'!$G$17*'Premissas SaintL'!D27</f>
        <v>2736.4050000000007</v>
      </c>
      <c r="D36" s="13">
        <f>90%*'Premissas SaintL'!$G$17*'BP-WACC-Valuation'!C12</f>
        <v>2862.4050000000007</v>
      </c>
      <c r="E36" s="13">
        <f>90%*'Premissas SaintL'!$G$17*'BP-WACC-Valuation'!D12</f>
        <v>2993.4450000000006</v>
      </c>
      <c r="F36" s="13">
        <f>90%*'Premissas SaintL'!$G$17*'BP-WACC-Valuation'!E12</f>
        <v>3129.7140000000009</v>
      </c>
      <c r="G36" s="13">
        <f>90%*'Premissas SaintL'!$G$17*'BP-WACC-Valuation'!F12</f>
        <v>3271.4640000000009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20" x14ac:dyDescent="0.25">
      <c r="A37" s="7" t="s">
        <v>126</v>
      </c>
      <c r="B37" s="2"/>
      <c r="C37" s="13">
        <f>SUM(C34:C36)</f>
        <v>3356.4050000000007</v>
      </c>
      <c r="D37" s="13">
        <f t="shared" ref="D37:G37" si="9">SUM(D34:D36)</f>
        <v>3510.3050000000007</v>
      </c>
      <c r="E37" s="13">
        <f t="shared" si="9"/>
        <v>3667.2610000000004</v>
      </c>
      <c r="F37" s="13">
        <f t="shared" si="9"/>
        <v>3830.4826400000011</v>
      </c>
      <c r="G37" s="13">
        <f t="shared" si="9"/>
        <v>4000.2633856000011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7" t="s">
        <v>127</v>
      </c>
      <c r="B38" s="2"/>
      <c r="C38" s="48">
        <f>C31+C37</f>
        <v>73911.592381789</v>
      </c>
      <c r="D38" s="48">
        <f>D31+D37</f>
        <v>77240.475813969504</v>
      </c>
      <c r="E38" s="48">
        <f t="shared" ref="E38:G38" si="10">E31+E37</f>
        <v>80346.638646528285</v>
      </c>
      <c r="F38" s="48">
        <f t="shared" si="10"/>
        <v>89273.217731845813</v>
      </c>
      <c r="G38" s="48">
        <f t="shared" si="10"/>
        <v>92860.707881119655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20" x14ac:dyDescent="0.25">
      <c r="A40" s="46" t="s">
        <v>128</v>
      </c>
      <c r="B40" s="2"/>
      <c r="C40" s="48">
        <f>C38</f>
        <v>73911.592381789</v>
      </c>
      <c r="D40" s="48">
        <f>D38</f>
        <v>77240.475813969504</v>
      </c>
      <c r="E40" s="48">
        <f t="shared" ref="E40:G40" si="11">E38</f>
        <v>80346.638646528285</v>
      </c>
      <c r="F40" s="48">
        <f t="shared" si="11"/>
        <v>89273.217731845813</v>
      </c>
      <c r="G40" s="48">
        <f t="shared" si="11"/>
        <v>92860.707881119655</v>
      </c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20" x14ac:dyDescent="0.25">
      <c r="A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20" x14ac:dyDescent="0.25">
      <c r="A42" s="7" t="s">
        <v>129</v>
      </c>
      <c r="B42" s="102">
        <v>324</v>
      </c>
      <c r="C42" s="49">
        <f>'Premissas SaintL'!$G$17*'Premissas SaintL'!D27*'Premissas SaintL'!$L$17</f>
        <v>304.04500000000002</v>
      </c>
      <c r="D42" s="49">
        <f>'Premissas SaintL'!$G$17*'BP-WACC-Valuation'!C12*'Premissas SaintL'!$L$17</f>
        <v>318.04500000000007</v>
      </c>
      <c r="E42" s="49">
        <f>'Premissas SaintL'!$G$17*'BP-WACC-Valuation'!D12*'Premissas SaintL'!$L$17</f>
        <v>332.60500000000002</v>
      </c>
      <c r="F42" s="49">
        <f>'Premissas SaintL'!$G$17*'BP-WACC-Valuation'!E12*'Premissas SaintL'!$L$17</f>
        <v>347.74600000000009</v>
      </c>
      <c r="G42" s="49">
        <f>'Premissas SaintL'!$G$17*'BP-WACC-Valuation'!F12*'Premissas SaintL'!$L$17</f>
        <v>363.49600000000009</v>
      </c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20" x14ac:dyDescent="0.25">
      <c r="A44" s="1" t="s">
        <v>130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4" t="s">
        <v>124</v>
      </c>
      <c r="B45" s="49">
        <f>C45/(1+'Premissas SaintL'!$H$5)</f>
        <v>955.02392344497616</v>
      </c>
      <c r="C45" s="7">
        <f>'Premissas SaintL'!G39</f>
        <v>998</v>
      </c>
      <c r="D45" s="13">
        <f>C45*(1+'Premissas SaintL'!I5)</f>
        <v>1042.9099999999999</v>
      </c>
      <c r="E45" s="13">
        <f>D45*(1+'Premissas SaintL'!J5)</f>
        <v>1084.6263999999999</v>
      </c>
      <c r="F45" s="13">
        <f>E45*(1+'Premissas SaintL'!K5)</f>
        <v>1128.011456</v>
      </c>
      <c r="G45" s="13">
        <f>F45*(1+'Premissas SaintL'!L5)</f>
        <v>1173.13191424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6" t="s">
        <v>125</v>
      </c>
      <c r="B46" s="49">
        <f>C46/(1+'Premissas SaintL'!$H$5)</f>
        <v>222.96650717703352</v>
      </c>
      <c r="C46" s="7">
        <f>'Premissas SaintL'!G40</f>
        <v>233</v>
      </c>
      <c r="D46" s="13">
        <f>C46*(1+'Premissas SaintL'!I5)</f>
        <v>243.48499999999999</v>
      </c>
      <c r="E46" s="13">
        <f>D46*(1+'Premissas SaintL'!J5)</f>
        <v>253.2244</v>
      </c>
      <c r="F46" s="13">
        <f>E46*(1+'Premissas SaintL'!K5)</f>
        <v>263.35337600000003</v>
      </c>
      <c r="G46" s="13">
        <f>F46*(1+'Premissas SaintL'!L5)</f>
        <v>273.88751104000005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5" t="s">
        <v>23</v>
      </c>
      <c r="B47" s="49">
        <f>C47/(1+'Premissas SaintL'!$H$5)</f>
        <v>111.96172248803829</v>
      </c>
      <c r="C47" s="7">
        <f>'Premissas SaintL'!G41</f>
        <v>117</v>
      </c>
      <c r="D47" s="13">
        <f>C47*(1+'Premissas SaintL'!I5)</f>
        <v>122.26499999999999</v>
      </c>
      <c r="E47" s="13">
        <f>D47*(1+'Premissas SaintL'!J5)</f>
        <v>127.15559999999999</v>
      </c>
      <c r="F47" s="13">
        <f>E47*(1+'Premissas SaintL'!K5)</f>
        <v>132.24182400000001</v>
      </c>
      <c r="G47" s="13">
        <f>F47*(1+'Premissas SaintL'!L5)</f>
        <v>137.53149696000003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7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7" t="s">
        <v>131</v>
      </c>
      <c r="B49" s="2"/>
      <c r="C49" s="13">
        <f>SUM(C45:C47)</f>
        <v>1348</v>
      </c>
      <c r="D49" s="13">
        <f t="shared" ref="D49:G49" si="12">SUM(D45:D47)</f>
        <v>1408.6599999999999</v>
      </c>
      <c r="E49" s="13">
        <f t="shared" si="12"/>
        <v>1465.0064</v>
      </c>
      <c r="F49" s="13">
        <f t="shared" si="12"/>
        <v>1523.6066559999999</v>
      </c>
      <c r="G49" s="13">
        <f t="shared" si="12"/>
        <v>1584.5509222400001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x14ac:dyDescent="0.25">
      <c r="A51" s="1" t="s">
        <v>132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25">
      <c r="A52" s="4" t="s">
        <v>133</v>
      </c>
      <c r="B52" s="84">
        <f>'Premissas SaintL'!D11/'Premissas SaintL'!D4</f>
        <v>2.2300395089898797E-2</v>
      </c>
      <c r="C52" s="85">
        <f>$B$52</f>
        <v>2.2300395089898797E-2</v>
      </c>
      <c r="D52" s="85">
        <f>$B$52</f>
        <v>2.2300395089898797E-2</v>
      </c>
      <c r="E52" s="85">
        <f>$B$52</f>
        <v>2.2300395089898797E-2</v>
      </c>
      <c r="F52" s="85">
        <f>$B$52</f>
        <v>2.2300395089898797E-2</v>
      </c>
      <c r="G52" s="85">
        <f>$B$52</f>
        <v>2.2300395089898797E-2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25">
      <c r="A53" s="5" t="s">
        <v>134</v>
      </c>
      <c r="B53" s="2"/>
      <c r="C53" s="13">
        <f>C52*C12</f>
        <v>2204.5407020346074</v>
      </c>
      <c r="D53" s="13">
        <f t="shared" ref="D53:G53" si="13">D52*D12</f>
        <v>2303.7450336261645</v>
      </c>
      <c r="E53" s="13">
        <f t="shared" si="13"/>
        <v>2407.4135601393418</v>
      </c>
      <c r="F53" s="13">
        <f t="shared" si="13"/>
        <v>2682.5465384409808</v>
      </c>
      <c r="G53" s="13">
        <f t="shared" si="13"/>
        <v>2789.8483999786204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x14ac:dyDescent="0.25">
      <c r="A54" s="2"/>
      <c r="B54" s="1" t="s">
        <v>52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25">
      <c r="A55" s="7" t="s">
        <v>135</v>
      </c>
      <c r="C55" s="1" t="s">
        <v>53</v>
      </c>
      <c r="D55" s="1" t="s">
        <v>54</v>
      </c>
      <c r="E55" s="1" t="s">
        <v>55</v>
      </c>
      <c r="F55" s="1" t="s">
        <v>56</v>
      </c>
      <c r="G55" s="1" t="s">
        <v>57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25">
      <c r="A56" s="4" t="s">
        <v>21</v>
      </c>
      <c r="B56" s="13">
        <f>'Premissas SaintL'!D22</f>
        <v>6926</v>
      </c>
      <c r="C56" s="13">
        <f>($J$56*C12)/360</f>
        <v>7232.8985799581669</v>
      </c>
      <c r="D56" s="13">
        <f t="shared" ref="D56:F56" si="14">($J$56*D12)/360</f>
        <v>7558.3790160562858</v>
      </c>
      <c r="E56" s="13">
        <f t="shared" si="14"/>
        <v>7898.5060717788174</v>
      </c>
      <c r="F56" s="13">
        <f t="shared" si="14"/>
        <v>8801.1924799821099</v>
      </c>
      <c r="G56" s="13">
        <f>($J$56*G12)/360</f>
        <v>9153.2401791813954</v>
      </c>
      <c r="H56" s="2"/>
      <c r="I56" s="7" t="s">
        <v>245</v>
      </c>
      <c r="J56" s="49">
        <f>('Premissas SaintL'!D22/'Premissas SaintL'!D4)*360</f>
        <v>26.339608290549535</v>
      </c>
      <c r="K56" s="7" t="s">
        <v>246</v>
      </c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25">
      <c r="A57" s="15" t="s">
        <v>136</v>
      </c>
      <c r="B57" s="13">
        <f>'Premissas SaintL'!D23</f>
        <v>5785</v>
      </c>
      <c r="C57" s="13">
        <f>($J$57*C40)/360</f>
        <v>6088.8677773471563</v>
      </c>
      <c r="D57" s="13">
        <f>($J$57*D40)/360</f>
        <v>6363.1025815447019</v>
      </c>
      <c r="E57" s="13">
        <f t="shared" ref="E57:G57" si="15">($J$57*E40)/360</f>
        <v>6618.9895699438366</v>
      </c>
      <c r="F57" s="13">
        <f t="shared" si="15"/>
        <v>7354.3648744532129</v>
      </c>
      <c r="G57" s="13">
        <f t="shared" si="15"/>
        <v>7649.9038077592413</v>
      </c>
      <c r="H57" s="2"/>
      <c r="I57" s="7" t="s">
        <v>247</v>
      </c>
      <c r="J57" s="49">
        <f>('Premissas SaintL'!D23/'Premissas SaintL'!D7)*360</f>
        <v>29.65695000213605</v>
      </c>
      <c r="K57" s="7" t="s">
        <v>246</v>
      </c>
      <c r="L57" s="2"/>
      <c r="M57" s="2"/>
      <c r="N57" s="2"/>
      <c r="O57" s="2"/>
      <c r="P57" s="2"/>
      <c r="Q57" s="2"/>
      <c r="R57" s="2"/>
      <c r="S57" s="2"/>
      <c r="T57" s="2"/>
    </row>
    <row r="58" spans="1:20" x14ac:dyDescent="0.25">
      <c r="A58" s="15" t="s">
        <v>137</v>
      </c>
      <c r="B58" s="13">
        <f>'Premissas SaintL'!D24</f>
        <v>1046</v>
      </c>
      <c r="C58" s="13">
        <f>$B$58</f>
        <v>1046</v>
      </c>
      <c r="D58" s="13">
        <f>$B$58</f>
        <v>1046</v>
      </c>
      <c r="E58" s="13">
        <f>$B$58</f>
        <v>1046</v>
      </c>
      <c r="F58" s="13">
        <f>$B$58</f>
        <v>1046</v>
      </c>
      <c r="G58" s="13">
        <f>$B$58</f>
        <v>1046</v>
      </c>
      <c r="H58" s="2"/>
      <c r="I58" s="7" t="s">
        <v>248</v>
      </c>
      <c r="J58" s="49">
        <f>('Premissas SaintL'!D35/'Premissas SaintL'!D5)*360</f>
        <v>45.011141371626636</v>
      </c>
      <c r="K58" s="7" t="s">
        <v>246</v>
      </c>
      <c r="L58" s="2"/>
      <c r="M58" s="2"/>
      <c r="N58" s="2"/>
      <c r="O58" s="2"/>
      <c r="P58" s="2"/>
      <c r="Q58" s="2"/>
      <c r="R58" s="2"/>
      <c r="S58" s="2"/>
      <c r="T58" s="2"/>
    </row>
    <row r="59" spans="1:20" x14ac:dyDescent="0.25">
      <c r="A59" s="15" t="s">
        <v>138</v>
      </c>
      <c r="B59" s="13">
        <f>'Premissas SaintL'!D35</f>
        <v>1515</v>
      </c>
      <c r="C59" s="13">
        <f>($J$58*('Premissas SaintL'!$G$16*'Rec-Desp-Fin'!C12))/360</f>
        <v>1582.0968241247833</v>
      </c>
      <c r="D59" s="13">
        <f>($J$58*('Premissas SaintL'!$G$16*'Rec-Desp-Fin'!D12))/360</f>
        <v>1653.2911812103985</v>
      </c>
      <c r="E59" s="13">
        <f>($J$58*('Premissas SaintL'!$G$16*'Rec-Desp-Fin'!E12))/360</f>
        <v>1727.6892843648666</v>
      </c>
      <c r="F59" s="13">
        <f>($J$58*('Premissas SaintL'!$G$16*'Rec-Desp-Fin'!F12))/360</f>
        <v>1925.1394882922796</v>
      </c>
      <c r="G59" s="13">
        <f>($J$58*('Premissas SaintL'!$G$16*'Rec-Desp-Fin'!G12))/360</f>
        <v>2002.145067823971</v>
      </c>
      <c r="H59" s="2"/>
      <c r="I59" s="7" t="s">
        <v>249</v>
      </c>
      <c r="J59" s="49">
        <f>('Premissas SaintL'!D34/'Premissas SaintL'!D7)*360</f>
        <v>23.966506700084018</v>
      </c>
      <c r="K59" s="7" t="s">
        <v>246</v>
      </c>
      <c r="L59" s="2"/>
      <c r="M59" s="2"/>
      <c r="N59" s="2"/>
      <c r="O59" s="2"/>
      <c r="P59" s="2"/>
      <c r="Q59" s="2"/>
      <c r="R59" s="2"/>
      <c r="S59" s="2"/>
      <c r="T59" s="2"/>
    </row>
    <row r="60" spans="1:20" x14ac:dyDescent="0.25">
      <c r="A60" s="15" t="s">
        <v>139</v>
      </c>
      <c r="B60" s="13">
        <f>'Premissas SaintL'!D34</f>
        <v>4675</v>
      </c>
      <c r="C60" s="13">
        <f>($J$59*C40)/360</f>
        <v>4920.5629834222918</v>
      </c>
      <c r="D60" s="13">
        <f t="shared" ref="D60:G60" si="16">($J$59*D40)/360</f>
        <v>5142.1788364254935</v>
      </c>
      <c r="E60" s="13">
        <f t="shared" si="16"/>
        <v>5348.9673706979156</v>
      </c>
      <c r="F60" s="13">
        <f t="shared" si="16"/>
        <v>5943.2421414120618</v>
      </c>
      <c r="G60" s="13">
        <f t="shared" si="16"/>
        <v>6182.0743822427748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x14ac:dyDescent="0.25">
      <c r="A61" s="47" t="s">
        <v>140</v>
      </c>
      <c r="B61" s="86">
        <f>'Premissas SaintL'!D39</f>
        <v>0</v>
      </c>
      <c r="C61" s="86">
        <f>$B$61</f>
        <v>0</v>
      </c>
      <c r="D61" s="86">
        <f>$B$61</f>
        <v>0</v>
      </c>
      <c r="E61" s="86">
        <f>$B$61</f>
        <v>0</v>
      </c>
      <c r="F61" s="86">
        <f>$B$61</f>
        <v>0</v>
      </c>
      <c r="G61" s="86">
        <f>$B$61</f>
        <v>0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x14ac:dyDescent="0.25">
      <c r="A62" s="7" t="s">
        <v>141</v>
      </c>
      <c r="B62" s="16">
        <f>B56+B57+B58-B59-B60-B61</f>
        <v>7567</v>
      </c>
      <c r="C62" s="13">
        <f t="shared" ref="C62:G62" si="17">C56+C57+C58-C59-C60-C61</f>
        <v>7865.1065497582485</v>
      </c>
      <c r="D62" s="13">
        <f t="shared" si="17"/>
        <v>8172.0115799650957</v>
      </c>
      <c r="E62" s="13">
        <f t="shared" si="17"/>
        <v>8486.83898665987</v>
      </c>
      <c r="F62" s="13">
        <f t="shared" si="17"/>
        <v>9333.1757247309833</v>
      </c>
      <c r="G62" s="13">
        <f t="shared" si="17"/>
        <v>9664.9245368738921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x14ac:dyDescent="0.25">
      <c r="A64" s="1" t="s">
        <v>142</v>
      </c>
      <c r="B64" s="2"/>
      <c r="C64" s="1" t="s">
        <v>53</v>
      </c>
      <c r="D64" s="1" t="s">
        <v>54</v>
      </c>
      <c r="E64" s="1" t="s">
        <v>55</v>
      </c>
      <c r="F64" s="1" t="s">
        <v>56</v>
      </c>
      <c r="G64" s="1" t="s">
        <v>57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x14ac:dyDescent="0.25">
      <c r="A65" s="7" t="s">
        <v>94</v>
      </c>
      <c r="B65" s="2"/>
      <c r="C65" s="20">
        <f>'Premissas SaintL'!$H$48</f>
        <v>0.13</v>
      </c>
      <c r="D65" s="20">
        <f>'Premissas SaintL'!$H$48</f>
        <v>0.13</v>
      </c>
      <c r="E65" s="20">
        <f>'Premissas SaintL'!$H$48</f>
        <v>0.13</v>
      </c>
      <c r="F65" s="20">
        <f>'Premissas SaintL'!$H$48</f>
        <v>0.13</v>
      </c>
      <c r="G65" s="20">
        <f>'Premissas SaintL'!$H$48</f>
        <v>0.13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x14ac:dyDescent="0.25">
      <c r="A67" s="7" t="s">
        <v>143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25">
      <c r="A68" s="4" t="s">
        <v>149</v>
      </c>
      <c r="B68" s="2"/>
      <c r="C68" s="13">
        <f>B73</f>
        <v>2450</v>
      </c>
      <c r="D68" s="13">
        <f>C73</f>
        <v>2450</v>
      </c>
      <c r="E68" s="13">
        <f t="shared" ref="E68:G68" si="18">D73</f>
        <v>2450</v>
      </c>
      <c r="F68" s="13">
        <f t="shared" si="18"/>
        <v>2450</v>
      </c>
      <c r="G68" s="86">
        <f t="shared" si="18"/>
        <v>0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x14ac:dyDescent="0.25">
      <c r="A69" s="15" t="s">
        <v>144</v>
      </c>
      <c r="B69" s="186"/>
      <c r="C69" s="13">
        <f>'Premissas SaintL'!$H$48*'Rec-Desp-Fin'!C68</f>
        <v>318.5</v>
      </c>
      <c r="D69" s="13">
        <f>'Premissas SaintL'!$H$48*'Rec-Desp-Fin'!D68</f>
        <v>318.5</v>
      </c>
      <c r="E69" s="13">
        <f>'Premissas SaintL'!$H$48*'Rec-Desp-Fin'!E68</f>
        <v>318.5</v>
      </c>
      <c r="F69" s="13">
        <f>'Premissas SaintL'!$H$48*'Rec-Desp-Fin'!F68</f>
        <v>318.5</v>
      </c>
      <c r="G69" s="86">
        <f>'Premissas SaintL'!$H$48*'Rec-Desp-Fin'!G68</f>
        <v>0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x14ac:dyDescent="0.25">
      <c r="A70" s="15" t="s">
        <v>145</v>
      </c>
      <c r="B70" s="2"/>
      <c r="C70" s="13">
        <f>C68</f>
        <v>2450</v>
      </c>
      <c r="D70" s="13">
        <f t="shared" ref="D70:E70" si="19">D68</f>
        <v>2450</v>
      </c>
      <c r="E70" s="13">
        <f t="shared" si="19"/>
        <v>2450</v>
      </c>
      <c r="F70" s="86">
        <v>0</v>
      </c>
      <c r="G70" s="86">
        <v>0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25">
      <c r="A71" s="15" t="s">
        <v>146</v>
      </c>
      <c r="B71" s="2"/>
      <c r="C71" s="13">
        <f>C69</f>
        <v>318.5</v>
      </c>
      <c r="D71" s="13">
        <f t="shared" ref="D71:G71" si="20">D69</f>
        <v>318.5</v>
      </c>
      <c r="E71" s="13">
        <f t="shared" si="20"/>
        <v>318.5</v>
      </c>
      <c r="F71" s="13">
        <f t="shared" si="20"/>
        <v>318.5</v>
      </c>
      <c r="G71" s="86">
        <f t="shared" si="20"/>
        <v>0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x14ac:dyDescent="0.25">
      <c r="A72" s="15" t="s">
        <v>147</v>
      </c>
      <c r="C72" s="13">
        <f>9800/4</f>
        <v>2450</v>
      </c>
      <c r="D72" s="13">
        <f t="shared" ref="D72:F72" si="21">9800/4</f>
        <v>2450</v>
      </c>
      <c r="E72" s="13">
        <f t="shared" si="21"/>
        <v>2450</v>
      </c>
      <c r="F72" s="13">
        <f t="shared" si="21"/>
        <v>2450</v>
      </c>
      <c r="G72" s="86">
        <v>0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x14ac:dyDescent="0.25">
      <c r="A73" s="5" t="s">
        <v>148</v>
      </c>
      <c r="B73" s="87">
        <f>'Premissas SaintL'!G49</f>
        <v>2450</v>
      </c>
      <c r="C73" s="13">
        <f>C68+C69+C70-C71-C72</f>
        <v>2450</v>
      </c>
      <c r="D73" s="13">
        <f t="shared" ref="D73:G73" si="22">D68+D69+D70-D71-D72</f>
        <v>2450</v>
      </c>
      <c r="E73" s="13">
        <f t="shared" si="22"/>
        <v>2450</v>
      </c>
      <c r="F73" s="86">
        <f>F68+F69+F70-F71-F72</f>
        <v>0</v>
      </c>
      <c r="G73" s="86">
        <f t="shared" si="22"/>
        <v>0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x14ac:dyDescent="0.25">
      <c r="A74" s="7" t="s">
        <v>150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x14ac:dyDescent="0.25">
      <c r="A75" s="4" t="s">
        <v>149</v>
      </c>
      <c r="B75" s="2"/>
      <c r="C75" s="13">
        <f>B79</f>
        <v>7350</v>
      </c>
      <c r="D75" s="13">
        <f t="shared" ref="D75:G75" si="23">C79</f>
        <v>4900</v>
      </c>
      <c r="E75" s="13">
        <f t="shared" si="23"/>
        <v>2450</v>
      </c>
      <c r="F75" s="86">
        <f t="shared" si="23"/>
        <v>0</v>
      </c>
      <c r="G75" s="86">
        <f t="shared" si="23"/>
        <v>0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25">
      <c r="A76" s="15" t="s">
        <v>151</v>
      </c>
      <c r="B76" s="2"/>
      <c r="C76" s="13">
        <f>'Premissas SaintL'!$H$48*'Rec-Desp-Fin'!C75</f>
        <v>955.5</v>
      </c>
      <c r="D76" s="13">
        <f>'Premissas SaintL'!$H$48*'Rec-Desp-Fin'!D75</f>
        <v>637</v>
      </c>
      <c r="E76" s="13">
        <f>'Premissas SaintL'!$H$48*'Rec-Desp-Fin'!E75</f>
        <v>318.5</v>
      </c>
      <c r="F76" s="86">
        <f>'Premissas SaintL'!$H$48*'Rec-Desp-Fin'!F75</f>
        <v>0</v>
      </c>
      <c r="G76" s="86">
        <f>'Premissas SaintL'!$H$48*'Rec-Desp-Fin'!G75</f>
        <v>0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x14ac:dyDescent="0.25">
      <c r="A77" s="15" t="s">
        <v>152</v>
      </c>
      <c r="C77" s="13">
        <f>C70</f>
        <v>2450</v>
      </c>
      <c r="D77" s="13">
        <f t="shared" ref="D77:G77" si="24">D70</f>
        <v>2450</v>
      </c>
      <c r="E77" s="13">
        <f t="shared" si="24"/>
        <v>2450</v>
      </c>
      <c r="F77" s="86">
        <f t="shared" si="24"/>
        <v>0</v>
      </c>
      <c r="G77" s="86">
        <f t="shared" si="24"/>
        <v>0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x14ac:dyDescent="0.25">
      <c r="A78" s="15" t="s">
        <v>146</v>
      </c>
      <c r="C78" s="13">
        <f>C76</f>
        <v>955.5</v>
      </c>
      <c r="D78" s="13">
        <f t="shared" ref="D78:G78" si="25">D76</f>
        <v>637</v>
      </c>
      <c r="E78" s="13">
        <f t="shared" si="25"/>
        <v>318.5</v>
      </c>
      <c r="F78" s="86">
        <f t="shared" si="25"/>
        <v>0</v>
      </c>
      <c r="G78" s="86">
        <f t="shared" si="25"/>
        <v>0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x14ac:dyDescent="0.25">
      <c r="A79" s="5" t="s">
        <v>148</v>
      </c>
      <c r="B79" s="87">
        <f>'Premissas SaintL'!$G$48</f>
        <v>7350</v>
      </c>
      <c r="C79" s="13">
        <f>C75+C76-C77-C78</f>
        <v>4900</v>
      </c>
      <c r="D79" s="13">
        <f t="shared" ref="D79:G79" si="26">D75+D76-D77-D78</f>
        <v>2450</v>
      </c>
      <c r="E79" s="13">
        <f t="shared" si="26"/>
        <v>0</v>
      </c>
      <c r="F79" s="86">
        <f t="shared" si="26"/>
        <v>0</v>
      </c>
      <c r="G79" s="86">
        <f t="shared" si="26"/>
        <v>0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x14ac:dyDescent="0.25">
      <c r="A80" s="7" t="s">
        <v>153</v>
      </c>
      <c r="B80" s="89">
        <f>B73+B79</f>
        <v>9800</v>
      </c>
      <c r="C80" s="13">
        <f t="shared" ref="C80:G80" si="27">C73+C79</f>
        <v>7350</v>
      </c>
      <c r="D80" s="87">
        <f t="shared" si="27"/>
        <v>4900</v>
      </c>
      <c r="E80" s="87">
        <f t="shared" si="27"/>
        <v>2450</v>
      </c>
      <c r="F80" s="90">
        <f t="shared" si="27"/>
        <v>0</v>
      </c>
      <c r="G80" s="90">
        <f t="shared" si="27"/>
        <v>0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x14ac:dyDescent="0.25">
      <c r="A82" s="1" t="s">
        <v>154</v>
      </c>
      <c r="B82" s="2"/>
      <c r="C82" s="1" t="s">
        <v>53</v>
      </c>
      <c r="D82" s="1" t="s">
        <v>54</v>
      </c>
      <c r="E82" s="1" t="s">
        <v>55</v>
      </c>
      <c r="F82" s="1" t="s">
        <v>56</v>
      </c>
      <c r="G82" s="1" t="s">
        <v>57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x14ac:dyDescent="0.25">
      <c r="A83" s="7" t="s">
        <v>155</v>
      </c>
      <c r="B83" s="2"/>
      <c r="C83" s="45">
        <f>'Premissas SaintL'!$G$52</f>
        <v>0.16</v>
      </c>
      <c r="D83" s="45">
        <f>'Premissas SaintL'!$G$52</f>
        <v>0.16</v>
      </c>
      <c r="E83" s="45">
        <f>'Premissas SaintL'!$G$52</f>
        <v>0.16</v>
      </c>
      <c r="F83" s="45">
        <f>'Premissas SaintL'!$G$52</f>
        <v>0.16</v>
      </c>
      <c r="G83" s="45">
        <f>'Premissas SaintL'!$G$52</f>
        <v>0.16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x14ac:dyDescent="0.25">
      <c r="A85" s="7" t="s">
        <v>143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x14ac:dyDescent="0.25">
      <c r="A86" s="4" t="s">
        <v>149</v>
      </c>
      <c r="B86" s="2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x14ac:dyDescent="0.25">
      <c r="A87" s="15" t="s">
        <v>144</v>
      </c>
      <c r="B87" s="2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5">
      <c r="A88" s="15" t="s">
        <v>156</v>
      </c>
      <c r="B88" s="2"/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5">
      <c r="A89" s="15" t="s">
        <v>146</v>
      </c>
      <c r="B89" s="2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x14ac:dyDescent="0.25">
      <c r="A90" s="15" t="s">
        <v>147</v>
      </c>
      <c r="B90" s="2"/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x14ac:dyDescent="0.25">
      <c r="A91" s="5" t="s">
        <v>148</v>
      </c>
      <c r="B91" s="2"/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x14ac:dyDescent="0.25">
      <c r="A92" s="7" t="s">
        <v>150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x14ac:dyDescent="0.25">
      <c r="A93" s="4" t="s">
        <v>149</v>
      </c>
      <c r="B93" s="2"/>
      <c r="C93" s="86">
        <v>0</v>
      </c>
      <c r="D93" s="13">
        <f>C98</f>
        <v>2000</v>
      </c>
      <c r="E93" s="13">
        <f t="shared" ref="E93:G93" si="28">D98</f>
        <v>4000</v>
      </c>
      <c r="F93" s="13">
        <f t="shared" si="28"/>
        <v>6000</v>
      </c>
      <c r="G93" s="13">
        <f t="shared" si="28"/>
        <v>6000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x14ac:dyDescent="0.25">
      <c r="A94" s="15" t="s">
        <v>151</v>
      </c>
      <c r="B94" s="2"/>
      <c r="C94" s="86">
        <v>0</v>
      </c>
      <c r="D94" s="13">
        <f>D93*'Premissas SaintL'!$H$52</f>
        <v>320</v>
      </c>
      <c r="E94" s="13">
        <f>E93*'Premissas SaintL'!$H$52</f>
        <v>640</v>
      </c>
      <c r="F94" s="13">
        <f>F93*'Premissas SaintL'!$H$52</f>
        <v>960</v>
      </c>
      <c r="G94" s="13">
        <f>G93*'Premissas SaintL'!$H$52</f>
        <v>960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5">
      <c r="A95" s="15" t="s">
        <v>157</v>
      </c>
      <c r="B95" s="2"/>
      <c r="C95" s="13">
        <f>'Premissas SaintL'!G51</f>
        <v>2000</v>
      </c>
      <c r="D95" s="13">
        <f>'Premissas SaintL'!H51</f>
        <v>2000</v>
      </c>
      <c r="E95" s="13">
        <f>'Premissas SaintL'!I51</f>
        <v>2000</v>
      </c>
      <c r="F95" s="86">
        <v>0</v>
      </c>
      <c r="G95" s="86">
        <v>0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5">
      <c r="A96" s="15" t="s">
        <v>152</v>
      </c>
      <c r="B96" s="2"/>
      <c r="C96" s="86">
        <v>0</v>
      </c>
      <c r="D96" s="86">
        <v>0</v>
      </c>
      <c r="E96" s="86">
        <v>0</v>
      </c>
      <c r="F96" s="86">
        <v>0</v>
      </c>
      <c r="G96" s="86">
        <v>0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x14ac:dyDescent="0.25">
      <c r="A97" s="15" t="s">
        <v>146</v>
      </c>
      <c r="B97" s="2"/>
      <c r="C97" s="86">
        <v>0</v>
      </c>
      <c r="D97" s="13">
        <f>D94</f>
        <v>320</v>
      </c>
      <c r="E97" s="13">
        <f>E94</f>
        <v>640</v>
      </c>
      <c r="F97" s="13">
        <f t="shared" ref="F97:G97" si="29">F94</f>
        <v>960</v>
      </c>
      <c r="G97" s="13">
        <f t="shared" si="29"/>
        <v>960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x14ac:dyDescent="0.25">
      <c r="A98" s="5" t="s">
        <v>148</v>
      </c>
      <c r="B98" s="2"/>
      <c r="C98" s="13">
        <f>C93+C94+C95-C96-C97</f>
        <v>2000</v>
      </c>
      <c r="D98" s="13">
        <f t="shared" ref="D98:G98" si="30">D93+D94+D95-D96-D97</f>
        <v>4000</v>
      </c>
      <c r="E98" s="13">
        <f t="shared" si="30"/>
        <v>6000</v>
      </c>
      <c r="F98" s="13">
        <f t="shared" si="30"/>
        <v>6000</v>
      </c>
      <c r="G98" s="13">
        <f t="shared" si="30"/>
        <v>6000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x14ac:dyDescent="0.25">
      <c r="A99" s="7" t="s">
        <v>153</v>
      </c>
      <c r="B99" s="2"/>
      <c r="C99" s="13">
        <f>C91+C98</f>
        <v>2000</v>
      </c>
      <c r="D99" s="13">
        <f t="shared" ref="D99:G99" si="31">D91+D98</f>
        <v>4000</v>
      </c>
      <c r="E99" s="13">
        <f t="shared" si="31"/>
        <v>6000</v>
      </c>
      <c r="F99" s="13">
        <f t="shared" si="31"/>
        <v>6000</v>
      </c>
      <c r="G99" s="13">
        <f t="shared" si="31"/>
        <v>6000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1:20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1:20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1:20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1:20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1:20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1:20" x14ac:dyDescent="0.25">
      <c r="A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1:20" x14ac:dyDescent="0.25"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99"/>
  <sheetViews>
    <sheetView workbookViewId="0">
      <selection activeCell="C26" sqref="C26"/>
    </sheetView>
  </sheetViews>
  <sheetFormatPr defaultRowHeight="15" x14ac:dyDescent="0.25"/>
  <cols>
    <col min="1" max="1" width="44.5703125" customWidth="1"/>
    <col min="2" max="2" width="10.5703125" bestFit="1" customWidth="1"/>
    <col min="3" max="3" width="12.5703125" bestFit="1" customWidth="1"/>
    <col min="4" max="7" width="11.5703125" bestFit="1" customWidth="1"/>
  </cols>
  <sheetData>
    <row r="1" spans="1:25" ht="30" x14ac:dyDescent="0.25">
      <c r="A1" s="54" t="s">
        <v>158</v>
      </c>
      <c r="B1" s="53" t="s">
        <v>159</v>
      </c>
      <c r="C1" s="57" t="s">
        <v>53</v>
      </c>
      <c r="D1" s="57" t="s">
        <v>54</v>
      </c>
      <c r="E1" s="57" t="s">
        <v>55</v>
      </c>
      <c r="F1" s="57" t="s">
        <v>56</v>
      </c>
      <c r="G1" s="57" t="s">
        <v>57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4" t="s">
        <v>160</v>
      </c>
      <c r="B2" s="2"/>
      <c r="C2" s="12">
        <f>C43</f>
        <v>8434.7561881763904</v>
      </c>
      <c r="D2" s="12">
        <f t="shared" ref="D2:G2" si="0">D43</f>
        <v>8811.1404666443323</v>
      </c>
      <c r="E2" s="12">
        <f t="shared" si="0"/>
        <v>9584.0956917131734</v>
      </c>
      <c r="F2" s="12">
        <f t="shared" si="0"/>
        <v>11067.014863337521</v>
      </c>
      <c r="G2" s="12">
        <f t="shared" si="0"/>
        <v>11491.293857871007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5" t="s">
        <v>161</v>
      </c>
      <c r="B3" s="2"/>
      <c r="C3" s="93">
        <f>'Rec-Desp-Fin'!C36+'Rec-Desp-Fin'!C42</f>
        <v>3040.4500000000007</v>
      </c>
      <c r="D3" s="93">
        <f>'Rec-Desp-Fin'!D36+'Rec-Desp-Fin'!D42</f>
        <v>3180.4500000000007</v>
      </c>
      <c r="E3" s="93">
        <f>'Rec-Desp-Fin'!E36+'Rec-Desp-Fin'!E42</f>
        <v>3326.0500000000006</v>
      </c>
      <c r="F3" s="93">
        <f>'Rec-Desp-Fin'!F36+'Rec-Desp-Fin'!F42</f>
        <v>3477.4600000000009</v>
      </c>
      <c r="G3" s="93">
        <f>'Rec-Desp-Fin'!G36+'Rec-Desp-Fin'!G42</f>
        <v>3634.9600000000009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6" t="s">
        <v>162</v>
      </c>
      <c r="B4" s="2"/>
      <c r="C4" s="93">
        <f>C2+C3</f>
        <v>11475.206188176391</v>
      </c>
      <c r="D4" s="93">
        <f t="shared" ref="D4:G4" si="1">D2+D3</f>
        <v>11991.590466644333</v>
      </c>
      <c r="E4" s="93">
        <f t="shared" si="1"/>
        <v>12910.145691713175</v>
      </c>
      <c r="F4" s="93">
        <f t="shared" si="1"/>
        <v>14544.474863337522</v>
      </c>
      <c r="G4" s="93">
        <f t="shared" si="1"/>
        <v>15126.253857871008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25">
      <c r="A5" s="47" t="s">
        <v>163</v>
      </c>
      <c r="B5" s="2"/>
      <c r="C5" s="91">
        <f>'Rec-Desp-Fin'!C62-'Rec-Desp-Fin'!B62</f>
        <v>298.10654975824855</v>
      </c>
      <c r="D5" s="91">
        <f>'Rec-Desp-Fin'!D62-'Rec-Desp-Fin'!C62</f>
        <v>306.90503020684719</v>
      </c>
      <c r="E5" s="91">
        <f>'Rec-Desp-Fin'!E62-'Rec-Desp-Fin'!D62</f>
        <v>314.82740669477425</v>
      </c>
      <c r="F5" s="91">
        <f>'Rec-Desp-Fin'!F62-'Rec-Desp-Fin'!E62</f>
        <v>846.33673807111336</v>
      </c>
      <c r="G5" s="91">
        <f>'Rec-Desp-Fin'!G62-'Rec-Desp-Fin'!F62</f>
        <v>331.74881214290872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25">
      <c r="A6" s="7" t="s">
        <v>164</v>
      </c>
      <c r="B6" s="2"/>
      <c r="C6" s="13">
        <f>C4-C5</f>
        <v>11177.099638418142</v>
      </c>
      <c r="D6" s="13">
        <f>D4-D5</f>
        <v>11684.685436437485</v>
      </c>
      <c r="E6" s="13">
        <f t="shared" ref="E6:G6" si="2">E4-E5</f>
        <v>12595.3182850184</v>
      </c>
      <c r="F6" s="13">
        <f t="shared" si="2"/>
        <v>13698.138125266409</v>
      </c>
      <c r="G6" s="13">
        <f t="shared" si="2"/>
        <v>14794.5050457281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7" t="s">
        <v>165</v>
      </c>
      <c r="B7" s="2"/>
      <c r="C7" s="48">
        <f>C8+C9</f>
        <v>4736.4050000000007</v>
      </c>
      <c r="D7" s="48">
        <f t="shared" ref="D7:G7" si="3">D8+D9</f>
        <v>4942.4050000000007</v>
      </c>
      <c r="E7" s="48">
        <f t="shared" si="3"/>
        <v>5156.4450000000006</v>
      </c>
      <c r="F7" s="48">
        <f t="shared" si="3"/>
        <v>5379.7140000000009</v>
      </c>
      <c r="G7" s="48">
        <f t="shared" si="3"/>
        <v>3271.4640000000009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x14ac:dyDescent="0.25">
      <c r="A8" s="55" t="s">
        <v>166</v>
      </c>
      <c r="B8" s="2"/>
      <c r="C8" s="12">
        <f>'Premissas SaintL'!G44+'Rec-Desp-Fin'!C36</f>
        <v>4736.4050000000007</v>
      </c>
      <c r="D8" s="12">
        <f>'Premissas SaintL'!H44+'Rec-Desp-Fin'!D36</f>
        <v>4942.4050000000007</v>
      </c>
      <c r="E8" s="12">
        <f>'Premissas SaintL'!I44+'Rec-Desp-Fin'!E36</f>
        <v>5156.4450000000006</v>
      </c>
      <c r="F8" s="12">
        <f>'Premissas SaintL'!J44+'Rec-Desp-Fin'!F36</f>
        <v>5379.7140000000009</v>
      </c>
      <c r="G8" s="12">
        <f>'Premissas SaintL'!K44+'Rec-Desp-Fin'!G36</f>
        <v>3271.4640000000009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25">
      <c r="A9" s="47" t="s">
        <v>167</v>
      </c>
      <c r="B9" s="2"/>
      <c r="C9" s="5">
        <v>0</v>
      </c>
      <c r="D9" s="5">
        <v>0</v>
      </c>
      <c r="E9" s="5">
        <v>0</v>
      </c>
      <c r="F9" s="5">
        <v>0</v>
      </c>
      <c r="G9" s="5">
        <v>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25">
      <c r="A10" s="7" t="s">
        <v>168</v>
      </c>
      <c r="B10" s="2"/>
      <c r="C10" s="13">
        <f>-C12-C13+C15-C16-C17+C18+C19-C20-C21</f>
        <v>-18230.76430397997</v>
      </c>
      <c r="D10" s="13">
        <f t="shared" ref="D10:G10" si="4">-D12-D13+D15-D16-D17+D18+D19-D20-D21</f>
        <v>-16756.23678184969</v>
      </c>
      <c r="E10" s="13">
        <f t="shared" si="4"/>
        <v>-16416.027096322305</v>
      </c>
      <c r="F10" s="13">
        <f t="shared" si="4"/>
        <v>-18070.097003696366</v>
      </c>
      <c r="G10" s="13">
        <f t="shared" si="4"/>
        <v>-16747.190362188045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25">
      <c r="A11" s="4" t="s">
        <v>169</v>
      </c>
      <c r="B11" s="2"/>
      <c r="C11" s="4"/>
      <c r="D11" s="4"/>
      <c r="E11" s="4"/>
      <c r="F11" s="4"/>
      <c r="G11" s="4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x14ac:dyDescent="0.25">
      <c r="A12" s="15" t="s">
        <v>170</v>
      </c>
      <c r="B12" s="2"/>
      <c r="C12" s="93">
        <f>'Premissas SaintL'!D36</f>
        <v>12630</v>
      </c>
      <c r="D12" s="93">
        <f>C26</f>
        <v>10467.069665561829</v>
      </c>
      <c r="E12" s="93">
        <f>D26</f>
        <v>10013.956345412205</v>
      </c>
      <c r="F12" s="93">
        <f t="shared" ref="F12" si="5">E26</f>
        <v>8977.153811303906</v>
      </c>
      <c r="G12" s="93">
        <f>F26</f>
        <v>9751.6728784299594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15" t="s">
        <v>171</v>
      </c>
      <c r="B13" s="2"/>
      <c r="C13" s="95">
        <f>C12*'Premissas SaintL'!H10</f>
        <v>2083.9500000000003</v>
      </c>
      <c r="D13" s="95">
        <f>D12*'Premissas SaintL'!I10</f>
        <v>1727.0664948177018</v>
      </c>
      <c r="E13" s="95">
        <f>E12*'Premissas SaintL'!J10</f>
        <v>1351.8841066306479</v>
      </c>
      <c r="F13" s="95">
        <f>F12*'Premissas SaintL'!K10</f>
        <v>1346.5730716955859</v>
      </c>
      <c r="G13" s="95">
        <f>G12*'Premissas SaintL'!L10</f>
        <v>1609.0260249409434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s="6" t="s">
        <v>36</v>
      </c>
      <c r="B14" s="2"/>
      <c r="C14" s="6"/>
      <c r="D14" s="6"/>
      <c r="E14" s="6"/>
      <c r="F14" s="6"/>
      <c r="G14" s="6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5" x14ac:dyDescent="0.25">
      <c r="A15" s="15" t="s">
        <v>172</v>
      </c>
      <c r="B15" s="2"/>
      <c r="C15" s="93">
        <f>'Rec-Desp-Fin'!C95</f>
        <v>2000</v>
      </c>
      <c r="D15" s="93">
        <f>'Rec-Desp-Fin'!D95</f>
        <v>2000</v>
      </c>
      <c r="E15" s="93">
        <f>'Rec-Desp-Fin'!E95</f>
        <v>2000</v>
      </c>
      <c r="F15" s="93">
        <f>'Rec-Desp-Fin'!F95</f>
        <v>0</v>
      </c>
      <c r="G15" s="93">
        <f>'Rec-Desp-Fin'!G95</f>
        <v>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5" ht="30" x14ac:dyDescent="0.25">
      <c r="A16" s="56" t="s">
        <v>173</v>
      </c>
      <c r="B16" s="2"/>
      <c r="C16" s="94">
        <f>'Rec-Desp-Fin'!C72</f>
        <v>2450</v>
      </c>
      <c r="D16" s="94">
        <f>'Rec-Desp-Fin'!D72</f>
        <v>2450</v>
      </c>
      <c r="E16" s="94">
        <f>'Rec-Desp-Fin'!E72</f>
        <v>2450</v>
      </c>
      <c r="F16" s="94">
        <f>'Rec-Desp-Fin'!F72</f>
        <v>2450</v>
      </c>
      <c r="G16" s="94">
        <f>'Rec-Desp-Fin'!G72</f>
        <v>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5" ht="30" x14ac:dyDescent="0.25">
      <c r="A17" s="56" t="s">
        <v>174</v>
      </c>
      <c r="B17" s="2"/>
      <c r="C17" s="92">
        <f>'Rec-Desp-Fin'!C69+'Rec-Desp-Fin'!C76</f>
        <v>1274</v>
      </c>
      <c r="D17" s="92">
        <f>'Rec-Desp-Fin'!D69+'Rec-Desp-Fin'!D76+'Rec-Desp-Fin'!D94</f>
        <v>1275.5</v>
      </c>
      <c r="E17" s="92">
        <f>'Rec-Desp-Fin'!E69+'Rec-Desp-Fin'!E76+'Rec-Desp-Fin'!E94</f>
        <v>1277</v>
      </c>
      <c r="F17" s="92">
        <f>'Rec-Desp-Fin'!F69+'Rec-Desp-Fin'!F76+'Rec-Desp-Fin'!F94</f>
        <v>1278.5</v>
      </c>
      <c r="G17" s="92">
        <f>'Rec-Desp-Fin'!G69+'Rec-Desp-Fin'!G76+'Rec-Desp-Fin'!G94</f>
        <v>960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5" x14ac:dyDescent="0.25">
      <c r="A18" s="15" t="s">
        <v>175</v>
      </c>
      <c r="B18" s="2"/>
      <c r="C18" s="182">
        <f>'Premissas SaintL'!D21*'Premissas SaintL'!H8</f>
        <v>145.53</v>
      </c>
      <c r="D18" s="95">
        <f>C32*'Premissas SaintL'!I8</f>
        <v>0</v>
      </c>
      <c r="E18" s="95">
        <f>D32*'Premissas SaintL'!J8</f>
        <v>0</v>
      </c>
      <c r="F18" s="95">
        <f>E32*'Premissas SaintL'!K8</f>
        <v>0</v>
      </c>
      <c r="G18" s="95">
        <f>F32*'Premissas SaintL'!L8</f>
        <v>0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5" x14ac:dyDescent="0.25">
      <c r="A19" s="15" t="s">
        <v>176</v>
      </c>
      <c r="B19" s="2"/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5" x14ac:dyDescent="0.25">
      <c r="A20" s="15" t="s">
        <v>177</v>
      </c>
      <c r="B20" s="2"/>
      <c r="C20" s="93">
        <f>'Premissas SaintL'!$G$54*'DFC-DRE'!B48</f>
        <v>162.75</v>
      </c>
      <c r="D20" s="93">
        <f>'Premissas SaintL'!$G$54*'DFC-DRE'!C48</f>
        <v>861.68547104910431</v>
      </c>
      <c r="E20" s="93">
        <f>'Premissas SaintL'!$G$54*'DFC-DRE'!D48</f>
        <v>958.41470535139399</v>
      </c>
      <c r="F20" s="93">
        <f>'Premissas SaintL'!$G$54*'DFC-DRE'!E48</f>
        <v>1147.6099115386169</v>
      </c>
      <c r="G20" s="93">
        <f>'Premissas SaintL'!$G$54*'DFC-DRE'!F48</f>
        <v>1392.9203956209194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5" x14ac:dyDescent="0.25">
      <c r="A21" s="47" t="s">
        <v>178</v>
      </c>
      <c r="B21" s="2"/>
      <c r="C21" s="96">
        <f>C47</f>
        <v>1775.5943039799729</v>
      </c>
      <c r="D21" s="96">
        <f>D47</f>
        <v>1974.9151504210545</v>
      </c>
      <c r="E21" s="96">
        <f t="shared" ref="E21:F21" si="6">E47</f>
        <v>2364.7719389280587</v>
      </c>
      <c r="F21" s="96">
        <f t="shared" si="6"/>
        <v>2870.260209158258</v>
      </c>
      <c r="G21" s="96">
        <f>G47</f>
        <v>3033.571063196222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A23" s="7" t="s">
        <v>179</v>
      </c>
      <c r="B23" s="2"/>
      <c r="C23" s="48">
        <f>C6-C7+C10</f>
        <v>-11790.069665561829</v>
      </c>
      <c r="D23" s="48">
        <f t="shared" ref="D23:G23" si="7">D6-D7+D10</f>
        <v>-10013.956345412205</v>
      </c>
      <c r="E23" s="48">
        <f t="shared" si="7"/>
        <v>-8977.153811303906</v>
      </c>
      <c r="F23" s="48">
        <f t="shared" si="7"/>
        <v>-9751.6728784299594</v>
      </c>
      <c r="G23" s="48">
        <f t="shared" si="7"/>
        <v>-5224.1493164599451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30" x14ac:dyDescent="0.25">
      <c r="A24" s="183" t="s">
        <v>180</v>
      </c>
      <c r="B24" s="2"/>
      <c r="C24" s="12">
        <f>'Premissas SaintL'!D21</f>
        <v>1323</v>
      </c>
      <c r="D24" s="12">
        <f>C32</f>
        <v>0</v>
      </c>
      <c r="E24" s="12">
        <f t="shared" ref="E24:G24" si="8">D32</f>
        <v>0</v>
      </c>
      <c r="F24" s="12">
        <f t="shared" si="8"/>
        <v>0</v>
      </c>
      <c r="G24" s="12">
        <f t="shared" si="8"/>
        <v>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A25" s="6" t="s">
        <v>181</v>
      </c>
      <c r="B25" s="2"/>
      <c r="C25" s="95">
        <f>C23+C24</f>
        <v>-10467.069665561829</v>
      </c>
      <c r="D25" s="95">
        <f t="shared" ref="D25:F25" si="9">D23+D24</f>
        <v>-10013.956345412205</v>
      </c>
      <c r="E25" s="95">
        <f t="shared" si="9"/>
        <v>-8977.153811303906</v>
      </c>
      <c r="F25" s="95">
        <f t="shared" si="9"/>
        <v>-9751.6728784299594</v>
      </c>
      <c r="G25" s="95">
        <f>G23+G24</f>
        <v>-5224.1493164599451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A26" s="15" t="s">
        <v>182</v>
      </c>
      <c r="B26" s="2"/>
      <c r="C26" s="95">
        <f>-C25</f>
        <v>10467.069665561829</v>
      </c>
      <c r="D26" s="95">
        <f t="shared" ref="D26:G26" si="10">-D25</f>
        <v>10013.956345412205</v>
      </c>
      <c r="E26" s="95">
        <f t="shared" si="10"/>
        <v>8977.153811303906</v>
      </c>
      <c r="F26" s="95">
        <f t="shared" si="10"/>
        <v>9751.6728784299594</v>
      </c>
      <c r="G26" s="95">
        <f t="shared" si="10"/>
        <v>5224.1493164599451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A27" s="5" t="s">
        <v>183</v>
      </c>
      <c r="B27" s="2"/>
      <c r="C27" s="96">
        <f>C25+C26</f>
        <v>0</v>
      </c>
      <c r="D27" s="96">
        <f t="shared" ref="D27:G27" si="11">D25+D26</f>
        <v>0</v>
      </c>
      <c r="E27" s="96">
        <f t="shared" si="11"/>
        <v>0</v>
      </c>
      <c r="F27" s="96">
        <f t="shared" si="11"/>
        <v>0</v>
      </c>
      <c r="G27" s="96">
        <f t="shared" si="11"/>
        <v>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A29" s="4" t="s">
        <v>184</v>
      </c>
      <c r="B29" s="2"/>
      <c r="C29" s="11">
        <f>'Premissas SaintL'!D21</f>
        <v>1323</v>
      </c>
      <c r="D29" s="13">
        <f>C32</f>
        <v>0</v>
      </c>
      <c r="E29" s="13">
        <f t="shared" ref="E29:G29" si="12">D32</f>
        <v>0</v>
      </c>
      <c r="F29" s="13">
        <f t="shared" si="12"/>
        <v>0</v>
      </c>
      <c r="G29" s="13">
        <f t="shared" si="12"/>
        <v>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5">
      <c r="A30" s="15" t="s">
        <v>185</v>
      </c>
      <c r="B30" s="2"/>
      <c r="C30" s="12">
        <f>C24</f>
        <v>1323</v>
      </c>
      <c r="D30" s="12">
        <f t="shared" ref="D30:G30" si="13">D24</f>
        <v>0</v>
      </c>
      <c r="E30" s="12">
        <f t="shared" si="13"/>
        <v>0</v>
      </c>
      <c r="F30" s="12">
        <f t="shared" si="13"/>
        <v>0</v>
      </c>
      <c r="G30" s="12">
        <f t="shared" si="13"/>
        <v>0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5">
      <c r="A31" s="15" t="s">
        <v>186</v>
      </c>
      <c r="B31" s="2"/>
      <c r="C31" s="93">
        <f>C27</f>
        <v>0</v>
      </c>
      <c r="D31" s="93">
        <f t="shared" ref="D31:G31" si="14">D27</f>
        <v>0</v>
      </c>
      <c r="E31" s="93">
        <f t="shared" si="14"/>
        <v>0</v>
      </c>
      <c r="F31" s="93">
        <f t="shared" si="14"/>
        <v>0</v>
      </c>
      <c r="G31" s="93">
        <f t="shared" si="14"/>
        <v>0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25">
      <c r="A32" s="5" t="s">
        <v>187</v>
      </c>
      <c r="B32" s="2"/>
      <c r="C32" s="91">
        <f>C29-C30+C31</f>
        <v>0</v>
      </c>
      <c r="D32" s="91">
        <f t="shared" ref="D32:G32" si="15">D29-D30+D31</f>
        <v>0</v>
      </c>
      <c r="E32" s="91">
        <f t="shared" si="15"/>
        <v>0</v>
      </c>
      <c r="F32" s="91">
        <f t="shared" si="15"/>
        <v>0</v>
      </c>
      <c r="G32" s="91">
        <f t="shared" si="15"/>
        <v>0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25">
      <c r="A34" s="1" t="s">
        <v>188</v>
      </c>
      <c r="B34" s="3" t="s">
        <v>52</v>
      </c>
      <c r="C34" s="1" t="s">
        <v>53</v>
      </c>
      <c r="D34" s="1" t="s">
        <v>54</v>
      </c>
      <c r="E34" s="1" t="s">
        <v>55</v>
      </c>
      <c r="F34" s="1" t="s">
        <v>56</v>
      </c>
      <c r="G34" s="1" t="s">
        <v>57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A35" s="4" t="s">
        <v>4</v>
      </c>
      <c r="B35" s="11">
        <f>'Premissas SaintL'!D4</f>
        <v>94662</v>
      </c>
      <c r="C35" s="13">
        <f>'Rec-Desp-Fin'!C12</f>
        <v>98856.576000000001</v>
      </c>
      <c r="D35" s="13">
        <f>'Rec-Desp-Fin'!D12</f>
        <v>103305.12192000001</v>
      </c>
      <c r="E35" s="13">
        <f>'Rec-Desp-Fin'!E12</f>
        <v>107953.85240639999</v>
      </c>
      <c r="F35" s="13">
        <f>'Rec-Desp-Fin'!F12</f>
        <v>120291.43553855999</v>
      </c>
      <c r="G35" s="13">
        <f>'Rec-Desp-Fin'!G12</f>
        <v>125103.0929601024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A36" s="5" t="s">
        <v>189</v>
      </c>
      <c r="B36" s="11">
        <f>'Premissas SaintL'!D5</f>
        <v>12117</v>
      </c>
      <c r="C36" s="13">
        <f>'Premissas SaintL'!$G$16*C35</f>
        <v>12653.641728000001</v>
      </c>
      <c r="D36" s="13">
        <f>'Premissas SaintL'!$G$16*D35</f>
        <v>13223.055605760001</v>
      </c>
      <c r="E36" s="13">
        <f>'Premissas SaintL'!$G$16*E35</f>
        <v>13818.0931080192</v>
      </c>
      <c r="F36" s="13">
        <f>'Premissas SaintL'!$G$16*F35</f>
        <v>15397.303748935679</v>
      </c>
      <c r="G36" s="13">
        <f>'Premissas SaintL'!$G$16*G35</f>
        <v>16013.195898893107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A37" s="4" t="s">
        <v>190</v>
      </c>
      <c r="B37" s="11">
        <f>'Premissas SaintL'!D6</f>
        <v>82545</v>
      </c>
      <c r="C37" s="48">
        <f>C35-C36</f>
        <v>86202.934271999999</v>
      </c>
      <c r="D37" s="48">
        <f t="shared" ref="D37:G37" si="16">D35-D36</f>
        <v>90082.066314240001</v>
      </c>
      <c r="E37" s="48">
        <f t="shared" si="16"/>
        <v>94135.759298380799</v>
      </c>
      <c r="F37" s="48">
        <f t="shared" si="16"/>
        <v>104894.13178962431</v>
      </c>
      <c r="G37" s="48">
        <f t="shared" si="16"/>
        <v>109089.89706120928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A38" s="5" t="s">
        <v>191</v>
      </c>
      <c r="B38" s="11">
        <f>'Premissas SaintL'!D7</f>
        <v>70223</v>
      </c>
      <c r="C38" s="13">
        <f>'Rec-Desp-Fin'!C40</f>
        <v>73911.592381789</v>
      </c>
      <c r="D38" s="13">
        <f>'Rec-Desp-Fin'!D40</f>
        <v>77240.475813969504</v>
      </c>
      <c r="E38" s="13">
        <f>'Rec-Desp-Fin'!E40</f>
        <v>80346.638646528285</v>
      </c>
      <c r="F38" s="13">
        <f>'Rec-Desp-Fin'!F40</f>
        <v>89273.217731845813</v>
      </c>
      <c r="G38" s="13">
        <f>'Rec-Desp-Fin'!G40</f>
        <v>92860.707881119655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A39" s="4" t="s">
        <v>8</v>
      </c>
      <c r="B39" s="11">
        <f>'Premissas SaintL'!D8</f>
        <v>12322</v>
      </c>
      <c r="C39" s="48">
        <f>C37-C38</f>
        <v>12291.341890210999</v>
      </c>
      <c r="D39" s="48">
        <f t="shared" ref="D39:G39" si="17">D37-D38</f>
        <v>12841.590500270497</v>
      </c>
      <c r="E39" s="48">
        <f t="shared" si="17"/>
        <v>13789.120651852514</v>
      </c>
      <c r="F39" s="48">
        <f t="shared" si="17"/>
        <v>15620.9140577785</v>
      </c>
      <c r="G39" s="48">
        <f t="shared" si="17"/>
        <v>16229.189180089626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A40" s="6" t="s">
        <v>192</v>
      </c>
      <c r="B40" s="11">
        <f>'Rec-Desp-Fin'!B42</f>
        <v>324</v>
      </c>
      <c r="C40" s="13">
        <f>'Rec-Desp-Fin'!C42</f>
        <v>304.04500000000002</v>
      </c>
      <c r="D40" s="13">
        <f>'Rec-Desp-Fin'!D42</f>
        <v>318.04500000000007</v>
      </c>
      <c r="E40" s="13">
        <f>'Rec-Desp-Fin'!E42</f>
        <v>332.60500000000002</v>
      </c>
      <c r="F40" s="13">
        <f>'Rec-Desp-Fin'!F42</f>
        <v>347.74600000000009</v>
      </c>
      <c r="G40" s="13">
        <f>'Rec-Desp-Fin'!G42</f>
        <v>363.49600000000009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A41" s="6" t="s">
        <v>10</v>
      </c>
      <c r="B41" s="11">
        <f>'Premissas SaintL'!D10</f>
        <v>1449</v>
      </c>
      <c r="C41" s="13">
        <f>'Rec-Desp-Fin'!C49</f>
        <v>1348</v>
      </c>
      <c r="D41" s="13">
        <f>'Rec-Desp-Fin'!D49</f>
        <v>1408.6599999999999</v>
      </c>
      <c r="E41" s="13">
        <f>'Rec-Desp-Fin'!E49</f>
        <v>1465.0064</v>
      </c>
      <c r="F41" s="13">
        <f>'Rec-Desp-Fin'!F49</f>
        <v>1523.6066559999999</v>
      </c>
      <c r="G41" s="13">
        <f>'Rec-Desp-Fin'!G49</f>
        <v>1584.5509222400001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A42" s="5" t="s">
        <v>11</v>
      </c>
      <c r="B42" s="11">
        <f>'Premissas SaintL'!D11</f>
        <v>2111</v>
      </c>
      <c r="C42" s="13">
        <f>'Rec-Desp-Fin'!C53</f>
        <v>2204.5407020346074</v>
      </c>
      <c r="D42" s="13">
        <f>'Rec-Desp-Fin'!D53</f>
        <v>2303.7450336261645</v>
      </c>
      <c r="E42" s="13">
        <f>'Rec-Desp-Fin'!E53</f>
        <v>2407.4135601393418</v>
      </c>
      <c r="F42" s="13">
        <f>'Rec-Desp-Fin'!F53</f>
        <v>2682.5465384409808</v>
      </c>
      <c r="G42" s="13">
        <f>'Rec-Desp-Fin'!G53</f>
        <v>2789.8483999786204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A43" s="4" t="s">
        <v>193</v>
      </c>
      <c r="B43" s="11">
        <f>B39-B40-B41-B42</f>
        <v>8438</v>
      </c>
      <c r="C43" s="48">
        <f>C39-C40-C41-C42</f>
        <v>8434.7561881763904</v>
      </c>
      <c r="D43" s="48">
        <f>D39-D40-D41-D42</f>
        <v>8811.1404666443323</v>
      </c>
      <c r="E43" s="48">
        <f t="shared" ref="E43:G43" si="18">E39-E40-E41-E42</f>
        <v>9584.0956917131734</v>
      </c>
      <c r="F43" s="48">
        <f t="shared" si="18"/>
        <v>11067.014863337521</v>
      </c>
      <c r="G43" s="48">
        <f t="shared" si="18"/>
        <v>11491.293857871007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A44" s="6" t="s">
        <v>13</v>
      </c>
      <c r="B44" s="11">
        <f>'Premissas SaintL'!D13</f>
        <v>131</v>
      </c>
      <c r="C44" s="48">
        <f>C18</f>
        <v>145.53</v>
      </c>
      <c r="D44" s="48">
        <f t="shared" ref="D44:G44" si="19">D18</f>
        <v>0</v>
      </c>
      <c r="E44" s="48">
        <f t="shared" si="19"/>
        <v>0</v>
      </c>
      <c r="F44" s="48">
        <f t="shared" si="19"/>
        <v>0</v>
      </c>
      <c r="G44" s="48">
        <f t="shared" si="19"/>
        <v>0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A45" s="5" t="s">
        <v>194</v>
      </c>
      <c r="B45" s="11">
        <f>'Premissas SaintL'!D14</f>
        <v>7678</v>
      </c>
      <c r="C45" s="13">
        <f>C13+C17</f>
        <v>3357.9500000000003</v>
      </c>
      <c r="D45" s="13">
        <f t="shared" ref="D45:F45" si="20">D13+D17</f>
        <v>3002.5664948177018</v>
      </c>
      <c r="E45" s="13">
        <f>E13+E17</f>
        <v>2628.8841066306477</v>
      </c>
      <c r="F45" s="13">
        <f t="shared" si="20"/>
        <v>2625.0730716955859</v>
      </c>
      <c r="G45" s="13">
        <f>G13+G17</f>
        <v>2569.0260249409434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A46" s="4" t="s">
        <v>195</v>
      </c>
      <c r="B46" s="11">
        <f>B43+B44-B45</f>
        <v>891</v>
      </c>
      <c r="C46" s="48">
        <f>C43+C44-C45</f>
        <v>5222.3361881763904</v>
      </c>
      <c r="D46" s="48">
        <f t="shared" ref="D46:G46" si="21">D43+D44-D45</f>
        <v>5808.5739718266304</v>
      </c>
      <c r="E46" s="48">
        <f t="shared" si="21"/>
        <v>6955.2115850825257</v>
      </c>
      <c r="F46" s="48">
        <f t="shared" si="21"/>
        <v>8441.9417916419352</v>
      </c>
      <c r="G46" s="48">
        <f t="shared" si="21"/>
        <v>8922.2678329300634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A47" s="5" t="s">
        <v>196</v>
      </c>
      <c r="B47" s="11">
        <f>'Premissas SaintL'!D16</f>
        <v>240</v>
      </c>
      <c r="C47" s="13">
        <f>'Premissas SaintL'!$H$61*'DFC-DRE'!C46</f>
        <v>1775.5943039799729</v>
      </c>
      <c r="D47" s="13">
        <f>'Premissas SaintL'!$H$61*'DFC-DRE'!D46</f>
        <v>1974.9151504210545</v>
      </c>
      <c r="E47" s="13">
        <f>'Premissas SaintL'!$H$61*'DFC-DRE'!E46</f>
        <v>2364.7719389280587</v>
      </c>
      <c r="F47" s="13">
        <f>'Premissas SaintL'!$H$61*'DFC-DRE'!F46</f>
        <v>2870.260209158258</v>
      </c>
      <c r="G47" s="13">
        <f>'Premissas SaintL'!$H$61*'DFC-DRE'!G46</f>
        <v>3033.571063196222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A48" s="7" t="s">
        <v>197</v>
      </c>
      <c r="B48" s="11">
        <f>B46-B47</f>
        <v>651</v>
      </c>
      <c r="C48" s="48">
        <f>C46-C47</f>
        <v>3446.7418841964172</v>
      </c>
      <c r="D48" s="48">
        <f t="shared" ref="D48:G48" si="22">D46-D47</f>
        <v>3833.658821405576</v>
      </c>
      <c r="E48" s="48">
        <f t="shared" si="22"/>
        <v>4590.4396461544675</v>
      </c>
      <c r="F48" s="48">
        <f t="shared" si="22"/>
        <v>5571.6815824836776</v>
      </c>
      <c r="G48" s="48">
        <f t="shared" si="22"/>
        <v>5888.6967697338414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25">
      <c r="A50" s="2"/>
      <c r="B50" s="2"/>
      <c r="C50" s="83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x14ac:dyDescent="0.25">
      <c r="A599" s="2"/>
      <c r="B599" s="2"/>
      <c r="C599" s="2"/>
      <c r="D599" s="2"/>
      <c r="E599" s="2"/>
      <c r="F599" s="2"/>
      <c r="G599" s="2"/>
      <c r="H599" s="2"/>
      <c r="I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56"/>
  <sheetViews>
    <sheetView topLeftCell="A11" workbookViewId="0">
      <selection activeCell="K15" sqref="K15"/>
    </sheetView>
  </sheetViews>
  <sheetFormatPr defaultRowHeight="15" x14ac:dyDescent="0.25"/>
  <cols>
    <col min="1" max="1" width="40.5703125" bestFit="1" customWidth="1"/>
    <col min="2" max="7" width="10.5703125" bestFit="1" customWidth="1"/>
    <col min="9" max="9" width="56.140625" bestFit="1" customWidth="1"/>
    <col min="10" max="10" width="9.140625" customWidth="1"/>
    <col min="11" max="12" width="9.5703125" bestFit="1" customWidth="1"/>
    <col min="13" max="14" width="10.5703125" bestFit="1" customWidth="1"/>
    <col min="15" max="15" width="9.140625" customWidth="1"/>
  </cols>
  <sheetData>
    <row r="1" spans="1:21" x14ac:dyDescent="0.25">
      <c r="A1" s="1" t="s">
        <v>198</v>
      </c>
      <c r="B1" s="1" t="s">
        <v>52</v>
      </c>
      <c r="C1" s="1" t="s">
        <v>53</v>
      </c>
      <c r="D1" s="1" t="s">
        <v>54</v>
      </c>
      <c r="E1" s="1" t="s">
        <v>55</v>
      </c>
      <c r="F1" s="1" t="s">
        <v>56</v>
      </c>
      <c r="G1" s="1" t="s">
        <v>57</v>
      </c>
      <c r="H1" s="2"/>
      <c r="I1" s="2" t="s">
        <v>204</v>
      </c>
      <c r="J1" s="2"/>
      <c r="K1" s="3" t="s">
        <v>254</v>
      </c>
      <c r="L1" s="3" t="s">
        <v>254</v>
      </c>
      <c r="M1" s="3" t="s">
        <v>254</v>
      </c>
      <c r="N1" s="3" t="s">
        <v>254</v>
      </c>
      <c r="O1" s="3" t="s">
        <v>254</v>
      </c>
      <c r="P1" s="2"/>
      <c r="Q1" s="2"/>
      <c r="R1" s="2"/>
      <c r="S1" s="2"/>
      <c r="T1" s="2"/>
      <c r="U1" s="2"/>
    </row>
    <row r="2" spans="1:21" x14ac:dyDescent="0.25">
      <c r="A2" s="2"/>
      <c r="B2" s="2"/>
      <c r="C2" s="2"/>
      <c r="D2" s="2"/>
      <c r="E2" s="2"/>
      <c r="F2" s="2"/>
      <c r="G2" s="2"/>
      <c r="H2" s="2"/>
      <c r="I2" s="2"/>
      <c r="J2" s="3" t="s">
        <v>52</v>
      </c>
      <c r="K2" s="3">
        <v>1</v>
      </c>
      <c r="L2" s="3">
        <v>2</v>
      </c>
      <c r="M2" s="3">
        <v>3</v>
      </c>
      <c r="N2" s="3">
        <v>4</v>
      </c>
      <c r="O2" s="3">
        <v>5</v>
      </c>
      <c r="P2" s="2"/>
      <c r="Q2" s="2"/>
      <c r="R2" s="2"/>
      <c r="S2" s="2"/>
      <c r="T2" s="2"/>
      <c r="U2" s="2"/>
    </row>
    <row r="3" spans="1:21" x14ac:dyDescent="0.25">
      <c r="A3" s="1" t="s">
        <v>18</v>
      </c>
      <c r="B3" s="2"/>
      <c r="C3" s="2"/>
      <c r="D3" s="2"/>
      <c r="E3" s="2"/>
      <c r="F3" s="2"/>
      <c r="G3" s="2"/>
      <c r="H3" s="2"/>
      <c r="I3" s="2" t="s">
        <v>205</v>
      </c>
      <c r="J3" s="61">
        <v>0.34</v>
      </c>
      <c r="K3" s="61">
        <v>0.34</v>
      </c>
      <c r="L3" s="61">
        <v>0.34</v>
      </c>
      <c r="M3" s="61">
        <v>0.34</v>
      </c>
      <c r="N3" s="61">
        <v>0.34</v>
      </c>
      <c r="O3" s="61">
        <v>0.34</v>
      </c>
      <c r="P3" s="2"/>
      <c r="Q3" s="2"/>
      <c r="R3" s="2"/>
      <c r="S3" s="2"/>
      <c r="T3" s="2"/>
      <c r="U3" s="2"/>
    </row>
    <row r="4" spans="1:21" x14ac:dyDescent="0.25">
      <c r="A4" s="7" t="s">
        <v>19</v>
      </c>
      <c r="C4" s="70"/>
      <c r="D4" s="70"/>
      <c r="E4" s="70"/>
      <c r="F4" s="70"/>
      <c r="G4" s="70"/>
      <c r="H4" s="2"/>
      <c r="I4" s="58" t="s">
        <v>206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s="6" t="s">
        <v>20</v>
      </c>
      <c r="B5" s="11">
        <f>'Premissas SaintL'!D21</f>
        <v>1323</v>
      </c>
      <c r="C5" s="13">
        <f>'DFC-DRE'!C32</f>
        <v>0</v>
      </c>
      <c r="D5" s="13">
        <f>'DFC-DRE'!D32</f>
        <v>0</v>
      </c>
      <c r="E5" s="13">
        <f>'DFC-DRE'!E32</f>
        <v>0</v>
      </c>
      <c r="F5" s="13">
        <f>'DFC-DRE'!F32</f>
        <v>0</v>
      </c>
      <c r="G5" s="13">
        <f>'DFC-DRE'!G32</f>
        <v>0</v>
      </c>
      <c r="H5" s="2"/>
      <c r="I5" s="2" t="s">
        <v>97</v>
      </c>
      <c r="J5" s="2"/>
      <c r="K5" s="60">
        <f>'Premissas SaintL'!$G$56</f>
        <v>2.9499999999999998E-2</v>
      </c>
      <c r="L5" s="60">
        <f>'Premissas SaintL'!$G$56</f>
        <v>2.9499999999999998E-2</v>
      </c>
      <c r="M5" s="60">
        <f>'Premissas SaintL'!$G$56</f>
        <v>2.9499999999999998E-2</v>
      </c>
      <c r="N5" s="60">
        <f>'Premissas SaintL'!$G$56</f>
        <v>2.9499999999999998E-2</v>
      </c>
      <c r="O5" s="60">
        <f>'Premissas SaintL'!$G$56</f>
        <v>2.9499999999999998E-2</v>
      </c>
      <c r="P5" s="2"/>
      <c r="Q5" s="2"/>
      <c r="R5" s="2"/>
      <c r="S5" s="2"/>
      <c r="T5" s="2"/>
      <c r="U5" s="2"/>
    </row>
    <row r="6" spans="1:21" x14ac:dyDescent="0.25">
      <c r="A6" s="6" t="s">
        <v>21</v>
      </c>
      <c r="B6" s="11">
        <f>'Premissas SaintL'!D22</f>
        <v>6926</v>
      </c>
      <c r="C6" s="13">
        <f>'Rec-Desp-Fin'!C56</f>
        <v>7232.8985799581669</v>
      </c>
      <c r="D6" s="13">
        <f>'Rec-Desp-Fin'!D56</f>
        <v>7558.3790160562858</v>
      </c>
      <c r="E6" s="13">
        <f>'Rec-Desp-Fin'!E56</f>
        <v>7898.5060717788174</v>
      </c>
      <c r="F6" s="13">
        <f>'Rec-Desp-Fin'!F56</f>
        <v>8801.1924799821099</v>
      </c>
      <c r="G6" s="13">
        <f>'Rec-Desp-Fin'!G56</f>
        <v>9153.2401791813954</v>
      </c>
      <c r="H6" s="2"/>
      <c r="I6" s="2" t="s">
        <v>207</v>
      </c>
      <c r="J6" s="2"/>
      <c r="K6" s="60">
        <f>'Premissas SaintL'!$G$57</f>
        <v>0.03</v>
      </c>
      <c r="L6" s="60">
        <f>'Premissas SaintL'!$G$57</f>
        <v>0.03</v>
      </c>
      <c r="M6" s="60">
        <f>'Premissas SaintL'!$G$57</f>
        <v>0.03</v>
      </c>
      <c r="N6" s="60">
        <f>'Premissas SaintL'!$G$57</f>
        <v>0.03</v>
      </c>
      <c r="O6" s="60">
        <f>'Premissas SaintL'!$G$57</f>
        <v>0.03</v>
      </c>
      <c r="P6" s="2"/>
      <c r="Q6" s="2"/>
      <c r="R6" s="2"/>
      <c r="S6" s="2"/>
      <c r="T6" s="2"/>
      <c r="U6" s="2"/>
    </row>
    <row r="7" spans="1:21" x14ac:dyDescent="0.25">
      <c r="A7" s="6" t="s">
        <v>22</v>
      </c>
      <c r="B7" s="11">
        <f>'Premissas SaintL'!D23</f>
        <v>5785</v>
      </c>
      <c r="C7" s="13">
        <f>'Rec-Desp-Fin'!C57</f>
        <v>6088.8677773471563</v>
      </c>
      <c r="D7" s="13">
        <f>'Rec-Desp-Fin'!D57</f>
        <v>6363.1025815447019</v>
      </c>
      <c r="E7" s="13">
        <f>'Rec-Desp-Fin'!E57</f>
        <v>6618.9895699438366</v>
      </c>
      <c r="F7" s="13">
        <f>'Rec-Desp-Fin'!F57</f>
        <v>7354.3648744532129</v>
      </c>
      <c r="G7" s="13">
        <f>'Rec-Desp-Fin'!G57</f>
        <v>7649.9038077592413</v>
      </c>
      <c r="H7" s="2"/>
      <c r="I7" s="2" t="s">
        <v>99</v>
      </c>
      <c r="J7" s="2"/>
      <c r="K7" s="60">
        <f>'Premissas SaintL'!$G$58</f>
        <v>5.5E-2</v>
      </c>
      <c r="L7" s="60">
        <f>'Premissas SaintL'!$G$58</f>
        <v>5.5E-2</v>
      </c>
      <c r="M7" s="60">
        <f>'Premissas SaintL'!$G$58</f>
        <v>5.5E-2</v>
      </c>
      <c r="N7" s="60">
        <f>'Premissas SaintL'!$G$58</f>
        <v>5.5E-2</v>
      </c>
      <c r="O7" s="60">
        <f>'Premissas SaintL'!$G$58</f>
        <v>5.5E-2</v>
      </c>
      <c r="P7" s="2"/>
      <c r="Q7" s="2"/>
      <c r="R7" s="2"/>
      <c r="S7" s="2"/>
      <c r="T7" s="2"/>
      <c r="U7" s="2"/>
    </row>
    <row r="8" spans="1:21" x14ac:dyDescent="0.25">
      <c r="A8" s="6" t="s">
        <v>199</v>
      </c>
      <c r="B8" s="11">
        <f>'Premissas SaintL'!D24</f>
        <v>1046</v>
      </c>
      <c r="C8" s="13">
        <f>'Rec-Desp-Fin'!C58</f>
        <v>1046</v>
      </c>
      <c r="D8" s="13">
        <f>'Rec-Desp-Fin'!D58</f>
        <v>1046</v>
      </c>
      <c r="E8" s="13">
        <f>'Rec-Desp-Fin'!E58</f>
        <v>1046</v>
      </c>
      <c r="F8" s="13">
        <f>'Rec-Desp-Fin'!F58</f>
        <v>1046</v>
      </c>
      <c r="G8" s="13">
        <f>'Rec-Desp-Fin'!G58</f>
        <v>1046</v>
      </c>
      <c r="H8" s="2"/>
      <c r="I8" s="2" t="s">
        <v>208</v>
      </c>
      <c r="J8" s="2"/>
      <c r="K8" s="62">
        <f>'Premissas SaintL'!$G$59</f>
        <v>1.1000000000000001</v>
      </c>
      <c r="L8" s="62">
        <f>'Premissas SaintL'!$G$59</f>
        <v>1.1000000000000001</v>
      </c>
      <c r="M8" s="62">
        <f>'Premissas SaintL'!$G$59</f>
        <v>1.1000000000000001</v>
      </c>
      <c r="N8" s="62">
        <f>'Premissas SaintL'!$G$59</f>
        <v>1.1000000000000001</v>
      </c>
      <c r="O8" s="62">
        <f>'Premissas SaintL'!$G$59</f>
        <v>1.1000000000000001</v>
      </c>
      <c r="P8" s="2"/>
      <c r="Q8" s="2"/>
      <c r="R8" s="2"/>
      <c r="S8" s="2"/>
      <c r="T8" s="2"/>
      <c r="U8" s="2"/>
    </row>
    <row r="9" spans="1:21" x14ac:dyDescent="0.25">
      <c r="A9" s="5"/>
      <c r="B9" s="11">
        <f>'Premissas SaintL'!D25</f>
        <v>15080</v>
      </c>
      <c r="C9" s="13">
        <f>SUM(C5:C8)</f>
        <v>14367.766357305323</v>
      </c>
      <c r="D9" s="13">
        <f t="shared" ref="D9:G9" si="0">SUM(D5:D8)</f>
        <v>14967.481597600989</v>
      </c>
      <c r="E9" s="13">
        <f t="shared" si="0"/>
        <v>15563.495641722653</v>
      </c>
      <c r="F9" s="13">
        <f t="shared" si="0"/>
        <v>17201.557354435325</v>
      </c>
      <c r="G9" s="13">
        <f t="shared" si="0"/>
        <v>17849.143986940639</v>
      </c>
      <c r="H9" s="2"/>
      <c r="I9" s="2" t="s">
        <v>209</v>
      </c>
      <c r="J9" s="2"/>
      <c r="K9" s="63">
        <f>K5+K8*(K7+K6)</f>
        <v>0.123</v>
      </c>
      <c r="L9" s="63">
        <f t="shared" ref="L9:O9" si="1">L5+L8*(L7+L6)</f>
        <v>0.123</v>
      </c>
      <c r="M9" s="63">
        <f t="shared" si="1"/>
        <v>0.123</v>
      </c>
      <c r="N9" s="63">
        <f t="shared" si="1"/>
        <v>0.123</v>
      </c>
      <c r="O9" s="63">
        <f t="shared" si="1"/>
        <v>0.123</v>
      </c>
      <c r="P9" s="2"/>
      <c r="Q9" s="2"/>
      <c r="R9" s="2"/>
      <c r="S9" s="2"/>
      <c r="T9" s="2"/>
      <c r="U9" s="2"/>
    </row>
    <row r="10" spans="1:21" x14ac:dyDescent="0.25">
      <c r="A10" s="7" t="s">
        <v>24</v>
      </c>
      <c r="B10" s="2"/>
      <c r="C10" s="100"/>
      <c r="D10" s="2"/>
      <c r="E10" s="2"/>
      <c r="F10" s="2"/>
      <c r="G10" s="2"/>
      <c r="H10" s="2"/>
      <c r="I10" s="2" t="s">
        <v>210</v>
      </c>
      <c r="J10" s="2"/>
      <c r="K10" s="64">
        <f>'Premissas SaintL'!H6</f>
        <v>0.02</v>
      </c>
      <c r="L10" s="64">
        <f>'Premissas SaintL'!I6</f>
        <v>0.02</v>
      </c>
      <c r="M10" s="64">
        <f>'Premissas SaintL'!J6</f>
        <v>0.02</v>
      </c>
      <c r="N10" s="64">
        <f>'Premissas SaintL'!K6</f>
        <v>0.02</v>
      </c>
      <c r="O10" s="64">
        <f>'Premissas SaintL'!L6</f>
        <v>0.02</v>
      </c>
      <c r="P10" s="2"/>
      <c r="Q10" s="2"/>
      <c r="R10" s="2"/>
      <c r="S10" s="2"/>
      <c r="T10" s="2"/>
      <c r="U10" s="2"/>
    </row>
    <row r="11" spans="1:21" x14ac:dyDescent="0.25">
      <c r="A11" s="4" t="s">
        <v>25</v>
      </c>
      <c r="B11" s="2"/>
      <c r="C11" s="2"/>
      <c r="D11" s="2"/>
      <c r="E11" s="2"/>
      <c r="F11" s="2"/>
      <c r="G11" s="2"/>
      <c r="H11" s="2"/>
      <c r="I11" s="2" t="s">
        <v>211</v>
      </c>
      <c r="J11" s="2"/>
      <c r="K11" s="64">
        <f>'Premissas SaintL'!H5</f>
        <v>4.4999999999999998E-2</v>
      </c>
      <c r="L11" s="64">
        <f>'Premissas SaintL'!I5</f>
        <v>4.4999999999999998E-2</v>
      </c>
      <c r="M11" s="64">
        <f>'Premissas SaintL'!J5</f>
        <v>0.04</v>
      </c>
      <c r="N11" s="64">
        <f>'Premissas SaintL'!K5</f>
        <v>0.04</v>
      </c>
      <c r="O11" s="64">
        <f>'Premissas SaintL'!L5</f>
        <v>0.04</v>
      </c>
      <c r="P11" s="2"/>
      <c r="Q11" s="2"/>
      <c r="R11" s="2"/>
      <c r="S11" s="2"/>
      <c r="T11" s="2"/>
      <c r="U11" s="2"/>
    </row>
    <row r="12" spans="1:21" x14ac:dyDescent="0.25">
      <c r="A12" s="6" t="s">
        <v>200</v>
      </c>
      <c r="B12" s="97">
        <f>'Premissas SaintL'!D27</f>
        <v>43435</v>
      </c>
      <c r="C12" s="48">
        <f>B12+'Premissas SaintL'!G44</f>
        <v>45435</v>
      </c>
      <c r="D12" s="48">
        <f>C12+'Premissas SaintL'!H44</f>
        <v>47515</v>
      </c>
      <c r="E12" s="48">
        <f>D12+'Premissas SaintL'!I44</f>
        <v>49678</v>
      </c>
      <c r="F12" s="48">
        <f>E12+'Premissas SaintL'!J44</f>
        <v>51928</v>
      </c>
      <c r="G12" s="48">
        <f>F12+'Premissas SaintL'!K44</f>
        <v>51928</v>
      </c>
      <c r="H12" s="2"/>
      <c r="I12" s="2" t="s">
        <v>212</v>
      </c>
      <c r="J12" s="2"/>
      <c r="K12" s="63">
        <f>(1+K9)*((1+K11)/(1+K10))-1</f>
        <v>0.1505245098039214</v>
      </c>
      <c r="L12" s="63">
        <f t="shared" ref="L12:O12" si="2">(1+L9)*((1+L11)/(1+L10))-1</f>
        <v>0.1505245098039214</v>
      </c>
      <c r="M12" s="63">
        <f t="shared" si="2"/>
        <v>0.14501960784313717</v>
      </c>
      <c r="N12" s="63">
        <f t="shared" si="2"/>
        <v>0.14501960784313717</v>
      </c>
      <c r="O12" s="63">
        <f t="shared" si="2"/>
        <v>0.14501960784313717</v>
      </c>
      <c r="P12" s="2"/>
      <c r="Q12" s="2"/>
      <c r="R12" s="2"/>
      <c r="S12" s="2"/>
      <c r="T12" s="2"/>
      <c r="U12" s="2"/>
    </row>
    <row r="13" spans="1:21" x14ac:dyDescent="0.25">
      <c r="A13" s="6" t="s">
        <v>201</v>
      </c>
      <c r="B13" s="97">
        <f>'Premissas SaintL'!D28</f>
        <v>7902</v>
      </c>
      <c r="C13" s="48">
        <f>B13+'Rec-Desp-Fin'!C42</f>
        <v>8206.0450000000001</v>
      </c>
      <c r="D13" s="48">
        <f>C13+'Rec-Desp-Fin'!D42</f>
        <v>8524.09</v>
      </c>
      <c r="E13" s="48">
        <f>D13+'Rec-Desp-Fin'!E42</f>
        <v>8856.6949999999997</v>
      </c>
      <c r="F13" s="48">
        <f>E13+'Rec-Desp-Fin'!F42</f>
        <v>9204.4409999999989</v>
      </c>
      <c r="G13" s="48">
        <f>F13+'Rec-Desp-Fin'!G42</f>
        <v>9567.9369999999981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5"/>
      <c r="B14" s="97">
        <f>'Premissas SaintL'!D29</f>
        <v>35533</v>
      </c>
      <c r="C14" s="13">
        <f>C12-C13</f>
        <v>37228.955000000002</v>
      </c>
      <c r="D14" s="13">
        <f t="shared" ref="D14:F14" si="3">D12-D13</f>
        <v>38990.910000000003</v>
      </c>
      <c r="E14" s="13">
        <f t="shared" si="3"/>
        <v>40821.305</v>
      </c>
      <c r="F14" s="13">
        <f t="shared" si="3"/>
        <v>42723.559000000001</v>
      </c>
      <c r="G14" s="13">
        <f>G12-G13</f>
        <v>42360.063000000002</v>
      </c>
      <c r="H14" s="2"/>
      <c r="I14" s="58" t="s">
        <v>213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1" t="s">
        <v>28</v>
      </c>
      <c r="B15" s="97">
        <f>'Premissas SaintL'!D30</f>
        <v>50613</v>
      </c>
      <c r="C15" s="48">
        <f>C9+C14</f>
        <v>51596.721357305323</v>
      </c>
      <c r="D15" s="48">
        <f t="shared" ref="D15:F15" si="4">D9+D14</f>
        <v>53958.391597600988</v>
      </c>
      <c r="E15" s="48">
        <f t="shared" si="4"/>
        <v>56384.800641722657</v>
      </c>
      <c r="F15" s="48">
        <f t="shared" si="4"/>
        <v>59925.116354435326</v>
      </c>
      <c r="G15" s="48">
        <f>G9+G14</f>
        <v>60209.20698694064</v>
      </c>
      <c r="H15" s="2"/>
      <c r="I15" s="2" t="s">
        <v>310</v>
      </c>
      <c r="J15" s="2"/>
      <c r="K15" s="184">
        <f>'DFC-DRE'!C45/('BP-WACC-Valuation'!B27+B23+B24)</f>
        <v>0.14970798038341507</v>
      </c>
      <c r="L15" s="184">
        <f>'DFC-DRE'!D45/('BP-WACC-Valuation'!C27+C23+C24)</f>
        <v>0.15151415146082733</v>
      </c>
      <c r="M15" s="184">
        <f>'DFC-DRE'!E45/('BP-WACC-Valuation'!D27+D23+D24)</f>
        <v>0.13899176135448327</v>
      </c>
      <c r="N15" s="184">
        <f>'DFC-DRE'!F45/('BP-WACC-Valuation'!E27+E23+E24)</f>
        <v>0.15063119888187737</v>
      </c>
      <c r="O15" s="184">
        <f>'DFC-DRE'!G45/('BP-WACC-Valuation'!F27+F23+F24)</f>
        <v>0.16309544038709176</v>
      </c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 t="s">
        <v>214</v>
      </c>
      <c r="J16" s="2"/>
      <c r="K16" s="184">
        <f>K15*(1-K3)</f>
        <v>9.8807267053053927E-2</v>
      </c>
      <c r="L16" s="184">
        <f t="shared" ref="L16:O16" si="5">L15*(1-L3)</f>
        <v>9.9999339964146033E-2</v>
      </c>
      <c r="M16" s="184">
        <f t="shared" si="5"/>
        <v>9.1734562493958949E-2</v>
      </c>
      <c r="N16" s="184">
        <f t="shared" si="5"/>
        <v>9.9416591262039056E-2</v>
      </c>
      <c r="O16" s="184">
        <f t="shared" si="5"/>
        <v>0.10764299065548055</v>
      </c>
      <c r="P16" s="2"/>
      <c r="Q16" s="2"/>
      <c r="R16" s="2"/>
      <c r="S16" s="2"/>
      <c r="T16" s="2"/>
      <c r="U16" s="2"/>
    </row>
    <row r="17" spans="1:21" x14ac:dyDescent="0.25">
      <c r="A17" s="1" t="s">
        <v>29</v>
      </c>
      <c r="B17" s="2"/>
      <c r="C17" s="83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x14ac:dyDescent="0.25">
      <c r="A18" s="7" t="s">
        <v>19</v>
      </c>
      <c r="B18" s="2"/>
      <c r="C18" s="2"/>
      <c r="D18" s="2"/>
      <c r="E18" s="2"/>
      <c r="F18" s="2"/>
      <c r="G18" s="2"/>
      <c r="H18" s="2"/>
      <c r="I18" s="2" t="s">
        <v>216</v>
      </c>
      <c r="J18" s="2"/>
      <c r="K18" s="63">
        <f>K12+((K12-K15)*((B23+B24+B27)/B32)*(1-K3))</f>
        <v>0.15107955334489356</v>
      </c>
      <c r="L18" s="63">
        <f t="shared" ref="L18:O18" si="6">L12+((L12-L15)*((C23+C24+C27)/C32)*(1-L3))</f>
        <v>0.14999322234001133</v>
      </c>
      <c r="M18" s="63">
        <f t="shared" si="6"/>
        <v>0.1477821473285163</v>
      </c>
      <c r="N18" s="63">
        <f t="shared" si="6"/>
        <v>0.14291590178180705</v>
      </c>
      <c r="O18" s="63">
        <f t="shared" si="6"/>
        <v>0.13962893595642986</v>
      </c>
      <c r="P18" s="2"/>
      <c r="Q18" s="2"/>
      <c r="R18" s="2"/>
      <c r="S18" s="2"/>
      <c r="T18" s="2"/>
      <c r="U18" s="2"/>
    </row>
    <row r="19" spans="1:21" x14ac:dyDescent="0.25">
      <c r="A19" s="4" t="s">
        <v>30</v>
      </c>
      <c r="B19" s="11">
        <f>'Premissas SaintL'!D34</f>
        <v>4675</v>
      </c>
      <c r="C19" s="13">
        <f>'Rec-Desp-Fin'!C60</f>
        <v>4920.5629834222918</v>
      </c>
      <c r="D19" s="13">
        <f>'Rec-Desp-Fin'!D60</f>
        <v>5142.1788364254935</v>
      </c>
      <c r="E19" s="13">
        <f>'Rec-Desp-Fin'!E60</f>
        <v>5348.9673706979156</v>
      </c>
      <c r="F19" s="13">
        <f>'Rec-Desp-Fin'!F60</f>
        <v>5943.2421414120618</v>
      </c>
      <c r="G19" s="13">
        <f>'Rec-Desp-Fin'!G60</f>
        <v>6182.0743822427748</v>
      </c>
      <c r="H19" s="2"/>
      <c r="I19" s="2" t="s">
        <v>217</v>
      </c>
      <c r="J19" s="2"/>
      <c r="K19" s="185">
        <f>K15</f>
        <v>0.14970798038341507</v>
      </c>
      <c r="L19" s="185">
        <f t="shared" ref="L19:O19" si="7">L15</f>
        <v>0.15151415146082733</v>
      </c>
      <c r="M19" s="185">
        <f t="shared" si="7"/>
        <v>0.13899176135448327</v>
      </c>
      <c r="N19" s="185">
        <f t="shared" si="7"/>
        <v>0.15063119888187737</v>
      </c>
      <c r="O19" s="185">
        <f t="shared" si="7"/>
        <v>0.16309544038709176</v>
      </c>
      <c r="P19" s="2"/>
      <c r="Q19" s="2"/>
      <c r="R19" s="2"/>
      <c r="S19" s="2"/>
      <c r="T19" s="2"/>
      <c r="U19" s="2"/>
    </row>
    <row r="20" spans="1:21" x14ac:dyDescent="0.25">
      <c r="A20" s="6" t="s">
        <v>31</v>
      </c>
      <c r="B20" s="11">
        <f>'Premissas SaintL'!D35</f>
        <v>1515</v>
      </c>
      <c r="C20" s="13">
        <f>'Rec-Desp-Fin'!C59</f>
        <v>1582.0968241247833</v>
      </c>
      <c r="D20" s="13">
        <f>'Rec-Desp-Fin'!D59</f>
        <v>1653.2911812103985</v>
      </c>
      <c r="E20" s="13">
        <f>'Rec-Desp-Fin'!E59</f>
        <v>1727.6892843648666</v>
      </c>
      <c r="F20" s="13">
        <f>'Rec-Desp-Fin'!F59</f>
        <v>1925.1394882922796</v>
      </c>
      <c r="G20" s="13">
        <f>'Rec-Desp-Fin'!G59</f>
        <v>2002.145067823971</v>
      </c>
      <c r="H20" s="2"/>
      <c r="I20" s="2" t="s">
        <v>215</v>
      </c>
      <c r="J20" s="2"/>
      <c r="K20" s="63">
        <f>K16*((B23+B24+B27)/(B23+B24+B27+B32))+K18*(B32/(B23+B24+B27+B32))</f>
        <v>0.12455794228974601</v>
      </c>
      <c r="L20" s="63">
        <f t="shared" ref="L20:O20" si="8">L16*((C23+C24+C27)/(C23+C24+C27+C32))+L18*(C32/(C23+C24+C27+C32))</f>
        <v>0.12756838253467925</v>
      </c>
      <c r="M20" s="63">
        <f t="shared" si="8"/>
        <v>0.12481292231950687</v>
      </c>
      <c r="N20" s="63">
        <f t="shared" si="8"/>
        <v>0.12715834173393797</v>
      </c>
      <c r="O20" s="63">
        <f t="shared" si="8"/>
        <v>0.12967405402842511</v>
      </c>
      <c r="P20" s="2"/>
      <c r="Q20" s="2"/>
      <c r="R20" s="2"/>
      <c r="S20" s="2"/>
      <c r="T20" s="2"/>
      <c r="U20" s="2"/>
    </row>
    <row r="21" spans="1:21" x14ac:dyDescent="0.25">
      <c r="A21" s="6" t="s">
        <v>34</v>
      </c>
      <c r="B21" s="11">
        <f>'DFC-DRE'!C20</f>
        <v>162.75</v>
      </c>
      <c r="C21" s="13">
        <f>'DFC-DRE'!D20</f>
        <v>861.68547104910431</v>
      </c>
      <c r="D21" s="13">
        <f>'DFC-DRE'!E20</f>
        <v>958.41470535139399</v>
      </c>
      <c r="E21" s="13">
        <f>'DFC-DRE'!F20</f>
        <v>1147.6099115386169</v>
      </c>
      <c r="F21" s="13">
        <f>'DFC-DRE'!G20</f>
        <v>1392.9203956209194</v>
      </c>
      <c r="G21" s="13">
        <f>25%*'DFC-DRE'!G48</f>
        <v>1472.1741924334603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x14ac:dyDescent="0.25">
      <c r="A22" s="6" t="s">
        <v>202</v>
      </c>
      <c r="B22" s="11">
        <f>'Premissas SaintL'!D39</f>
        <v>0</v>
      </c>
      <c r="C22" s="7">
        <f>'Rec-Desp-Fin'!C61</f>
        <v>0</v>
      </c>
      <c r="D22" s="7">
        <f>'Rec-Desp-Fin'!D61</f>
        <v>0</v>
      </c>
      <c r="E22" s="7">
        <f>'Rec-Desp-Fin'!E61</f>
        <v>0</v>
      </c>
      <c r="F22" s="7">
        <f>'Rec-Desp-Fin'!F61</f>
        <v>0</v>
      </c>
      <c r="G22" s="7">
        <f>'Rec-Desp-Fin'!G61</f>
        <v>0</v>
      </c>
      <c r="H22" s="2"/>
      <c r="I22" s="65" t="s">
        <v>218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x14ac:dyDescent="0.25">
      <c r="A23" s="6" t="s">
        <v>32</v>
      </c>
      <c r="B23" s="11">
        <f>'Premissas SaintL'!D36</f>
        <v>12630</v>
      </c>
      <c r="C23" s="13">
        <f>'DFC-DRE'!C26</f>
        <v>10467.069665561829</v>
      </c>
      <c r="D23" s="13">
        <f>'DFC-DRE'!D26</f>
        <v>10013.956345412205</v>
      </c>
      <c r="E23" s="13">
        <f>'DFC-DRE'!E26</f>
        <v>8977.153811303906</v>
      </c>
      <c r="F23" s="13">
        <f>'DFC-DRE'!F26</f>
        <v>9751.6728784299594</v>
      </c>
      <c r="G23" s="13">
        <f>'DFC-DRE'!G26</f>
        <v>5224.1493164599451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x14ac:dyDescent="0.25">
      <c r="A24" s="6" t="s">
        <v>33</v>
      </c>
      <c r="B24" s="11">
        <f>'Premissas SaintL'!D37</f>
        <v>2450</v>
      </c>
      <c r="C24" s="13">
        <f>'Rec-Desp-Fin'!C73</f>
        <v>2450</v>
      </c>
      <c r="D24" s="13">
        <f>'Rec-Desp-Fin'!D73</f>
        <v>2450</v>
      </c>
      <c r="E24" s="13">
        <f>'Rec-Desp-Fin'!E73</f>
        <v>2450</v>
      </c>
      <c r="F24" s="86">
        <f>'Rec-Desp-Fin'!F73</f>
        <v>0</v>
      </c>
      <c r="G24" s="86">
        <f>'Rec-Desp-Fin'!G73</f>
        <v>0</v>
      </c>
      <c r="H24" s="2"/>
      <c r="I24" s="2" t="s">
        <v>219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x14ac:dyDescent="0.25">
      <c r="A25" s="5"/>
      <c r="B25" s="11">
        <f>'Premissas SaintL'!D40</f>
        <v>21485</v>
      </c>
      <c r="C25" s="48">
        <f>SUM(C19:C24)</f>
        <v>20281.414944158008</v>
      </c>
      <c r="D25" s="48">
        <f t="shared" ref="D25:G25" si="9">SUM(D19:D24)</f>
        <v>20217.841068399492</v>
      </c>
      <c r="E25" s="48">
        <f t="shared" si="9"/>
        <v>19651.420377905306</v>
      </c>
      <c r="F25" s="48">
        <f t="shared" si="9"/>
        <v>19012.974903755221</v>
      </c>
      <c r="G25" s="48">
        <f t="shared" si="9"/>
        <v>14880.542958960152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x14ac:dyDescent="0.25">
      <c r="A26" s="7" t="s">
        <v>35</v>
      </c>
      <c r="B26" s="2"/>
      <c r="C26" s="2"/>
      <c r="D26" s="2"/>
      <c r="E26" s="2"/>
      <c r="F26" s="2"/>
      <c r="G26" s="2"/>
      <c r="H26" s="2"/>
      <c r="I26" s="226" t="s">
        <v>220</v>
      </c>
      <c r="J26" s="227"/>
      <c r="K26" s="227"/>
      <c r="L26" s="227"/>
      <c r="M26" s="227"/>
      <c r="N26" s="227"/>
      <c r="O26" s="228"/>
      <c r="P26" s="2"/>
      <c r="Q26" s="2"/>
      <c r="R26" s="2"/>
      <c r="S26" s="2"/>
      <c r="T26" s="2"/>
      <c r="U26" s="2"/>
    </row>
    <row r="27" spans="1:21" x14ac:dyDescent="0.25">
      <c r="A27" s="4" t="s">
        <v>36</v>
      </c>
      <c r="B27" s="11">
        <f>'Premissas SaintL'!D42</f>
        <v>7350</v>
      </c>
      <c r="C27" s="13">
        <f>'Rec-Desp-Fin'!C79+'Rec-Desp-Fin'!C98</f>
        <v>6900</v>
      </c>
      <c r="D27" s="13">
        <f>'Rec-Desp-Fin'!D79+'Rec-Desp-Fin'!D98</f>
        <v>6450</v>
      </c>
      <c r="E27" s="13">
        <f>'Rec-Desp-Fin'!E79+'Rec-Desp-Fin'!E98</f>
        <v>6000</v>
      </c>
      <c r="F27" s="13">
        <f>'Rec-Desp-Fin'!F79+'Rec-Desp-Fin'!F98</f>
        <v>6000</v>
      </c>
      <c r="G27" s="13">
        <f>'Rec-Desp-Fin'!G79+'Rec-Desp-Fin'!G98</f>
        <v>6000</v>
      </c>
      <c r="H27" s="2"/>
      <c r="I27" s="17"/>
      <c r="J27" s="66"/>
      <c r="K27" s="67" t="s">
        <v>53</v>
      </c>
      <c r="L27" s="67" t="s">
        <v>54</v>
      </c>
      <c r="M27" s="67" t="s">
        <v>55</v>
      </c>
      <c r="N27" s="67" t="s">
        <v>56</v>
      </c>
      <c r="O27" s="68" t="s">
        <v>57</v>
      </c>
      <c r="P27" s="2"/>
      <c r="Q27" s="2"/>
      <c r="R27" s="2"/>
      <c r="S27" s="2"/>
      <c r="T27" s="2"/>
      <c r="U27" s="2"/>
    </row>
    <row r="28" spans="1:21" x14ac:dyDescent="0.25">
      <c r="A28" s="5"/>
      <c r="B28" s="11">
        <f>'Premissas SaintL'!D43</f>
        <v>7350</v>
      </c>
      <c r="C28" s="13">
        <f>C27</f>
        <v>6900</v>
      </c>
      <c r="D28" s="13">
        <f t="shared" ref="D28:G28" si="10">D27</f>
        <v>6450</v>
      </c>
      <c r="E28" s="13">
        <f t="shared" si="10"/>
        <v>6000</v>
      </c>
      <c r="F28" s="13">
        <f t="shared" si="10"/>
        <v>6000</v>
      </c>
      <c r="G28" s="13">
        <f t="shared" si="10"/>
        <v>6000</v>
      </c>
      <c r="H28" s="2"/>
      <c r="I28" s="69" t="s">
        <v>221</v>
      </c>
      <c r="J28" s="70"/>
      <c r="K28" s="106">
        <f>'DFC-DRE'!C2</f>
        <v>8434.7561881763904</v>
      </c>
      <c r="L28" s="106">
        <f>'DFC-DRE'!D2</f>
        <v>8811.1404666443323</v>
      </c>
      <c r="M28" s="106">
        <f>'DFC-DRE'!E2</f>
        <v>9584.0956917131734</v>
      </c>
      <c r="N28" s="106">
        <f>'DFC-DRE'!F2</f>
        <v>11067.014863337521</v>
      </c>
      <c r="O28" s="107">
        <f>'DFC-DRE'!G2</f>
        <v>11491.293857871007</v>
      </c>
      <c r="P28" s="2"/>
      <c r="Q28" s="2"/>
      <c r="R28" s="2"/>
      <c r="S28" s="2"/>
      <c r="T28" s="2"/>
      <c r="U28" s="2"/>
    </row>
    <row r="29" spans="1:21" x14ac:dyDescent="0.25">
      <c r="A29" s="7" t="s">
        <v>37</v>
      </c>
      <c r="B29" s="2"/>
      <c r="C29" s="2"/>
      <c r="D29" s="2"/>
      <c r="E29" s="2"/>
      <c r="F29" s="2"/>
      <c r="G29" s="2"/>
      <c r="H29" s="2"/>
      <c r="I29" s="69" t="s">
        <v>222</v>
      </c>
      <c r="J29" s="70"/>
      <c r="K29" s="108">
        <f>K3*K28</f>
        <v>2867.8171039799731</v>
      </c>
      <c r="L29" s="108">
        <f t="shared" ref="L29:N29" si="11">L3*L28</f>
        <v>2995.787758659073</v>
      </c>
      <c r="M29" s="108">
        <f t="shared" si="11"/>
        <v>3258.5925351824794</v>
      </c>
      <c r="N29" s="108">
        <f t="shared" si="11"/>
        <v>3762.7850535347575</v>
      </c>
      <c r="O29" s="112">
        <f>O3*O28</f>
        <v>3907.0399116761428</v>
      </c>
      <c r="P29" s="2"/>
      <c r="Q29" s="2"/>
      <c r="R29" s="2"/>
      <c r="S29" s="2"/>
      <c r="T29" s="2"/>
      <c r="U29" s="2"/>
    </row>
    <row r="30" spans="1:21" x14ac:dyDescent="0.25">
      <c r="A30" s="4" t="s">
        <v>203</v>
      </c>
      <c r="B30" s="11">
        <f>'Premissas SaintL'!D45</f>
        <v>8566</v>
      </c>
      <c r="C30" s="48">
        <f>$B$30</f>
        <v>8566</v>
      </c>
      <c r="D30" s="48">
        <f t="shared" ref="D30:G30" si="12">$B$30</f>
        <v>8566</v>
      </c>
      <c r="E30" s="48">
        <f t="shared" si="12"/>
        <v>8566</v>
      </c>
      <c r="F30" s="48">
        <f t="shared" si="12"/>
        <v>8566</v>
      </c>
      <c r="G30" s="48">
        <f t="shared" si="12"/>
        <v>8566</v>
      </c>
      <c r="H30" s="2"/>
      <c r="I30" s="69" t="s">
        <v>223</v>
      </c>
      <c r="J30" s="70"/>
      <c r="K30" s="108">
        <f>K28-K29</f>
        <v>5566.9390841964178</v>
      </c>
      <c r="L30" s="108">
        <f t="shared" ref="L30:O30" si="13">L28-L29</f>
        <v>5815.3527079852593</v>
      </c>
      <c r="M30" s="108">
        <f t="shared" si="13"/>
        <v>6325.5031565306945</v>
      </c>
      <c r="N30" s="108">
        <f t="shared" si="13"/>
        <v>7304.2298098027641</v>
      </c>
      <c r="O30" s="112">
        <f t="shared" si="13"/>
        <v>7584.2539461948645</v>
      </c>
      <c r="P30" s="2"/>
      <c r="Q30" s="2"/>
      <c r="R30" s="2"/>
      <c r="S30" s="2"/>
      <c r="T30" s="2"/>
      <c r="U30" s="2"/>
    </row>
    <row r="31" spans="1:21" x14ac:dyDescent="0.25">
      <c r="A31" s="6" t="s">
        <v>39</v>
      </c>
      <c r="B31" s="11">
        <f>'Premissas SaintL'!D46</f>
        <v>13212</v>
      </c>
      <c r="C31" s="13">
        <f>B31+(1-'Premissas SaintL'!$G$54)*'DFC-DRE'!C48</f>
        <v>15797.056413147313</v>
      </c>
      <c r="D31" s="13">
        <f>C31+(1-'Premissas SaintL'!$G$54)*'DFC-DRE'!D48</f>
        <v>18672.300529201493</v>
      </c>
      <c r="E31" s="13">
        <f>D31+(1-'Premissas SaintL'!$G$54)*'DFC-DRE'!E48</f>
        <v>22115.130263817344</v>
      </c>
      <c r="F31" s="13">
        <f>E31+(1-'Premissas SaintL'!$G$54)*'DFC-DRE'!F48</f>
        <v>26293.891450680101</v>
      </c>
      <c r="G31" s="13">
        <f>F31+(1-'Premissas SaintL'!$G$54)*'DFC-DRE'!G48</f>
        <v>30710.414027980481</v>
      </c>
      <c r="H31" s="2"/>
      <c r="I31" s="69" t="s">
        <v>161</v>
      </c>
      <c r="J31" s="70"/>
      <c r="K31" s="106">
        <f>'DFC-DRE'!C3</f>
        <v>3040.4500000000007</v>
      </c>
      <c r="L31" s="106">
        <f>'DFC-DRE'!D3</f>
        <v>3180.4500000000007</v>
      </c>
      <c r="M31" s="106">
        <f>'DFC-DRE'!E3</f>
        <v>3326.0500000000006</v>
      </c>
      <c r="N31" s="106">
        <f>'DFC-DRE'!F3</f>
        <v>3477.4600000000009</v>
      </c>
      <c r="O31" s="107">
        <f>'DFC-DRE'!G3</f>
        <v>3634.9600000000009</v>
      </c>
      <c r="P31" s="2"/>
      <c r="Q31" s="2"/>
      <c r="R31" s="2"/>
      <c r="S31" s="2"/>
      <c r="T31" s="2"/>
      <c r="U31" s="2"/>
    </row>
    <row r="32" spans="1:21" x14ac:dyDescent="0.25">
      <c r="A32" s="5"/>
      <c r="B32" s="11">
        <f>'Premissas SaintL'!D47</f>
        <v>21778</v>
      </c>
      <c r="C32" s="13">
        <f>C30+C31</f>
        <v>24363.056413147315</v>
      </c>
      <c r="D32" s="13">
        <f t="shared" ref="D32:G32" si="14">D30+D31</f>
        <v>27238.300529201493</v>
      </c>
      <c r="E32" s="13">
        <f t="shared" si="14"/>
        <v>30681.130263817344</v>
      </c>
      <c r="F32" s="13">
        <f t="shared" si="14"/>
        <v>34859.891450680101</v>
      </c>
      <c r="G32" s="13">
        <f t="shared" si="14"/>
        <v>39276.414027980485</v>
      </c>
      <c r="H32" s="2"/>
      <c r="I32" s="72" t="s">
        <v>224</v>
      </c>
      <c r="J32" s="70"/>
      <c r="K32" s="106">
        <f>'DFC-DRE'!C7</f>
        <v>4736.4050000000007</v>
      </c>
      <c r="L32" s="106">
        <f>'DFC-DRE'!D7</f>
        <v>4942.4050000000007</v>
      </c>
      <c r="M32" s="106">
        <f>'DFC-DRE'!E7</f>
        <v>5156.4450000000006</v>
      </c>
      <c r="N32" s="106">
        <f>'DFC-DRE'!F7</f>
        <v>5379.7140000000009</v>
      </c>
      <c r="O32" s="107">
        <f>'DFC-DRE'!G7</f>
        <v>3271.4640000000009</v>
      </c>
      <c r="P32" s="2"/>
      <c r="Q32" s="2"/>
      <c r="R32" s="2"/>
      <c r="S32" s="2"/>
      <c r="T32" s="2"/>
      <c r="U32" s="2"/>
    </row>
    <row r="33" spans="1:21" ht="17.25" x14ac:dyDescent="0.4">
      <c r="A33" s="46" t="s">
        <v>40</v>
      </c>
      <c r="B33" s="11">
        <f>'Premissas SaintL'!D48</f>
        <v>50613</v>
      </c>
      <c r="C33" s="48">
        <f>C25+C28+C32</f>
        <v>51544.471357305323</v>
      </c>
      <c r="D33" s="48">
        <f t="shared" ref="D33:G33" si="15">D25+D28+D32</f>
        <v>53906.141597600988</v>
      </c>
      <c r="E33" s="48">
        <f t="shared" si="15"/>
        <v>56332.55064172265</v>
      </c>
      <c r="F33" s="48">
        <f t="shared" si="15"/>
        <v>59872.866354435318</v>
      </c>
      <c r="G33" s="48">
        <f t="shared" si="15"/>
        <v>60156.95698694064</v>
      </c>
      <c r="H33" s="2"/>
      <c r="I33" s="69" t="s">
        <v>163</v>
      </c>
      <c r="J33" s="70"/>
      <c r="K33" s="109">
        <f>'Rec-Desp-Fin'!C62-'Rec-Desp-Fin'!B62</f>
        <v>298.10654975824855</v>
      </c>
      <c r="L33" s="109">
        <f>'Rec-Desp-Fin'!D62-'Rec-Desp-Fin'!C62</f>
        <v>306.90503020684719</v>
      </c>
      <c r="M33" s="109">
        <f>'Rec-Desp-Fin'!E62-'Rec-Desp-Fin'!D62</f>
        <v>314.82740669477425</v>
      </c>
      <c r="N33" s="109">
        <f>'Rec-Desp-Fin'!F62-'Rec-Desp-Fin'!E62</f>
        <v>846.33673807111336</v>
      </c>
      <c r="O33" s="113">
        <f>'Rec-Desp-Fin'!G62-'Rec-Desp-Fin'!F62</f>
        <v>331.74881214290872</v>
      </c>
      <c r="P33" s="2"/>
      <c r="Q33" s="2"/>
      <c r="R33" s="2"/>
      <c r="S33" s="2"/>
      <c r="T33" s="2"/>
      <c r="U33" s="2"/>
    </row>
    <row r="34" spans="1:21" x14ac:dyDescent="0.25">
      <c r="A34" s="2"/>
      <c r="B34" s="2"/>
      <c r="C34" s="2"/>
      <c r="D34" s="2"/>
      <c r="E34" s="2"/>
      <c r="F34" s="2"/>
      <c r="G34" s="2"/>
      <c r="H34" s="2"/>
      <c r="I34" s="69" t="s">
        <v>225</v>
      </c>
      <c r="J34" s="70"/>
      <c r="K34" s="110">
        <f>K30+K31-K32-K33</f>
        <v>3572.8775344381693</v>
      </c>
      <c r="L34" s="110">
        <f t="shared" ref="L34:O34" si="16">L30+L31-L32-L33</f>
        <v>3746.4926777784121</v>
      </c>
      <c r="M34" s="110">
        <f t="shared" si="16"/>
        <v>4180.2807498359207</v>
      </c>
      <c r="N34" s="110">
        <f t="shared" si="16"/>
        <v>4555.6390717316508</v>
      </c>
      <c r="O34" s="114">
        <f t="shared" si="16"/>
        <v>7616.001134051955</v>
      </c>
      <c r="P34" s="2"/>
      <c r="Q34" s="2"/>
      <c r="R34" s="2"/>
      <c r="S34" s="2"/>
      <c r="T34" s="2"/>
      <c r="U34" s="2"/>
    </row>
    <row r="35" spans="1:21" x14ac:dyDescent="0.25">
      <c r="A35" s="2"/>
      <c r="B35" s="2"/>
      <c r="C35" s="2"/>
      <c r="D35" s="2"/>
      <c r="E35" s="2"/>
      <c r="F35" s="2"/>
      <c r="G35" s="2"/>
      <c r="H35" s="2"/>
      <c r="I35" s="69" t="s">
        <v>226</v>
      </c>
      <c r="J35" s="70"/>
      <c r="K35" s="70"/>
      <c r="L35" s="70"/>
      <c r="M35" s="70"/>
      <c r="N35" s="70"/>
      <c r="O35" s="105">
        <f>O34/(O12-'Premissas SaintL'!H66)</f>
        <v>52517.044055793667</v>
      </c>
      <c r="P35" s="2"/>
      <c r="Q35" s="2"/>
      <c r="R35" s="2"/>
      <c r="S35" s="2"/>
      <c r="T35" s="2"/>
      <c r="U35" s="2"/>
    </row>
    <row r="36" spans="1:21" x14ac:dyDescent="0.25">
      <c r="A36" s="2"/>
      <c r="B36" s="63"/>
      <c r="C36" s="2"/>
      <c r="D36" s="2"/>
      <c r="E36" s="2"/>
      <c r="F36" s="2"/>
      <c r="G36" s="2"/>
      <c r="H36" s="2"/>
      <c r="I36" s="69" t="s">
        <v>227</v>
      </c>
      <c r="J36" s="70"/>
      <c r="K36" s="48">
        <f>K34+K35</f>
        <v>3572.8775344381693</v>
      </c>
      <c r="L36" s="48">
        <f t="shared" ref="L36:O36" si="17">L34+L35</f>
        <v>3746.4926777784121</v>
      </c>
      <c r="M36" s="48">
        <f t="shared" si="17"/>
        <v>4180.2807498359207</v>
      </c>
      <c r="N36" s="48">
        <f t="shared" si="17"/>
        <v>4555.6390717316508</v>
      </c>
      <c r="O36" s="48">
        <f t="shared" si="17"/>
        <v>60133.045189845623</v>
      </c>
      <c r="P36" s="2"/>
      <c r="Q36" s="2"/>
      <c r="R36" s="2"/>
      <c r="S36" s="2"/>
      <c r="T36" s="2"/>
      <c r="U36" s="2"/>
    </row>
    <row r="37" spans="1:21" x14ac:dyDescent="0.25">
      <c r="A37" s="2"/>
      <c r="B37" s="2"/>
      <c r="C37" s="2"/>
      <c r="D37" s="2"/>
      <c r="E37" s="2"/>
      <c r="F37" s="2"/>
      <c r="G37" s="2"/>
      <c r="H37" s="2"/>
      <c r="I37" s="69" t="s">
        <v>228</v>
      </c>
      <c r="J37" s="70"/>
      <c r="K37" s="13">
        <f>K36/(1+K20)^K2</f>
        <v>3177.1395675382687</v>
      </c>
      <c r="L37" s="13">
        <f>L36/(1+L20)^L2</f>
        <v>2946.7216163681005</v>
      </c>
      <c r="M37" s="13">
        <f>M36/(1+M20)^M2</f>
        <v>2937.4099322631696</v>
      </c>
      <c r="N37" s="13">
        <f>N36/(1+N20)^N2</f>
        <v>2822.3416918007738</v>
      </c>
      <c r="O37" s="13">
        <f>O36/(1+O20)^O2</f>
        <v>32684.920032238657</v>
      </c>
      <c r="P37" s="2"/>
      <c r="Q37" s="2"/>
      <c r="R37" s="2"/>
      <c r="S37" s="2"/>
      <c r="T37" s="2"/>
      <c r="U37" s="2"/>
    </row>
    <row r="38" spans="1:21" x14ac:dyDescent="0.25">
      <c r="A38" s="2"/>
      <c r="B38" s="2"/>
      <c r="C38" s="2"/>
      <c r="D38" s="2"/>
      <c r="E38" s="2"/>
      <c r="F38" s="2"/>
      <c r="G38" s="2"/>
      <c r="H38" s="2"/>
      <c r="I38" s="4" t="s">
        <v>229</v>
      </c>
      <c r="J38" s="48">
        <f>SUM(K37:O37)</f>
        <v>44568.532840208965</v>
      </c>
      <c r="K38" s="70"/>
      <c r="L38" s="70"/>
      <c r="M38" s="70"/>
      <c r="N38" s="70"/>
      <c r="O38" s="71"/>
      <c r="P38" s="2"/>
      <c r="Q38" s="2"/>
      <c r="R38" s="2"/>
      <c r="S38" s="2"/>
      <c r="T38" s="2"/>
      <c r="U38" s="2"/>
    </row>
    <row r="39" spans="1:21" x14ac:dyDescent="0.25">
      <c r="A39" s="2"/>
      <c r="B39" s="2"/>
      <c r="C39" s="2"/>
      <c r="D39" s="2"/>
      <c r="E39" s="2"/>
      <c r="F39" s="2"/>
      <c r="G39" s="2"/>
      <c r="H39" s="2"/>
      <c r="I39" s="15" t="s">
        <v>230</v>
      </c>
      <c r="J39" s="13">
        <f>'Premissas SaintL'!D21</f>
        <v>1323</v>
      </c>
      <c r="K39" s="70"/>
      <c r="L39" s="70"/>
      <c r="M39" s="70"/>
      <c r="N39" s="70"/>
      <c r="O39" s="71"/>
      <c r="P39" s="2"/>
      <c r="Q39" s="2"/>
      <c r="R39" s="2"/>
      <c r="S39" s="2"/>
      <c r="T39" s="2"/>
      <c r="U39" s="2"/>
    </row>
    <row r="40" spans="1:21" x14ac:dyDescent="0.25">
      <c r="A40" s="2"/>
      <c r="B40" s="2"/>
      <c r="C40" s="2"/>
      <c r="D40" s="2"/>
      <c r="E40" s="2"/>
      <c r="F40" s="2"/>
      <c r="G40" s="2"/>
      <c r="H40" s="2"/>
      <c r="I40" s="75" t="s">
        <v>231</v>
      </c>
      <c r="J40" s="48">
        <f>B28+B23+B24</f>
        <v>22430</v>
      </c>
      <c r="K40" s="70"/>
      <c r="L40" s="70"/>
      <c r="M40" s="70"/>
      <c r="N40" s="70"/>
      <c r="O40" s="71"/>
      <c r="P40" s="2"/>
      <c r="Q40" s="2"/>
      <c r="R40" s="2"/>
      <c r="S40" s="2"/>
      <c r="T40" s="2"/>
      <c r="U40" s="2"/>
    </row>
    <row r="41" spans="1:21" x14ac:dyDescent="0.25">
      <c r="A41" s="2"/>
      <c r="B41" s="2"/>
      <c r="C41" s="2"/>
      <c r="D41" s="2"/>
      <c r="E41" s="2"/>
      <c r="F41" s="2"/>
      <c r="G41" s="2"/>
      <c r="H41" s="2"/>
      <c r="I41" s="7" t="s">
        <v>232</v>
      </c>
      <c r="J41" s="48">
        <f>J38+J39-J40</f>
        <v>23461.532840208965</v>
      </c>
      <c r="K41" s="73"/>
      <c r="L41" s="73"/>
      <c r="M41" s="73"/>
      <c r="N41" s="73"/>
      <c r="O41" s="74"/>
      <c r="P41" s="2"/>
      <c r="Q41" s="2"/>
      <c r="R41" s="2"/>
      <c r="S41" s="2"/>
      <c r="T41" s="2"/>
      <c r="U41" s="2"/>
    </row>
    <row r="42" spans="1:2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</sheetData>
  <mergeCells count="1">
    <mergeCell ref="I26:O26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49"/>
  <sheetViews>
    <sheetView topLeftCell="A18" workbookViewId="0">
      <selection activeCell="B20" sqref="B20"/>
    </sheetView>
  </sheetViews>
  <sheetFormatPr defaultRowHeight="15" x14ac:dyDescent="0.25"/>
  <cols>
    <col min="1" max="1" width="43.85546875" bestFit="1" customWidth="1"/>
    <col min="2" max="2" width="11.7109375" customWidth="1"/>
    <col min="4" max="4" width="44" bestFit="1" customWidth="1"/>
    <col min="5" max="5" width="10.5703125" bestFit="1" customWidth="1"/>
    <col min="6" max="6" width="14.28515625" customWidth="1"/>
    <col min="7" max="7" width="15.5703125" bestFit="1" customWidth="1"/>
  </cols>
  <sheetData>
    <row r="1" spans="1:38" ht="30" customHeight="1" x14ac:dyDescent="0.25">
      <c r="A1" s="229" t="s">
        <v>0</v>
      </c>
      <c r="B1" s="76" t="s">
        <v>233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x14ac:dyDescent="0.25">
      <c r="A2" s="230"/>
      <c r="B2" s="32" t="s">
        <v>159</v>
      </c>
      <c r="C2" s="2"/>
      <c r="E2" s="50" t="s">
        <v>53</v>
      </c>
      <c r="F2" s="50" t="s">
        <v>54</v>
      </c>
      <c r="G2" s="50" t="s">
        <v>236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8" x14ac:dyDescent="0.25">
      <c r="A3" s="7" t="s">
        <v>4</v>
      </c>
      <c r="B3" s="11">
        <v>143000</v>
      </c>
      <c r="C3" s="2"/>
      <c r="D3" s="7" t="s">
        <v>58</v>
      </c>
      <c r="E3" s="52">
        <v>100000</v>
      </c>
      <c r="F3" s="52">
        <v>100000</v>
      </c>
      <c r="G3" s="52">
        <v>110000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8" x14ac:dyDescent="0.25">
      <c r="A4" s="7" t="s">
        <v>234</v>
      </c>
      <c r="B4" s="11">
        <v>18590</v>
      </c>
      <c r="C4" s="2"/>
      <c r="D4" s="7" t="s">
        <v>60</v>
      </c>
      <c r="E4" s="80">
        <v>2.7</v>
      </c>
      <c r="F4" s="235" t="s">
        <v>61</v>
      </c>
      <c r="G4" s="23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8" x14ac:dyDescent="0.25">
      <c r="A5" s="7" t="s">
        <v>6</v>
      </c>
      <c r="B5" s="13">
        <f>B3-B4</f>
        <v>124410</v>
      </c>
      <c r="C5" s="2"/>
      <c r="D5" s="7" t="s">
        <v>62</v>
      </c>
      <c r="E5" s="51">
        <v>0.17</v>
      </c>
      <c r="F5" s="233"/>
      <c r="G5" s="23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8" x14ac:dyDescent="0.25">
      <c r="A6" s="7" t="s">
        <v>7</v>
      </c>
      <c r="B6" s="11">
        <v>95673</v>
      </c>
      <c r="C6" s="2"/>
      <c r="D6" s="7" t="s">
        <v>63</v>
      </c>
      <c r="E6" s="79">
        <v>0.13</v>
      </c>
      <c r="F6" s="237" t="s">
        <v>237</v>
      </c>
      <c r="G6" s="238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8" ht="15" customHeight="1" x14ac:dyDescent="0.25">
      <c r="A7" s="7" t="s">
        <v>8</v>
      </c>
      <c r="B7" s="13">
        <f>B5-B6</f>
        <v>28737</v>
      </c>
      <c r="C7" s="2"/>
      <c r="D7" s="223" t="s">
        <v>65</v>
      </c>
      <c r="E7" s="104">
        <v>7.0000000000000007E-2</v>
      </c>
      <c r="F7" s="231" t="s">
        <v>238</v>
      </c>
      <c r="G7" s="23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8" x14ac:dyDescent="0.25">
      <c r="A8" s="7" t="s">
        <v>9</v>
      </c>
      <c r="B8" s="11">
        <v>324</v>
      </c>
      <c r="C8" s="2"/>
      <c r="D8" s="223"/>
      <c r="E8" s="99">
        <v>0.1</v>
      </c>
      <c r="F8" s="231"/>
      <c r="G8" s="23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8" x14ac:dyDescent="0.25">
      <c r="A9" s="7" t="s">
        <v>10</v>
      </c>
      <c r="B9" s="11">
        <v>1245</v>
      </c>
      <c r="C9" s="2"/>
      <c r="D9" s="7" t="s">
        <v>67</v>
      </c>
      <c r="E9" s="51">
        <v>6.3829779411764695E-2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8" x14ac:dyDescent="0.25">
      <c r="A10" s="7" t="s">
        <v>11</v>
      </c>
      <c r="B10" s="11">
        <v>3234</v>
      </c>
      <c r="C10" s="6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x14ac:dyDescent="0.25">
      <c r="A11" s="7" t="s">
        <v>12</v>
      </c>
      <c r="B11" s="13">
        <f>B7-B8-B9-B10</f>
        <v>23934</v>
      </c>
      <c r="C11" s="2"/>
      <c r="D11" s="2" t="s">
        <v>68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x14ac:dyDescent="0.25">
      <c r="A12" s="7" t="s">
        <v>13</v>
      </c>
      <c r="B12" s="11">
        <v>867</v>
      </c>
      <c r="C12" s="2"/>
      <c r="D12" s="7"/>
      <c r="E12" s="1" t="s">
        <v>53</v>
      </c>
      <c r="F12" s="1" t="s">
        <v>54</v>
      </c>
      <c r="G12" s="1" t="s">
        <v>55</v>
      </c>
      <c r="H12" s="1" t="s">
        <v>69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x14ac:dyDescent="0.25">
      <c r="A13" s="7" t="s">
        <v>14</v>
      </c>
      <c r="B13" s="11">
        <v>966</v>
      </c>
      <c r="C13" s="2"/>
      <c r="D13" s="7" t="s">
        <v>70</v>
      </c>
      <c r="E13" s="19">
        <v>0.5</v>
      </c>
      <c r="F13" s="19">
        <v>0.5</v>
      </c>
      <c r="G13" s="19">
        <v>0.5</v>
      </c>
      <c r="H13" s="19">
        <v>0.5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x14ac:dyDescent="0.25">
      <c r="A14" s="7" t="s">
        <v>15</v>
      </c>
      <c r="B14" s="13">
        <f>B11+B12-B13</f>
        <v>23835</v>
      </c>
      <c r="C14" s="2"/>
      <c r="D14" s="7" t="s">
        <v>71</v>
      </c>
      <c r="E14" s="19">
        <v>0.5</v>
      </c>
      <c r="F14" s="19">
        <v>0.5</v>
      </c>
      <c r="G14" s="19">
        <v>0.5</v>
      </c>
      <c r="H14" s="19">
        <v>0.5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x14ac:dyDescent="0.25">
      <c r="A15" s="7" t="s">
        <v>16</v>
      </c>
      <c r="B15" s="13">
        <f>34%*B14</f>
        <v>8103.9000000000005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x14ac:dyDescent="0.25">
      <c r="A16" s="7" t="s">
        <v>17</v>
      </c>
      <c r="B16" s="13">
        <f>B14-B15</f>
        <v>15731.099999999999</v>
      </c>
      <c r="C16" s="2"/>
      <c r="D16" s="2" t="s">
        <v>72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x14ac:dyDescent="0.25">
      <c r="A17" s="2"/>
      <c r="B17" s="2"/>
      <c r="C17" s="2"/>
      <c r="D17" s="7" t="s">
        <v>73</v>
      </c>
      <c r="E17" s="28">
        <v>0.41799999999999998</v>
      </c>
      <c r="F17" s="224" t="s">
        <v>79</v>
      </c>
      <c r="G17" s="225"/>
      <c r="H17" s="22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x14ac:dyDescent="0.25">
      <c r="A18" s="1" t="s">
        <v>18</v>
      </c>
      <c r="B18" s="1" t="s">
        <v>235</v>
      </c>
      <c r="C18" s="2"/>
      <c r="D18" s="7" t="s">
        <v>74</v>
      </c>
      <c r="E18" s="28">
        <v>0.83599999999999997</v>
      </c>
      <c r="F18" s="224"/>
      <c r="G18" s="225"/>
      <c r="H18" s="225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x14ac:dyDescent="0.25">
      <c r="A19" s="7" t="s">
        <v>19</v>
      </c>
      <c r="B19" s="13"/>
      <c r="C19" s="2"/>
      <c r="D19" s="7" t="s">
        <v>75</v>
      </c>
      <c r="E19" s="28">
        <v>2.6124999999999998</v>
      </c>
      <c r="F19" s="224" t="s">
        <v>80</v>
      </c>
      <c r="G19" s="225"/>
      <c r="H19" s="225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x14ac:dyDescent="0.25">
      <c r="A20" s="7" t="s">
        <v>20</v>
      </c>
      <c r="B20" s="11">
        <v>8788</v>
      </c>
      <c r="C20" s="2"/>
      <c r="D20" s="7" t="s">
        <v>76</v>
      </c>
      <c r="E20" s="28">
        <v>0.13589999999999999</v>
      </c>
      <c r="F20" s="224"/>
      <c r="G20" s="225"/>
      <c r="H20" s="225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x14ac:dyDescent="0.25">
      <c r="A21" s="7" t="s">
        <v>21</v>
      </c>
      <c r="B21" s="11">
        <v>8000</v>
      </c>
      <c r="C21" s="2"/>
      <c r="D21" s="7" t="s">
        <v>77</v>
      </c>
      <c r="E21" s="28">
        <v>0.24160000000000001</v>
      </c>
      <c r="F21" s="224"/>
      <c r="G21" s="225"/>
      <c r="H21" s="22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x14ac:dyDescent="0.25">
      <c r="A22" s="7" t="s">
        <v>22</v>
      </c>
      <c r="B22" s="11">
        <v>6300</v>
      </c>
      <c r="C22" s="2"/>
      <c r="D22" s="7" t="s">
        <v>78</v>
      </c>
      <c r="E22" s="28">
        <v>0.314</v>
      </c>
      <c r="F22" s="224"/>
      <c r="G22" s="225"/>
      <c r="H22" s="22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x14ac:dyDescent="0.25">
      <c r="A23" s="7" t="s">
        <v>23</v>
      </c>
      <c r="B23" s="11">
        <v>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x14ac:dyDescent="0.25">
      <c r="A24" s="7"/>
      <c r="B24" s="13">
        <f>SUM(B20:B23)</f>
        <v>23088</v>
      </c>
      <c r="C24" s="2"/>
      <c r="D24" s="2" t="s">
        <v>81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x14ac:dyDescent="0.25">
      <c r="A25" s="7" t="s">
        <v>24</v>
      </c>
      <c r="B25" s="13"/>
      <c r="C25" s="2"/>
      <c r="D25" s="7" t="s">
        <v>82</v>
      </c>
      <c r="E25" s="81">
        <v>1200</v>
      </c>
      <c r="F25" s="224" t="s">
        <v>79</v>
      </c>
      <c r="G25" s="225"/>
      <c r="H25" s="22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x14ac:dyDescent="0.25">
      <c r="A26" s="7" t="s">
        <v>25</v>
      </c>
      <c r="B26" s="11">
        <v>55000</v>
      </c>
      <c r="C26" s="2"/>
      <c r="D26" s="7" t="s">
        <v>83</v>
      </c>
      <c r="E26" s="81">
        <v>300</v>
      </c>
      <c r="F26" s="224"/>
      <c r="G26" s="225"/>
      <c r="H26" s="22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x14ac:dyDescent="0.25">
      <c r="A27" s="77" t="s">
        <v>26</v>
      </c>
      <c r="B27" s="11">
        <v>7600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x14ac:dyDescent="0.25">
      <c r="A28" s="7" t="s">
        <v>27</v>
      </c>
      <c r="B28" s="13">
        <f>B26-B27</f>
        <v>47400</v>
      </c>
      <c r="C28" s="2"/>
      <c r="D28" s="2" t="s">
        <v>84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ht="15" customHeight="1" x14ac:dyDescent="0.25">
      <c r="A29" s="1" t="s">
        <v>28</v>
      </c>
      <c r="B29" s="13">
        <f>B24+B28</f>
        <v>70488</v>
      </c>
      <c r="C29" s="2"/>
      <c r="D29" s="7" t="s">
        <v>82</v>
      </c>
      <c r="E29" s="30">
        <v>709</v>
      </c>
      <c r="F29" s="224" t="s">
        <v>79</v>
      </c>
      <c r="G29" s="239"/>
      <c r="H29" s="239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x14ac:dyDescent="0.25">
      <c r="A30" s="222"/>
      <c r="B30" s="221"/>
      <c r="C30" s="2"/>
      <c r="D30" s="7" t="s">
        <v>83</v>
      </c>
      <c r="E30" s="30">
        <v>585</v>
      </c>
      <c r="F30" s="224"/>
      <c r="G30" s="239"/>
      <c r="H30" s="239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x14ac:dyDescent="0.25">
      <c r="A31" s="1" t="s">
        <v>29</v>
      </c>
      <c r="B31" s="1" t="s">
        <v>235</v>
      </c>
      <c r="C31" s="2"/>
      <c r="D31" s="7" t="s">
        <v>85</v>
      </c>
      <c r="E31" s="30">
        <v>242</v>
      </c>
      <c r="F31" s="224"/>
      <c r="G31" s="239"/>
      <c r="H31" s="239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x14ac:dyDescent="0.25">
      <c r="A32" s="7" t="s">
        <v>19</v>
      </c>
      <c r="B32" s="78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x14ac:dyDescent="0.25">
      <c r="A33" s="7" t="s">
        <v>30</v>
      </c>
      <c r="B33" s="11">
        <v>15456</v>
      </c>
      <c r="C33" s="2"/>
      <c r="D33" s="217" t="s">
        <v>239</v>
      </c>
      <c r="E33" s="21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x14ac:dyDescent="0.25">
      <c r="A34" s="7" t="s">
        <v>31</v>
      </c>
      <c r="B34" s="11">
        <v>1245</v>
      </c>
      <c r="C34" s="2"/>
      <c r="D34" s="217"/>
      <c r="E34" s="217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x14ac:dyDescent="0.25">
      <c r="A35" s="7" t="s">
        <v>32</v>
      </c>
      <c r="B35" s="11">
        <v>0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x14ac:dyDescent="0.25">
      <c r="A36" s="7" t="s">
        <v>33</v>
      </c>
      <c r="B36" s="11">
        <v>1150</v>
      </c>
      <c r="C36" s="2"/>
      <c r="E36" s="29" t="s">
        <v>53</v>
      </c>
      <c r="F36" s="29" t="s">
        <v>54</v>
      </c>
      <c r="G36" s="29" t="s">
        <v>55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x14ac:dyDescent="0.25">
      <c r="A37" s="7" t="s">
        <v>34</v>
      </c>
      <c r="B37" s="11">
        <v>3933</v>
      </c>
      <c r="C37" s="2"/>
      <c r="D37" s="7" t="s">
        <v>86</v>
      </c>
      <c r="E37" s="31">
        <v>20000</v>
      </c>
      <c r="F37" s="31">
        <v>20800</v>
      </c>
      <c r="G37" s="31">
        <v>21632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5">
      <c r="A38" s="7" t="s">
        <v>23</v>
      </c>
      <c r="B38" s="11">
        <v>300</v>
      </c>
      <c r="C38" s="2"/>
      <c r="D38" s="116" t="s">
        <v>240</v>
      </c>
      <c r="E38" s="119">
        <f>70%*E37</f>
        <v>14000</v>
      </c>
      <c r="F38" s="119">
        <f>70%*F37</f>
        <v>14559.999999999998</v>
      </c>
      <c r="G38" s="119">
        <f t="shared" ref="G38" si="0">70%*G37</f>
        <v>15142.4</v>
      </c>
      <c r="H38" s="2" t="s">
        <v>255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5">
      <c r="A39" s="7"/>
      <c r="B39" s="13">
        <f>SUM(B33:B38)</f>
        <v>22084</v>
      </c>
      <c r="C39" s="2"/>
      <c r="D39" s="218" t="s">
        <v>241</v>
      </c>
      <c r="E39" s="21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5">
      <c r="A40" s="7" t="s">
        <v>35</v>
      </c>
      <c r="B40" s="13"/>
      <c r="C40" s="2"/>
      <c r="D40" s="218" t="s">
        <v>242</v>
      </c>
      <c r="E40" s="21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5">
      <c r="A41" s="7" t="s">
        <v>36</v>
      </c>
      <c r="B41" s="11">
        <v>5750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5">
      <c r="A42" s="7"/>
      <c r="B42" s="13">
        <f>B41</f>
        <v>5750</v>
      </c>
      <c r="C42" s="2"/>
      <c r="D42" s="7" t="s">
        <v>88</v>
      </c>
      <c r="E42" s="11">
        <v>6900</v>
      </c>
      <c r="F42" s="218" t="s">
        <v>91</v>
      </c>
      <c r="G42" s="218"/>
      <c r="H42" s="218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5">
      <c r="A43" s="7" t="s">
        <v>37</v>
      </c>
      <c r="B43" s="13"/>
      <c r="C43" s="2"/>
      <c r="D43" s="32" t="s">
        <v>89</v>
      </c>
      <c r="E43" s="11">
        <v>5750</v>
      </c>
      <c r="F43" s="88">
        <v>0.13</v>
      </c>
      <c r="G43" s="88"/>
      <c r="H43" s="88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5">
      <c r="A44" s="7" t="s">
        <v>38</v>
      </c>
      <c r="B44" s="11">
        <v>39221</v>
      </c>
      <c r="C44" s="2"/>
      <c r="D44" s="32" t="s">
        <v>90</v>
      </c>
      <c r="E44" s="11">
        <v>1150</v>
      </c>
      <c r="F44" s="218" t="s">
        <v>243</v>
      </c>
      <c r="G44" s="218"/>
      <c r="H44" s="218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5">
      <c r="A45" s="7" t="s">
        <v>39</v>
      </c>
      <c r="B45" s="11">
        <v>3433</v>
      </c>
      <c r="C45" s="2"/>
      <c r="E45" s="50" t="s">
        <v>53</v>
      </c>
      <c r="F45" s="50" t="s">
        <v>54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8" x14ac:dyDescent="0.25">
      <c r="A46" s="7"/>
      <c r="B46" s="13">
        <f>SUM(B44:B45)</f>
        <v>42654</v>
      </c>
      <c r="C46" s="2"/>
      <c r="D46" s="7" t="s">
        <v>93</v>
      </c>
      <c r="E46" s="11">
        <v>1150</v>
      </c>
      <c r="F46" s="11">
        <v>1150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8" x14ac:dyDescent="0.25">
      <c r="A47" s="1" t="s">
        <v>40</v>
      </c>
      <c r="B47" s="13">
        <f>B39+B42+B46</f>
        <v>70488</v>
      </c>
      <c r="C47" s="2"/>
      <c r="D47" s="7" t="s">
        <v>94</v>
      </c>
      <c r="E47" s="33">
        <v>0.16</v>
      </c>
      <c r="F47" s="33">
        <v>0.16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8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5">
      <c r="A49" s="2"/>
      <c r="B49" s="2"/>
      <c r="C49" s="2"/>
      <c r="D49" s="7" t="s">
        <v>95</v>
      </c>
      <c r="E49" s="33">
        <v>0.25</v>
      </c>
      <c r="F49" s="218" t="s">
        <v>96</v>
      </c>
      <c r="G49" s="218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5">
      <c r="A51" s="2"/>
      <c r="B51" s="2"/>
      <c r="C51" s="2"/>
      <c r="D51" s="7" t="s">
        <v>97</v>
      </c>
      <c r="E51" s="34">
        <v>2.9499999999999998E-2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5">
      <c r="A52" s="2"/>
      <c r="B52" s="2"/>
      <c r="C52" s="2"/>
      <c r="D52" s="7" t="s">
        <v>98</v>
      </c>
      <c r="E52" s="34">
        <v>0.03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5">
      <c r="A53" s="2"/>
      <c r="B53" s="2"/>
      <c r="C53" s="2"/>
      <c r="D53" s="7" t="s">
        <v>99</v>
      </c>
      <c r="E53" s="34">
        <v>5.5E-2</v>
      </c>
      <c r="F53" s="2"/>
      <c r="G53" s="83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5">
      <c r="A54" s="2"/>
      <c r="B54" s="2"/>
      <c r="C54" s="2"/>
      <c r="D54" s="7" t="s">
        <v>100</v>
      </c>
      <c r="E54" s="35">
        <v>1.1000000000000001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5">
      <c r="A56" s="2"/>
      <c r="B56" s="2"/>
      <c r="C56" s="2"/>
      <c r="D56" s="7" t="s">
        <v>244</v>
      </c>
      <c r="E56" s="33">
        <v>0.34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</row>
    <row r="253" spans="1:38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</row>
    <row r="254" spans="1:38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</row>
    <row r="255" spans="1:38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</row>
    <row r="256" spans="1:38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</row>
    <row r="257" spans="1:38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</row>
    <row r="258" spans="1:38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</row>
    <row r="259" spans="1:38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</row>
    <row r="260" spans="1:38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</row>
    <row r="261" spans="1:38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</row>
    <row r="262" spans="1:38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</row>
    <row r="263" spans="1:38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</row>
    <row r="264" spans="1:38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</row>
    <row r="265" spans="1:38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</row>
    <row r="266" spans="1:38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</row>
    <row r="267" spans="1:38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</row>
    <row r="268" spans="1:38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</row>
    <row r="269" spans="1:38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</row>
    <row r="270" spans="1:38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</row>
    <row r="271" spans="1:38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</row>
    <row r="272" spans="1:38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</row>
    <row r="273" spans="1:38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</row>
    <row r="274" spans="1:38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</row>
    <row r="275" spans="1:38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</row>
    <row r="276" spans="1:38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</row>
    <row r="277" spans="1:38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</row>
    <row r="278" spans="1:38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</row>
    <row r="279" spans="1:38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</row>
    <row r="280" spans="1:38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</row>
    <row r="281" spans="1:38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</row>
    <row r="282" spans="1:38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</row>
    <row r="283" spans="1:38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</row>
    <row r="284" spans="1:38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</row>
    <row r="285" spans="1:38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</row>
    <row r="286" spans="1:38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</row>
    <row r="287" spans="1:38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</row>
    <row r="288" spans="1:38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</row>
    <row r="289" spans="1:38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</row>
    <row r="290" spans="1:38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</row>
    <row r="291" spans="1:38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</row>
    <row r="292" spans="1:38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</row>
    <row r="293" spans="1:38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</row>
    <row r="294" spans="1:38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</row>
    <row r="295" spans="1:38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</row>
    <row r="296" spans="1:38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</row>
    <row r="297" spans="1:38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</row>
    <row r="298" spans="1:38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</row>
    <row r="299" spans="1:38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</row>
    <row r="300" spans="1:38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</row>
    <row r="301" spans="1:38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</row>
    <row r="302" spans="1:38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</row>
    <row r="303" spans="1:38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</row>
    <row r="304" spans="1:38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</row>
    <row r="305" spans="1:38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</row>
    <row r="306" spans="1:38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</row>
    <row r="307" spans="1:38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</row>
    <row r="308" spans="1:38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</row>
    <row r="309" spans="1:38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</row>
    <row r="310" spans="1:38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</row>
    <row r="311" spans="1:38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</row>
    <row r="312" spans="1:38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</row>
    <row r="313" spans="1:38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</row>
    <row r="314" spans="1:38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</row>
    <row r="315" spans="1:38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</row>
    <row r="316" spans="1:38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</row>
    <row r="317" spans="1:38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</row>
    <row r="318" spans="1:38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</row>
    <row r="319" spans="1:38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</row>
    <row r="320" spans="1:38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</row>
    <row r="321" spans="1:38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</row>
    <row r="322" spans="1:38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</row>
    <row r="323" spans="1:38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</row>
    <row r="324" spans="1:38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</row>
    <row r="325" spans="1:38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</row>
    <row r="326" spans="1:38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</row>
    <row r="327" spans="1:38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</row>
    <row r="328" spans="1:38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</row>
    <row r="329" spans="1:38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</row>
    <row r="330" spans="1:38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</row>
    <row r="331" spans="1:38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</row>
    <row r="332" spans="1:38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</row>
    <row r="333" spans="1:38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</row>
    <row r="334" spans="1:38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</row>
    <row r="335" spans="1:38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</row>
    <row r="336" spans="1:38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</row>
    <row r="337" spans="1:38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</row>
    <row r="338" spans="1:38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</row>
    <row r="339" spans="1:38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</row>
    <row r="340" spans="1:38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</row>
    <row r="341" spans="1:38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</row>
    <row r="342" spans="1:38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</row>
    <row r="343" spans="1:38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</row>
    <row r="344" spans="1:38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</row>
    <row r="345" spans="1:38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</row>
    <row r="346" spans="1:38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</row>
    <row r="347" spans="1:38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</row>
    <row r="348" spans="1:38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</row>
    <row r="349" spans="1:38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</row>
    <row r="350" spans="1:38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</row>
    <row r="351" spans="1:38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</row>
    <row r="352" spans="1:38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</row>
    <row r="353" spans="1:38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</row>
    <row r="354" spans="1:38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</row>
    <row r="355" spans="1:38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</row>
    <row r="356" spans="1:38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</row>
    <row r="357" spans="1:38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</row>
    <row r="358" spans="1:38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</row>
    <row r="359" spans="1:38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</row>
    <row r="360" spans="1:38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</row>
    <row r="361" spans="1:38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</row>
    <row r="362" spans="1:38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</row>
    <row r="363" spans="1:38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</row>
    <row r="364" spans="1:38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</row>
    <row r="365" spans="1:38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</row>
    <row r="366" spans="1:38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</row>
    <row r="367" spans="1:38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</row>
    <row r="368" spans="1:38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</row>
    <row r="369" spans="1:38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</row>
    <row r="370" spans="1:38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</row>
    <row r="371" spans="1:38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</row>
    <row r="372" spans="1:38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</row>
    <row r="373" spans="1:38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</row>
    <row r="374" spans="1:38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</row>
    <row r="375" spans="1:38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</row>
    <row r="376" spans="1:38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</row>
    <row r="377" spans="1:38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</row>
    <row r="378" spans="1:38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</row>
    <row r="379" spans="1:38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</row>
    <row r="380" spans="1:38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</row>
    <row r="381" spans="1:38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</row>
    <row r="382" spans="1:38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</row>
    <row r="383" spans="1:38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</row>
    <row r="384" spans="1:38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</row>
    <row r="385" spans="1:38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</row>
    <row r="386" spans="1:38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</row>
    <row r="387" spans="1:38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</row>
    <row r="388" spans="1:38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</row>
    <row r="389" spans="1:38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</row>
    <row r="390" spans="1:38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</row>
    <row r="391" spans="1:38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</row>
    <row r="392" spans="1:38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</row>
    <row r="393" spans="1:38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</row>
    <row r="394" spans="1:38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</row>
    <row r="395" spans="1:38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</row>
    <row r="396" spans="1:38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</row>
    <row r="397" spans="1:38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</row>
    <row r="398" spans="1:38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</row>
    <row r="399" spans="1:38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</row>
    <row r="400" spans="1:38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</row>
    <row r="401" spans="1:38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</row>
    <row r="402" spans="1:38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</row>
    <row r="403" spans="1:38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</row>
    <row r="404" spans="1:38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</row>
    <row r="405" spans="1:38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</row>
    <row r="406" spans="1:38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</row>
    <row r="407" spans="1:38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</row>
    <row r="408" spans="1:38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</row>
    <row r="409" spans="1:38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</row>
    <row r="410" spans="1:38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</row>
    <row r="411" spans="1:38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</row>
    <row r="412" spans="1:38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</row>
    <row r="413" spans="1:38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</row>
    <row r="414" spans="1:38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</row>
    <row r="415" spans="1:38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</row>
    <row r="416" spans="1:38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</row>
    <row r="417" spans="1:38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</row>
    <row r="418" spans="1:38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</row>
    <row r="419" spans="1:38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</row>
    <row r="420" spans="1:38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</row>
    <row r="421" spans="1:38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</row>
    <row r="422" spans="1:38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</row>
    <row r="423" spans="1:38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</row>
    <row r="424" spans="1:38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</row>
    <row r="425" spans="1:38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</row>
    <row r="426" spans="1:38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</row>
    <row r="427" spans="1:38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</row>
    <row r="428" spans="1:38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</row>
    <row r="429" spans="1:38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</row>
    <row r="430" spans="1:38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</row>
    <row r="431" spans="1:38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</row>
    <row r="432" spans="1:38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</row>
    <row r="433" spans="1:38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</row>
    <row r="434" spans="1:38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</row>
    <row r="435" spans="1:38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</row>
    <row r="436" spans="1:38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</row>
    <row r="437" spans="1:38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</row>
    <row r="438" spans="1:38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</row>
    <row r="439" spans="1:38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</row>
    <row r="440" spans="1:38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</row>
    <row r="441" spans="1:38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</row>
    <row r="442" spans="1:38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</row>
    <row r="443" spans="1:38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</row>
    <row r="444" spans="1:38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</row>
    <row r="445" spans="1:38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</row>
    <row r="446" spans="1:38" x14ac:dyDescent="0.25">
      <c r="A446" s="2"/>
      <c r="B446" s="2"/>
      <c r="C446" s="2"/>
      <c r="D446" s="2"/>
      <c r="E446" s="2"/>
      <c r="F446" s="2"/>
      <c r="G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</row>
    <row r="447" spans="1:38" x14ac:dyDescent="0.25">
      <c r="A447" s="2"/>
      <c r="B447" s="2"/>
      <c r="C447" s="2"/>
      <c r="D447" s="2"/>
      <c r="E447" s="2"/>
      <c r="F447" s="2"/>
      <c r="G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</row>
    <row r="448" spans="1:38" x14ac:dyDescent="0.25">
      <c r="A448" s="2"/>
      <c r="B448" s="2"/>
      <c r="C448" s="2"/>
      <c r="D448" s="2"/>
      <c r="E448" s="2"/>
      <c r="F448" s="2"/>
      <c r="G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</row>
    <row r="449" spans="1:38" x14ac:dyDescent="0.25">
      <c r="A449" s="2"/>
      <c r="B449" s="2"/>
      <c r="C449" s="2"/>
      <c r="D449" s="2"/>
      <c r="E449" s="2"/>
      <c r="F449" s="2"/>
      <c r="G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</row>
  </sheetData>
  <mergeCells count="17">
    <mergeCell ref="F44:H44"/>
    <mergeCell ref="F49:G49"/>
    <mergeCell ref="D33:E34"/>
    <mergeCell ref="D39:E39"/>
    <mergeCell ref="D40:E40"/>
    <mergeCell ref="F42:H42"/>
    <mergeCell ref="F19:H22"/>
    <mergeCell ref="A1:A2"/>
    <mergeCell ref="A30:B30"/>
    <mergeCell ref="D7:D8"/>
    <mergeCell ref="F7:G8"/>
    <mergeCell ref="F5:G5"/>
    <mergeCell ref="F4:G4"/>
    <mergeCell ref="F6:G6"/>
    <mergeCell ref="F17:H18"/>
    <mergeCell ref="F25:H26"/>
    <mergeCell ref="F29:H3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16"/>
  <sheetViews>
    <sheetView topLeftCell="A37" zoomScale="90" zoomScaleNormal="90" workbookViewId="0">
      <selection activeCell="B1" sqref="B1"/>
    </sheetView>
  </sheetViews>
  <sheetFormatPr defaultRowHeight="15" x14ac:dyDescent="0.25"/>
  <cols>
    <col min="1" max="1" width="48.5703125" bestFit="1" customWidth="1"/>
    <col min="2" max="2" width="9.42578125" bestFit="1" customWidth="1"/>
    <col min="3" max="7" width="12.140625" bestFit="1" customWidth="1"/>
    <col min="9" max="9" width="31.85546875" bestFit="1" customWidth="1"/>
    <col min="10" max="10" width="9.140625" customWidth="1"/>
    <col min="11" max="11" width="12.5703125" bestFit="1" customWidth="1"/>
  </cols>
  <sheetData>
    <row r="1" spans="1:20" x14ac:dyDescent="0.25">
      <c r="A1" s="1" t="s">
        <v>101</v>
      </c>
      <c r="B1" s="2"/>
      <c r="C1" s="1" t="s">
        <v>53</v>
      </c>
      <c r="D1" s="1" t="s">
        <v>54</v>
      </c>
      <c r="E1" s="1" t="s">
        <v>55</v>
      </c>
      <c r="F1" s="1" t="s">
        <v>56</v>
      </c>
      <c r="G1" s="1" t="s">
        <v>57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4" t="s">
        <v>102</v>
      </c>
      <c r="B3" s="2"/>
      <c r="C3" s="38">
        <v>288</v>
      </c>
      <c r="D3" s="38">
        <v>288</v>
      </c>
      <c r="E3" s="38">
        <v>288</v>
      </c>
      <c r="F3" s="38">
        <v>288</v>
      </c>
      <c r="G3" s="38">
        <v>288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6" t="s">
        <v>103</v>
      </c>
      <c r="B4" s="2"/>
      <c r="C4" s="39">
        <f>'Premissa FrangoB'!E3</f>
        <v>100000</v>
      </c>
      <c r="D4" s="39">
        <f>'Premissa FrangoB'!F3</f>
        <v>100000</v>
      </c>
      <c r="E4" s="39">
        <f>'Premissa FrangoB'!$G$3</f>
        <v>110000</v>
      </c>
      <c r="F4" s="39">
        <f>'Premissa FrangoB'!$G$3</f>
        <v>110000</v>
      </c>
      <c r="G4" s="39">
        <f>'Premissa FrangoB'!$G$3</f>
        <v>110000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6" t="s">
        <v>104</v>
      </c>
      <c r="B5" s="2"/>
      <c r="C5" s="40">
        <f>C4*C3</f>
        <v>28800000</v>
      </c>
      <c r="D5" s="40">
        <f t="shared" ref="D5:G5" si="0">D4*D3</f>
        <v>28800000</v>
      </c>
      <c r="E5" s="40">
        <f t="shared" si="0"/>
        <v>31680000</v>
      </c>
      <c r="F5" s="40">
        <f t="shared" si="0"/>
        <v>31680000</v>
      </c>
      <c r="G5" s="40">
        <f t="shared" si="0"/>
        <v>31680000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A6" s="6" t="s">
        <v>105</v>
      </c>
      <c r="B6" s="2"/>
      <c r="C6" s="32">
        <v>2.2999999999999998</v>
      </c>
      <c r="D6" s="32">
        <v>2.2999999999999998</v>
      </c>
      <c r="E6" s="32">
        <v>2.2999999999999998</v>
      </c>
      <c r="F6" s="32">
        <v>2.2999999999999998</v>
      </c>
      <c r="G6" s="32">
        <v>2.2999999999999998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A7" s="6" t="s">
        <v>106</v>
      </c>
      <c r="B7" s="2"/>
      <c r="C7" s="43">
        <f>C5*C6</f>
        <v>66239999.999999993</v>
      </c>
      <c r="D7" s="43">
        <f t="shared" ref="D7:G7" si="1">D5*D6</f>
        <v>66239999.999999993</v>
      </c>
      <c r="E7" s="43">
        <f t="shared" si="1"/>
        <v>72864000</v>
      </c>
      <c r="F7" s="43">
        <f t="shared" si="1"/>
        <v>72864000</v>
      </c>
      <c r="G7" s="43">
        <f t="shared" si="1"/>
        <v>72864000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25">
      <c r="A8" s="6" t="s">
        <v>107</v>
      </c>
      <c r="B8" s="2"/>
      <c r="C8" s="44">
        <f>'Premissa FrangoB'!$E$5</f>
        <v>0.17</v>
      </c>
      <c r="D8" s="44">
        <f>'Premissa FrangoB'!$E$5</f>
        <v>0.17</v>
      </c>
      <c r="E8" s="44">
        <f>'Premissa FrangoB'!$E$5</f>
        <v>0.17</v>
      </c>
      <c r="F8" s="44">
        <f>'Premissa FrangoB'!$E$5</f>
        <v>0.17</v>
      </c>
      <c r="G8" s="44">
        <f>'Premissa FrangoB'!$E$5</f>
        <v>0.17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25">
      <c r="A9" s="6" t="s">
        <v>108</v>
      </c>
      <c r="B9" s="2"/>
      <c r="C9" s="40">
        <f>C7*(1-C8)</f>
        <v>54979199.999999993</v>
      </c>
      <c r="D9" s="40">
        <f t="shared" ref="D9:F9" si="2">D7*(1-D8)</f>
        <v>54979199.999999993</v>
      </c>
      <c r="E9" s="40">
        <f t="shared" si="2"/>
        <v>60477120</v>
      </c>
      <c r="F9" s="40">
        <f t="shared" si="2"/>
        <v>60477120</v>
      </c>
      <c r="G9" s="40">
        <f>G7*(1-G8)</f>
        <v>60477120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x14ac:dyDescent="0.25">
      <c r="A10" s="5" t="s">
        <v>109</v>
      </c>
      <c r="B10" s="2"/>
      <c r="C10" s="41">
        <f>'Premissa FrangoB'!E4</f>
        <v>2.7</v>
      </c>
      <c r="D10" s="42">
        <f>C10*(1+'Premissas SaintL'!H5)</f>
        <v>2.8214999999999999</v>
      </c>
      <c r="E10" s="42">
        <f>D10*(1+'Premissas SaintL'!I5)</f>
        <v>2.9484674999999996</v>
      </c>
      <c r="F10" s="42">
        <f>E10*(1+'Premissas SaintL'!J5)</f>
        <v>3.0664061999999999</v>
      </c>
      <c r="G10" s="42">
        <f>F10*(1+'Premissas SaintL'!K5)</f>
        <v>3.189062448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A12" s="7" t="s">
        <v>110</v>
      </c>
      <c r="B12" s="2"/>
      <c r="C12" s="13">
        <f>(C9*C10)/1000</f>
        <v>148443.84</v>
      </c>
      <c r="D12" s="13">
        <f t="shared" ref="D12:F12" si="3">(D9*D10)/1000</f>
        <v>155123.81279999999</v>
      </c>
      <c r="E12" s="13">
        <f t="shared" si="3"/>
        <v>178314.82281359998</v>
      </c>
      <c r="F12" s="13">
        <f t="shared" si="3"/>
        <v>185447.41572614398</v>
      </c>
      <c r="G12" s="13">
        <f>(G9*G10)/1000</f>
        <v>192865.31235518976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25">
      <c r="A14" s="1" t="s">
        <v>115</v>
      </c>
      <c r="B14" s="2"/>
      <c r="C14" s="1" t="s">
        <v>53</v>
      </c>
      <c r="D14" s="1" t="s">
        <v>54</v>
      </c>
      <c r="E14" s="1" t="s">
        <v>55</v>
      </c>
      <c r="F14" s="1" t="s">
        <v>56</v>
      </c>
      <c r="G14" s="1" t="s">
        <v>57</v>
      </c>
      <c r="H14" s="2"/>
      <c r="I14" s="2"/>
      <c r="J14" s="8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x14ac:dyDescent="0.25">
      <c r="A15" s="4" t="s">
        <v>102</v>
      </c>
      <c r="B15" s="2"/>
      <c r="C15" s="36">
        <f>C3</f>
        <v>288</v>
      </c>
      <c r="D15" s="36">
        <f t="shared" ref="D15:G16" si="4">D3</f>
        <v>288</v>
      </c>
      <c r="E15" s="36">
        <f t="shared" si="4"/>
        <v>288</v>
      </c>
      <c r="F15" s="36">
        <f t="shared" si="4"/>
        <v>288</v>
      </c>
      <c r="G15" s="36">
        <f t="shared" si="4"/>
        <v>288</v>
      </c>
      <c r="H15" s="2"/>
      <c r="I15" s="2"/>
      <c r="J15" s="83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25">
      <c r="A16" s="6" t="s">
        <v>103</v>
      </c>
      <c r="B16" s="2"/>
      <c r="C16" s="37">
        <f>C4</f>
        <v>100000</v>
      </c>
      <c r="D16" s="37">
        <f t="shared" si="4"/>
        <v>100000</v>
      </c>
      <c r="E16" s="37">
        <f t="shared" si="4"/>
        <v>110000</v>
      </c>
      <c r="F16" s="37">
        <f t="shared" si="4"/>
        <v>110000</v>
      </c>
      <c r="G16" s="37">
        <f t="shared" si="4"/>
        <v>110000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25">
      <c r="A17" s="6" t="s">
        <v>104</v>
      </c>
      <c r="B17" s="2"/>
      <c r="C17" s="13">
        <f>C15*C16</f>
        <v>28800000</v>
      </c>
      <c r="D17" s="13">
        <f t="shared" ref="D17:G17" si="5">D15*D16</f>
        <v>28800000</v>
      </c>
      <c r="E17" s="13">
        <f t="shared" si="5"/>
        <v>31680000</v>
      </c>
      <c r="F17" s="13">
        <f t="shared" si="5"/>
        <v>31680000</v>
      </c>
      <c r="G17" s="13">
        <f t="shared" si="5"/>
        <v>31680000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25">
      <c r="A18" s="6" t="s">
        <v>111</v>
      </c>
      <c r="B18" s="2"/>
      <c r="C18" s="45">
        <f>'Premissa FrangoB'!$E$9</f>
        <v>6.3829779411764695E-2</v>
      </c>
      <c r="D18" s="45">
        <f>'Premissa FrangoB'!$E$9</f>
        <v>6.3829779411764695E-2</v>
      </c>
      <c r="E18" s="45">
        <f>'Premissa FrangoB'!$E$9</f>
        <v>6.3829779411764695E-2</v>
      </c>
      <c r="F18" s="45">
        <f>'Premissa FrangoB'!$E$9</f>
        <v>6.3829779411764695E-2</v>
      </c>
      <c r="G18" s="45">
        <f>'Premissa FrangoB'!$E$9</f>
        <v>6.3829779411764695E-2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25">
      <c r="A19" s="5" t="s">
        <v>112</v>
      </c>
      <c r="B19" s="2"/>
      <c r="C19" s="13">
        <f>C17*(1+C18)</f>
        <v>30638297.647058822</v>
      </c>
      <c r="D19" s="13">
        <f t="shared" ref="D19:G19" si="6">D17*(1+D18)</f>
        <v>30638297.647058822</v>
      </c>
      <c r="E19" s="13">
        <f t="shared" si="6"/>
        <v>33702127.411764704</v>
      </c>
      <c r="F19" s="13">
        <f t="shared" si="6"/>
        <v>33702127.411764704</v>
      </c>
      <c r="G19" s="13">
        <f t="shared" si="6"/>
        <v>33702127.411764704</v>
      </c>
      <c r="H19" s="2"/>
      <c r="I19" s="2"/>
      <c r="J19" s="83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5">
      <c r="A20" s="2"/>
      <c r="B20" s="2"/>
      <c r="C20" s="2"/>
      <c r="D20" s="2"/>
      <c r="E20" s="2"/>
      <c r="F20" s="2"/>
      <c r="G20" s="2"/>
      <c r="H20" s="2"/>
      <c r="I20" s="2"/>
      <c r="J20" s="83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A21" s="4" t="s">
        <v>113</v>
      </c>
      <c r="B21" s="2"/>
      <c r="C21" s="45">
        <f>'Premissa FrangoB'!E13</f>
        <v>0.5</v>
      </c>
      <c r="D21" s="45">
        <f>'Premissa FrangoB'!F13</f>
        <v>0.5</v>
      </c>
      <c r="E21" s="45">
        <f>'Premissa FrangoB'!G13</f>
        <v>0.5</v>
      </c>
      <c r="F21" s="45">
        <f>'Premissa FrangoB'!$H$13</f>
        <v>0.5</v>
      </c>
      <c r="G21" s="45">
        <f>'Premissa FrangoB'!$H$13</f>
        <v>0.5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A22" s="5" t="s">
        <v>114</v>
      </c>
      <c r="B22" s="2"/>
      <c r="C22" s="45">
        <f>'Premissa FrangoB'!E14</f>
        <v>0.5</v>
      </c>
      <c r="D22" s="45">
        <f>'Premissa FrangoB'!F14</f>
        <v>0.5</v>
      </c>
      <c r="E22" s="45">
        <f>'Premissa FrangoB'!G14</f>
        <v>0.5</v>
      </c>
      <c r="F22" s="45">
        <f>'Premissa FrangoB'!$H$14</f>
        <v>0.5</v>
      </c>
      <c r="G22" s="45">
        <f>'Premissa FrangoB'!$H$14</f>
        <v>0.5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25">
      <c r="A24" s="7" t="s">
        <v>116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25">
      <c r="A25" s="4" t="s">
        <v>117</v>
      </c>
      <c r="B25" s="2"/>
      <c r="C25" s="13">
        <f>(('Premissa FrangoB'!$E$17*(1+'Premissas SaintL'!H7))*3.5*C21*'Rec-Desp-Fin (2)'!C5)/1000</f>
        <v>22015.223999999998</v>
      </c>
      <c r="D25" s="13">
        <f>(('Premissa FrangoB'!$E$17*(1+'Premissas SaintL'!I7))*3.5*D21*'Rec-Desp-Fin (2)'!D5)/1000</f>
        <v>23005.909079999998</v>
      </c>
      <c r="E25" s="13">
        <f>(('Premissa FrangoB'!$E$17*(1+'Premissas SaintL'!J7))*3.5*E21*'Rec-Desp-Fin (2)'!E5)/1000</f>
        <v>26318.759987519999</v>
      </c>
      <c r="F25" s="13">
        <f>(('Premissa FrangoB'!$E$17*(1+'Premissas SaintL'!K7))*3.5*F21*'Rec-Desp-Fin (2)'!F5)/1000</f>
        <v>27371.510387020797</v>
      </c>
      <c r="G25" s="13">
        <f>(('Premissa FrangoB'!$E$17*(1+'Premissas SaintL'!L7))*3.5*G21*'Rec-Desp-Fin (2)'!G5)/1000</f>
        <v>28466.370802501631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x14ac:dyDescent="0.25">
      <c r="A26" s="6" t="s">
        <v>118</v>
      </c>
      <c r="B26" s="2"/>
      <c r="C26" s="13">
        <f>(('Premissa FrangoB'!$E$18*(1+'Premissas SaintL'!H7)*('Rec-Desp-Fin (2)'!C19*C21)/1000))</f>
        <v>13383.114795211764</v>
      </c>
      <c r="D26" s="13">
        <f>(('Premissa FrangoB'!$E$18*(1+'Premissas SaintL'!I7)*('Rec-Desp-Fin (2)'!D19*D21)/1000))</f>
        <v>13985.35496099629</v>
      </c>
      <c r="E26" s="13">
        <f>(('Premissa FrangoB'!$E$18*(1+'Premissas SaintL'!J7)*('Rec-Desp-Fin (2)'!E19*E21)/1000))</f>
        <v>15999.246075379757</v>
      </c>
      <c r="F26" s="13">
        <f>(('Premissa FrangoB'!$E$18*(1+'Premissas SaintL'!K7)*('Rec-Desp-Fin (2)'!F19*F21)/1000))</f>
        <v>16639.215918394948</v>
      </c>
      <c r="G26" s="13">
        <f>(('Premissa FrangoB'!$E$18*(1+'Premissas SaintL'!L7)*('Rec-Desp-Fin (2)'!G19*G21)/1000))</f>
        <v>17304.784555130747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25">
      <c r="A27" s="6" t="s">
        <v>119</v>
      </c>
      <c r="B27" s="2"/>
      <c r="C27" s="13">
        <f>(('Premissa FrangoB'!$E$19*(1+'Premissas SaintL'!H7))*('Rec-Desp-Fin (2)'!C22*'Rec-Desp-Fin (2)'!C17))/1000</f>
        <v>39312.9</v>
      </c>
      <c r="D27" s="13">
        <f>(('Premissa FrangoB'!$E$19*(1+'Premissas SaintL'!I7))*('Rec-Desp-Fin (2)'!D22*'Rec-Desp-Fin (2)'!D17))/1000</f>
        <v>41081.980499999983</v>
      </c>
      <c r="E27" s="13">
        <f>(('Premissa FrangoB'!$E$19*(1+'Premissas SaintL'!J7))*('Rec-Desp-Fin (2)'!E22*'Rec-Desp-Fin (2)'!E17))/1000</f>
        <v>46997.785691999998</v>
      </c>
      <c r="F27" s="13">
        <f>(('Premissa FrangoB'!$E$19*(1+'Premissas SaintL'!K7))*('Rec-Desp-Fin (2)'!F22*'Rec-Desp-Fin (2)'!F17))/1000</f>
        <v>48877.69711968</v>
      </c>
      <c r="G27" s="13">
        <f>(('Premissa FrangoB'!$E$19*(1+'Premissas SaintL'!L7))*('Rec-Desp-Fin (2)'!G22*'Rec-Desp-Fin (2)'!G17))/1000</f>
        <v>50832.805004467205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6" t="s">
        <v>120</v>
      </c>
      <c r="B28" s="2"/>
      <c r="C28" s="13">
        <f>('Premissa FrangoB'!$E$20*(1+'Premissas SaintL'!H7)*'Rec-Desp-Fin (2)'!C5)/1000</f>
        <v>4090.0463999999997</v>
      </c>
      <c r="D28" s="13">
        <f>('Premissa FrangoB'!$E$20*(1+'Premissas SaintL'!I7)*'Rec-Desp-Fin (2)'!D5)/1000</f>
        <v>4274.0984879999987</v>
      </c>
      <c r="E28" s="13">
        <f>('Premissa FrangoB'!$E$20*(1+'Premissas SaintL'!J7)*'Rec-Desp-Fin (2)'!E5)/1000</f>
        <v>4889.5686702719995</v>
      </c>
      <c r="F28" s="13">
        <f>('Premissa FrangoB'!$E$20*(1+'Premissas SaintL'!K7)*'Rec-Desp-Fin (2)'!F5)/1000</f>
        <v>5085.1514170828796</v>
      </c>
      <c r="G28" s="13">
        <f>('Premissa FrangoB'!$E$20*(1+'Premissas SaintL'!L7)*'Rec-Desp-Fin (2)'!G5)/1000</f>
        <v>5288.5574737661955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25">
      <c r="A29" s="6" t="s">
        <v>121</v>
      </c>
      <c r="B29" s="2"/>
      <c r="C29" s="13">
        <f>(('Premissa FrangoB'!$E$21*(1+'Premissas SaintL'!H7))*'Rec-Desp-Fin (2)'!C19)/1000</f>
        <v>7735.3122835482336</v>
      </c>
      <c r="D29" s="13">
        <f>(('Premissa FrangoB'!$E$21*(1+'Premissas SaintL'!I7))*'Rec-Desp-Fin (2)'!D19)/1000</f>
        <v>8083.4013363079048</v>
      </c>
      <c r="E29" s="13">
        <f>(('Premissa FrangoB'!$E$21*(1+'Premissas SaintL'!J7))*'Rec-Desp-Fin (2)'!E19)/1000</f>
        <v>9247.411128736243</v>
      </c>
      <c r="F29" s="13">
        <f>(('Premissa FrangoB'!$E$21*(1+'Premissas SaintL'!K7))*'Rec-Desp-Fin (2)'!F19)/1000</f>
        <v>9617.3075738856915</v>
      </c>
      <c r="G29" s="13">
        <f>(('Premissa FrangoB'!$E$21*(1+'Premissas SaintL'!L7))*'Rec-Desp-Fin (2)'!G19)/1000</f>
        <v>10001.999876841122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25">
      <c r="A30" s="5" t="s">
        <v>23</v>
      </c>
      <c r="B30" s="2"/>
      <c r="C30" s="13">
        <f>(('Premissa FrangoB'!$E$22*(1+'Premissas SaintL'!H7))*'Rec-Desp-Fin (2)'!C19)/1000</f>
        <v>10053.34460692941</v>
      </c>
      <c r="D30" s="13">
        <f>(('Premissa FrangoB'!$E$22*(1+'Premissas SaintL'!I7))*'Rec-Desp-Fin (2)'!D19)/1000</f>
        <v>10505.745114241234</v>
      </c>
      <c r="E30" s="13">
        <f>(('Premissa FrangoB'!$E$22*(1+'Premissas SaintL'!J7))*'Rec-Desp-Fin (2)'!E19)/1000</f>
        <v>12018.572410691972</v>
      </c>
      <c r="F30" s="13">
        <f>(('Premissa FrangoB'!$E$22*(1+'Premissas SaintL'!K7))*'Rec-Desp-Fin (2)'!F19)/1000</f>
        <v>12499.315307119652</v>
      </c>
      <c r="G30" s="13">
        <f>(('Premissa FrangoB'!$E$22*(1+'Premissas SaintL'!L7))*'Rec-Desp-Fin (2)'!G19)/1000</f>
        <v>12999.287919404438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25">
      <c r="A31" s="7" t="s">
        <v>122</v>
      </c>
      <c r="B31" s="2"/>
      <c r="C31" s="48">
        <f>SUM(C25:C30)</f>
        <v>96589.942085689428</v>
      </c>
      <c r="D31" s="48">
        <f t="shared" ref="D31:G31" si="7">SUM(D25:D30)</f>
        <v>100936.4894795454</v>
      </c>
      <c r="E31" s="48">
        <f t="shared" si="7"/>
        <v>115471.34396459996</v>
      </c>
      <c r="F31" s="48">
        <f t="shared" si="7"/>
        <v>120090.19772318396</v>
      </c>
      <c r="G31" s="48">
        <f t="shared" si="7"/>
        <v>124893.80563211133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7" t="s">
        <v>123</v>
      </c>
      <c r="B33" s="2"/>
      <c r="C33" s="1" t="s">
        <v>53</v>
      </c>
      <c r="D33" s="1" t="s">
        <v>54</v>
      </c>
      <c r="E33" s="1" t="s">
        <v>55</v>
      </c>
      <c r="F33" s="1" t="s">
        <v>56</v>
      </c>
      <c r="G33" s="1" t="s">
        <v>57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4" t="s">
        <v>124</v>
      </c>
      <c r="B34" s="2"/>
      <c r="C34" s="13">
        <f>'Premissa FrangoB'!E25</f>
        <v>1200</v>
      </c>
      <c r="D34" s="13">
        <f>C34*(1+'Premissas SaintL'!I5)</f>
        <v>1254</v>
      </c>
      <c r="E34" s="13">
        <f>D34*(1+'Premissas SaintL'!J5)</f>
        <v>1304.1600000000001</v>
      </c>
      <c r="F34" s="13">
        <f>E34*(1+'Premissas SaintL'!K5)</f>
        <v>1356.3264000000001</v>
      </c>
      <c r="G34" s="13">
        <f>F34*(1+'Premissas SaintL'!L5)</f>
        <v>1410.5794560000002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20" x14ac:dyDescent="0.25">
      <c r="A35" s="5" t="s">
        <v>125</v>
      </c>
      <c r="B35" s="2"/>
      <c r="C35" s="13">
        <f>'Premissa FrangoB'!E26</f>
        <v>300</v>
      </c>
      <c r="D35" s="13">
        <f>C35*(1+'Premissas SaintL'!I5)</f>
        <v>313.5</v>
      </c>
      <c r="E35" s="13">
        <f>D35*(1+'Premissas SaintL'!J5)</f>
        <v>326.04000000000002</v>
      </c>
      <c r="F35" s="13">
        <f>E35*(1+'Premissas SaintL'!K5)</f>
        <v>339.08160000000004</v>
      </c>
      <c r="G35" s="13">
        <f>F35*(1+'Premissas SaintL'!L5)</f>
        <v>352.64486400000004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20" x14ac:dyDescent="0.25">
      <c r="A36" s="7" t="s">
        <v>9</v>
      </c>
      <c r="B36" s="2"/>
      <c r="C36" s="13">
        <f>90%*'Premissa FrangoB'!$E$7*'Premissa FrangoB'!B26</f>
        <v>3465.0000000000009</v>
      </c>
      <c r="D36" s="13">
        <f>90%*'Premissa FrangoB'!$E$7*'BP-WACC-Val2'!D13</f>
        <v>6035.4000000000015</v>
      </c>
      <c r="E36" s="13">
        <f>90%*'Premissa FrangoB'!$E$7*'BP-WACC-Val2'!E13</f>
        <v>7398.2160000000013</v>
      </c>
      <c r="F36" s="13">
        <f>90%*'Premissa FrangoB'!$E$7*'BP-WACC-Val2'!F13</f>
        <v>7398.2160000000013</v>
      </c>
      <c r="G36" s="13">
        <f>90%*'Premissa FrangoB'!$E$7*'BP-WACC-Val2'!G13</f>
        <v>7398.2160000000013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20" x14ac:dyDescent="0.25">
      <c r="A37" s="7" t="s">
        <v>126</v>
      </c>
      <c r="B37" s="2"/>
      <c r="C37" s="13">
        <f>SUM(C34:C36)</f>
        <v>4965.0000000000009</v>
      </c>
      <c r="D37" s="13">
        <f t="shared" ref="D37:G37" si="8">SUM(D34:D36)</f>
        <v>7602.9000000000015</v>
      </c>
      <c r="E37" s="13">
        <f t="shared" si="8"/>
        <v>9028.4160000000011</v>
      </c>
      <c r="F37" s="13">
        <f t="shared" si="8"/>
        <v>9093.6240000000016</v>
      </c>
      <c r="G37" s="13">
        <f t="shared" si="8"/>
        <v>9161.4403200000015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7" t="s">
        <v>127</v>
      </c>
      <c r="B38" s="2"/>
      <c r="C38" s="48">
        <f>C31+C37</f>
        <v>101554.94208568943</v>
      </c>
      <c r="D38" s="48">
        <f t="shared" ref="D38:G38" si="9">D31+D37</f>
        <v>108539.38947954541</v>
      </c>
      <c r="E38" s="48">
        <f t="shared" si="9"/>
        <v>124499.75996459996</v>
      </c>
      <c r="F38" s="48">
        <f t="shared" si="9"/>
        <v>129183.82172318395</v>
      </c>
      <c r="G38" s="48">
        <f t="shared" si="9"/>
        <v>134055.24595211132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20" x14ac:dyDescent="0.25">
      <c r="A40" s="46" t="s">
        <v>128</v>
      </c>
      <c r="B40" s="2"/>
      <c r="C40" s="48">
        <f>C38</f>
        <v>101554.94208568943</v>
      </c>
      <c r="D40" s="48">
        <f t="shared" ref="D40:G40" si="10">D38</f>
        <v>108539.38947954541</v>
      </c>
      <c r="E40" s="48">
        <f t="shared" si="10"/>
        <v>124499.75996459996</v>
      </c>
      <c r="F40" s="48">
        <f t="shared" si="10"/>
        <v>129183.82172318395</v>
      </c>
      <c r="G40" s="48">
        <f t="shared" si="10"/>
        <v>134055.24595211132</v>
      </c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20" x14ac:dyDescent="0.25">
      <c r="A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20" x14ac:dyDescent="0.25">
      <c r="A42" s="7" t="s">
        <v>129</v>
      </c>
      <c r="B42" s="102">
        <v>324</v>
      </c>
      <c r="C42" s="49">
        <f>'Premissa FrangoB'!$E$7*'Premissa FrangoB'!$E$8*'Premissa FrangoB'!B26</f>
        <v>385.00000000000006</v>
      </c>
      <c r="D42" s="49">
        <f>'Premissa FrangoB'!$E$7*'Premissa FrangoB'!$E$8*'BP-WACC-Val2'!C13</f>
        <v>525.00000000000011</v>
      </c>
      <c r="E42" s="49">
        <f>'Premissa FrangoB'!$E$7*'Premissa FrangoB'!$E$8*'BP-WACC-Val2'!D13</f>
        <v>670.60000000000014</v>
      </c>
      <c r="F42" s="49">
        <f>'Premissa FrangoB'!$E$7*'Premissa FrangoB'!$E$8*'BP-WACC-Val2'!E13</f>
        <v>822.02400000000011</v>
      </c>
      <c r="G42" s="49">
        <f>'Premissa FrangoB'!$E$7*'Premissa FrangoB'!$E$8*'BP-WACC-Val2'!F13</f>
        <v>822.02400000000011</v>
      </c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20" x14ac:dyDescent="0.25">
      <c r="A44" s="1" t="s">
        <v>130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4" t="s">
        <v>124</v>
      </c>
      <c r="B45" s="49">
        <f>C45/(1+'Premissas SaintL'!$H$5)</f>
        <v>678.46889952153117</v>
      </c>
      <c r="C45" s="7">
        <f>'Premissa FrangoB'!E29</f>
        <v>709</v>
      </c>
      <c r="D45" s="13">
        <f>C45*(1+'Premissas SaintL'!I5)</f>
        <v>740.90499999999997</v>
      </c>
      <c r="E45" s="13">
        <f>D45*(1+'Premissas SaintL'!J5)</f>
        <v>770.5412</v>
      </c>
      <c r="F45" s="13">
        <f>E45*(1+'Premissas SaintL'!K5)</f>
        <v>801.36284799999999</v>
      </c>
      <c r="G45" s="13">
        <f>F45*(1+'Premissas SaintL'!L5)</f>
        <v>833.41736191999996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6" t="s">
        <v>125</v>
      </c>
      <c r="B46" s="49">
        <f>C46/(1+'Premissas SaintL'!$H$5)</f>
        <v>559.80861244019138</v>
      </c>
      <c r="C46" s="7">
        <f>'Premissa FrangoB'!E30</f>
        <v>585</v>
      </c>
      <c r="D46" s="13">
        <f>C46*(1+'Premissas SaintL'!I5)</f>
        <v>611.32499999999993</v>
      </c>
      <c r="E46" s="13">
        <f>D46*(1+'Premissas SaintL'!J5)</f>
        <v>635.77799999999991</v>
      </c>
      <c r="F46" s="13">
        <f>E46*(1+'Premissas SaintL'!K5)</f>
        <v>661.20911999999987</v>
      </c>
      <c r="G46" s="13">
        <f>F46*(1+'Premissas SaintL'!L5)</f>
        <v>687.65748479999991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5" t="s">
        <v>23</v>
      </c>
      <c r="B47" s="49">
        <f>C47/(1+'Premissas SaintL'!$H$5)</f>
        <v>231.57894736842107</v>
      </c>
      <c r="C47" s="7">
        <f>'Premissa FrangoB'!E31</f>
        <v>242</v>
      </c>
      <c r="D47" s="13">
        <f>C47*(1+'Premissas SaintL'!I5)</f>
        <v>252.89</v>
      </c>
      <c r="E47" s="13">
        <f>D47*(1+'Premissas SaintL'!J5)</f>
        <v>263.00560000000002</v>
      </c>
      <c r="F47" s="13">
        <f>E47*(1+'Premissas SaintL'!K5)</f>
        <v>273.525824</v>
      </c>
      <c r="G47" s="13">
        <f>F47*(1+'Premissas SaintL'!L5)</f>
        <v>284.46685696000003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7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7" t="s">
        <v>131</v>
      </c>
      <c r="B49" s="2"/>
      <c r="C49" s="13">
        <f>SUM(C45:C47)</f>
        <v>1536</v>
      </c>
      <c r="D49" s="13">
        <f t="shared" ref="D49:G49" si="11">SUM(D45:D47)</f>
        <v>1605.12</v>
      </c>
      <c r="E49" s="13">
        <f t="shared" si="11"/>
        <v>1669.3247999999999</v>
      </c>
      <c r="F49" s="13">
        <f t="shared" si="11"/>
        <v>1736.0977919999998</v>
      </c>
      <c r="G49" s="13">
        <f t="shared" si="11"/>
        <v>1805.54170368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x14ac:dyDescent="0.25">
      <c r="A51" s="1" t="s">
        <v>132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25">
      <c r="A52" s="4" t="s">
        <v>133</v>
      </c>
      <c r="B52" s="84">
        <f>'Premissa FrangoB'!B10/'Premissa FrangoB'!B3</f>
        <v>2.2615384615384617E-2</v>
      </c>
      <c r="C52" s="85">
        <f>$B$52</f>
        <v>2.2615384615384617E-2</v>
      </c>
      <c r="D52" s="85">
        <f>$B$52</f>
        <v>2.2615384615384617E-2</v>
      </c>
      <c r="E52" s="85">
        <f>$B$52</f>
        <v>2.2615384615384617E-2</v>
      </c>
      <c r="F52" s="85">
        <f>$B$52</f>
        <v>2.2615384615384617E-2</v>
      </c>
      <c r="G52" s="85">
        <f>$B$52</f>
        <v>2.2615384615384617E-2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25">
      <c r="A53" s="5" t="s">
        <v>134</v>
      </c>
      <c r="B53" s="2"/>
      <c r="C53" s="13">
        <f>C52*C12</f>
        <v>3357.1145353846155</v>
      </c>
      <c r="D53" s="13">
        <f t="shared" ref="D53:G53" si="12">D52*D12</f>
        <v>3508.1846894769228</v>
      </c>
      <c r="E53" s="13">
        <f t="shared" si="12"/>
        <v>4032.6583005537232</v>
      </c>
      <c r="F53" s="13">
        <f t="shared" si="12"/>
        <v>4193.9646325758722</v>
      </c>
      <c r="G53" s="13">
        <f t="shared" si="12"/>
        <v>4361.7232178789072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x14ac:dyDescent="0.25">
      <c r="A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25">
      <c r="A55" s="7" t="s">
        <v>135</v>
      </c>
      <c r="B55" s="1" t="s">
        <v>52</v>
      </c>
      <c r="C55" s="1" t="s">
        <v>53</v>
      </c>
      <c r="D55" s="1" t="s">
        <v>54</v>
      </c>
      <c r="E55" s="1" t="s">
        <v>55</v>
      </c>
      <c r="F55" s="1" t="s">
        <v>56</v>
      </c>
      <c r="G55" s="1" t="s">
        <v>57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25">
      <c r="A56" s="4" t="s">
        <v>21</v>
      </c>
      <c r="B56" s="13">
        <f>'Premissa FrangoB'!B21</f>
        <v>8000</v>
      </c>
      <c r="C56" s="13">
        <f>($J$56*C12)/360</f>
        <v>8304.5504895104896</v>
      </c>
      <c r="D56" s="13">
        <f t="shared" ref="D56:F56" si="13">($J$56*D12)/360</f>
        <v>8678.2552615384611</v>
      </c>
      <c r="E56" s="13">
        <f t="shared" si="13"/>
        <v>9975.6544231384596</v>
      </c>
      <c r="F56" s="13">
        <f t="shared" si="13"/>
        <v>10374.680600063999</v>
      </c>
      <c r="G56" s="13">
        <f>($J$56*G12)/360</f>
        <v>10789.667824066561</v>
      </c>
      <c r="H56" s="2"/>
      <c r="I56" s="7" t="s">
        <v>245</v>
      </c>
      <c r="J56" s="49">
        <f>('Premissa FrangoB'!B21/'Premissa FrangoB'!B3)*360</f>
        <v>20.13986013986014</v>
      </c>
      <c r="K56" s="7" t="s">
        <v>246</v>
      </c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25">
      <c r="A57" s="15" t="s">
        <v>136</v>
      </c>
      <c r="B57" s="13">
        <f>'Premissa FrangoB'!B22</f>
        <v>6300</v>
      </c>
      <c r="C57" s="13">
        <f>($J$57*C40)/360</f>
        <v>6687.3217641324436</v>
      </c>
      <c r="D57" s="13">
        <f>($J$57*D40)/360</f>
        <v>7147.2427301447233</v>
      </c>
      <c r="E57" s="13">
        <f t="shared" ref="E57:G57" si="14">($J$57*E40)/360</f>
        <v>8198.2219411639617</v>
      </c>
      <c r="F57" s="13">
        <f t="shared" si="14"/>
        <v>8506.664125260615</v>
      </c>
      <c r="G57" s="13">
        <f t="shared" si="14"/>
        <v>8827.4439967211365</v>
      </c>
      <c r="H57" s="2"/>
      <c r="I57" s="7" t="s">
        <v>247</v>
      </c>
      <c r="J57" s="49">
        <f>('Premissa FrangoB'!B22/'Premissa FrangoB'!B6)*360</f>
        <v>23.70574770311373</v>
      </c>
      <c r="K57" s="7" t="s">
        <v>246</v>
      </c>
      <c r="L57" s="2"/>
      <c r="M57" s="2"/>
      <c r="N57" s="2"/>
      <c r="O57" s="2"/>
      <c r="P57" s="2"/>
      <c r="Q57" s="2"/>
      <c r="R57" s="2"/>
      <c r="S57" s="2"/>
      <c r="T57" s="2"/>
    </row>
    <row r="58" spans="1:20" x14ac:dyDescent="0.25">
      <c r="A58" s="15" t="s">
        <v>137</v>
      </c>
      <c r="B58" s="13">
        <f>'Premissa FrangoB'!B23</f>
        <v>0</v>
      </c>
      <c r="C58" s="13">
        <f>$B$58</f>
        <v>0</v>
      </c>
      <c r="D58" s="13">
        <f>$B$58</f>
        <v>0</v>
      </c>
      <c r="E58" s="13">
        <f>$B$58</f>
        <v>0</v>
      </c>
      <c r="F58" s="13">
        <f>$B$58</f>
        <v>0</v>
      </c>
      <c r="G58" s="13">
        <f>$B$58</f>
        <v>0</v>
      </c>
      <c r="H58" s="2"/>
      <c r="I58" s="7" t="s">
        <v>248</v>
      </c>
      <c r="J58" s="49">
        <f>('Premissa FrangoB'!B34/'Premissa FrangoB'!B4)*360</f>
        <v>24.109736417428728</v>
      </c>
      <c r="K58" s="7" t="s">
        <v>246</v>
      </c>
      <c r="L58" s="2"/>
      <c r="M58" s="2"/>
      <c r="N58" s="2"/>
      <c r="O58" s="2"/>
      <c r="P58" s="2"/>
      <c r="Q58" s="2"/>
      <c r="R58" s="2"/>
      <c r="S58" s="2"/>
      <c r="T58" s="2"/>
    </row>
    <row r="59" spans="1:20" x14ac:dyDescent="0.25">
      <c r="A59" s="15" t="s">
        <v>138</v>
      </c>
      <c r="B59" s="13">
        <f>'Premissa FrangoB'!B34</f>
        <v>1245</v>
      </c>
      <c r="C59" s="13">
        <f>($J$58*('Premissas SaintL'!$G$16*'Rec-Desp-Fin (2)'!C12))/360</f>
        <v>1272.5126596234536</v>
      </c>
      <c r="D59" s="13">
        <f>($J$58*('Premissas SaintL'!$G$16*'Rec-Desp-Fin (2)'!D12))/360</f>
        <v>1329.775729306509</v>
      </c>
      <c r="E59" s="13">
        <f>($J$58*('Premissas SaintL'!$G$16*'Rec-Desp-Fin (2)'!E12))/360</f>
        <v>1528.5772008378322</v>
      </c>
      <c r="F59" s="13">
        <f>($J$58*('Premissas SaintL'!$G$16*'Rec-Desp-Fin (2)'!F12))/360</f>
        <v>1589.7202888713455</v>
      </c>
      <c r="G59" s="13">
        <f>($J$58*('Premissas SaintL'!$G$16*'Rec-Desp-Fin (2)'!G12))/360</f>
        <v>1653.3091004261992</v>
      </c>
      <c r="H59" s="2"/>
      <c r="I59" s="7" t="s">
        <v>249</v>
      </c>
      <c r="J59" s="49">
        <f>('Premissa FrangoB'!B33/'Premissa FrangoB'!B6)*360</f>
        <v>58.158101031639028</v>
      </c>
      <c r="K59" s="7" t="s">
        <v>246</v>
      </c>
      <c r="L59" s="2"/>
      <c r="M59" s="2"/>
      <c r="N59" s="2"/>
      <c r="O59" s="2"/>
      <c r="P59" s="2"/>
      <c r="Q59" s="2"/>
      <c r="R59" s="2"/>
      <c r="S59" s="2"/>
      <c r="T59" s="2"/>
    </row>
    <row r="60" spans="1:20" x14ac:dyDescent="0.25">
      <c r="A60" s="15" t="s">
        <v>139</v>
      </c>
      <c r="B60" s="13">
        <f>'Premissa FrangoB'!B33</f>
        <v>15456</v>
      </c>
      <c r="C60" s="13">
        <f>($J$59*C40)/360</f>
        <v>16406.229394671602</v>
      </c>
      <c r="D60" s="13">
        <f t="shared" ref="D60:G60" si="15">($J$59*D40)/360</f>
        <v>17534.56883128839</v>
      </c>
      <c r="E60" s="13">
        <f t="shared" si="15"/>
        <v>20112.971162322257</v>
      </c>
      <c r="F60" s="13">
        <f t="shared" si="15"/>
        <v>20869.682653972712</v>
      </c>
      <c r="G60" s="13">
        <f t="shared" si="15"/>
        <v>21656.662605289192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x14ac:dyDescent="0.25">
      <c r="A61" s="47" t="s">
        <v>140</v>
      </c>
      <c r="B61" s="86">
        <f>'Premissa FrangoB'!B38</f>
        <v>300</v>
      </c>
      <c r="C61" s="86">
        <f>$B$61</f>
        <v>300</v>
      </c>
      <c r="D61" s="86">
        <f>$B$61</f>
        <v>300</v>
      </c>
      <c r="E61" s="86">
        <f>$B$61</f>
        <v>300</v>
      </c>
      <c r="F61" s="86">
        <f>$B$61</f>
        <v>300</v>
      </c>
      <c r="G61" s="86">
        <f>$B$61</f>
        <v>300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x14ac:dyDescent="0.25">
      <c r="A62" s="7" t="s">
        <v>141</v>
      </c>
      <c r="B62" s="16">
        <f>B56+B57+B58-B59-B60-B61</f>
        <v>-2701</v>
      </c>
      <c r="C62" s="13">
        <f>C56+C57+C58-C59-C60-C61</f>
        <v>-2986.8698006521208</v>
      </c>
      <c r="D62" s="13">
        <f t="shared" ref="D62:G62" si="16">D56+D57+D58-D59-D60-D61</f>
        <v>-3338.8465689117165</v>
      </c>
      <c r="E62" s="13">
        <f t="shared" si="16"/>
        <v>-3767.6719988576697</v>
      </c>
      <c r="F62" s="13">
        <f t="shared" si="16"/>
        <v>-3878.0582175194431</v>
      </c>
      <c r="G62" s="13">
        <f t="shared" si="16"/>
        <v>-3992.8598849276932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x14ac:dyDescent="0.25">
      <c r="A64" s="1" t="s">
        <v>142</v>
      </c>
      <c r="B64" s="2"/>
      <c r="C64" s="1" t="s">
        <v>53</v>
      </c>
      <c r="D64" s="1" t="s">
        <v>54</v>
      </c>
      <c r="E64" s="1" t="s">
        <v>55</v>
      </c>
      <c r="F64" s="1" t="s">
        <v>56</v>
      </c>
      <c r="G64" s="1" t="s">
        <v>57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x14ac:dyDescent="0.25">
      <c r="A65" s="7" t="s">
        <v>94</v>
      </c>
      <c r="B65" s="2"/>
      <c r="C65" s="20">
        <f>'Premissa FrangoB'!$F$43</f>
        <v>0.13</v>
      </c>
      <c r="D65" s="20">
        <f>'Premissa FrangoB'!$F$43</f>
        <v>0.13</v>
      </c>
      <c r="E65" s="20">
        <f>'Premissa FrangoB'!$F$43</f>
        <v>0.13</v>
      </c>
      <c r="F65" s="20">
        <f>'Premissa FrangoB'!$F$43</f>
        <v>0.13</v>
      </c>
      <c r="G65" s="20">
        <f>'Premissa FrangoB'!$F$43</f>
        <v>0.13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x14ac:dyDescent="0.25">
      <c r="A67" s="7" t="s">
        <v>143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25">
      <c r="A68" s="4" t="s">
        <v>149</v>
      </c>
      <c r="B68" s="2"/>
      <c r="C68" s="13">
        <f>B73</f>
        <v>1150</v>
      </c>
      <c r="D68" s="13">
        <f>C73</f>
        <v>1150</v>
      </c>
      <c r="E68" s="13">
        <f t="shared" ref="E68:G68" si="17">D73</f>
        <v>1150</v>
      </c>
      <c r="F68" s="13">
        <f t="shared" si="17"/>
        <v>1150</v>
      </c>
      <c r="G68" s="13">
        <f t="shared" si="17"/>
        <v>1150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x14ac:dyDescent="0.25">
      <c r="A69" s="15" t="s">
        <v>144</v>
      </c>
      <c r="B69" s="2"/>
      <c r="C69" s="13">
        <f>C65*'Rec-Desp-Fin (2)'!C68</f>
        <v>149.5</v>
      </c>
      <c r="D69" s="13">
        <f>D65*'Rec-Desp-Fin (2)'!D68</f>
        <v>149.5</v>
      </c>
      <c r="E69" s="13">
        <f>E65*'Rec-Desp-Fin (2)'!E68</f>
        <v>149.5</v>
      </c>
      <c r="F69" s="13">
        <f>F65*'Rec-Desp-Fin (2)'!F68</f>
        <v>149.5</v>
      </c>
      <c r="G69" s="13">
        <f>G65*'Rec-Desp-Fin (2)'!G68</f>
        <v>149.5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x14ac:dyDescent="0.25">
      <c r="A70" s="15" t="s">
        <v>145</v>
      </c>
      <c r="B70" s="2"/>
      <c r="C70" s="13">
        <f>C68</f>
        <v>1150</v>
      </c>
      <c r="D70" s="13">
        <f t="shared" ref="D70:G70" si="18">D68</f>
        <v>1150</v>
      </c>
      <c r="E70" s="13">
        <f t="shared" si="18"/>
        <v>1150</v>
      </c>
      <c r="F70" s="13">
        <f t="shared" si="18"/>
        <v>1150</v>
      </c>
      <c r="G70" s="13">
        <f t="shared" si="18"/>
        <v>1150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25">
      <c r="A71" s="15" t="s">
        <v>146</v>
      </c>
      <c r="B71" s="2"/>
      <c r="C71" s="13">
        <f>C69</f>
        <v>149.5</v>
      </c>
      <c r="D71" s="13">
        <f t="shared" ref="D71:G71" si="19">D69</f>
        <v>149.5</v>
      </c>
      <c r="E71" s="13">
        <f t="shared" si="19"/>
        <v>149.5</v>
      </c>
      <c r="F71" s="13">
        <f t="shared" si="19"/>
        <v>149.5</v>
      </c>
      <c r="G71" s="115">
        <f t="shared" si="19"/>
        <v>149.5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x14ac:dyDescent="0.25">
      <c r="A72" s="15" t="s">
        <v>147</v>
      </c>
      <c r="C72" s="13">
        <f>6900/6</f>
        <v>1150</v>
      </c>
      <c r="D72" s="13">
        <f t="shared" ref="D72:G72" si="20">6900/6</f>
        <v>1150</v>
      </c>
      <c r="E72" s="13">
        <f t="shared" si="20"/>
        <v>1150</v>
      </c>
      <c r="F72" s="13">
        <f t="shared" si="20"/>
        <v>1150</v>
      </c>
      <c r="G72" s="13">
        <f t="shared" si="20"/>
        <v>1150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x14ac:dyDescent="0.25">
      <c r="A73" s="5" t="s">
        <v>148</v>
      </c>
      <c r="B73" s="87">
        <v>1150</v>
      </c>
      <c r="C73" s="13">
        <f>C68+C69+C70-C71-C72</f>
        <v>1150</v>
      </c>
      <c r="D73" s="13">
        <f t="shared" ref="D73:G73" si="21">D68+D69+D70-D71-D72</f>
        <v>1150</v>
      </c>
      <c r="E73" s="13">
        <f t="shared" si="21"/>
        <v>1150</v>
      </c>
      <c r="F73" s="86">
        <f>F68+F69+F70-F71-F72</f>
        <v>1150</v>
      </c>
      <c r="G73" s="86">
        <f t="shared" si="21"/>
        <v>1150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x14ac:dyDescent="0.25">
      <c r="A74" s="7" t="s">
        <v>150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x14ac:dyDescent="0.25">
      <c r="A75" s="4" t="s">
        <v>149</v>
      </c>
      <c r="B75" s="2"/>
      <c r="C75" s="13">
        <f>B79</f>
        <v>5750</v>
      </c>
      <c r="D75" s="13">
        <f t="shared" ref="D75:G75" si="22">C79</f>
        <v>4600</v>
      </c>
      <c r="E75" s="13">
        <f t="shared" si="22"/>
        <v>3450</v>
      </c>
      <c r="F75" s="13">
        <f t="shared" si="22"/>
        <v>2300</v>
      </c>
      <c r="G75" s="13">
        <f t="shared" si="22"/>
        <v>1150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25">
      <c r="A76" s="15" t="s">
        <v>151</v>
      </c>
      <c r="B76" s="2"/>
      <c r="C76" s="13">
        <f>C65*'Rec-Desp-Fin (2)'!C75</f>
        <v>747.5</v>
      </c>
      <c r="D76" s="13">
        <f>D65*'Rec-Desp-Fin (2)'!D75</f>
        <v>598</v>
      </c>
      <c r="E76" s="13">
        <f>E65*'Rec-Desp-Fin (2)'!E75</f>
        <v>448.5</v>
      </c>
      <c r="F76" s="13">
        <f>F65*'Rec-Desp-Fin (2)'!F75</f>
        <v>299</v>
      </c>
      <c r="G76" s="13">
        <f>G65*'Rec-Desp-Fin (2)'!G75</f>
        <v>149.5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x14ac:dyDescent="0.25">
      <c r="A77" s="15" t="s">
        <v>152</v>
      </c>
      <c r="C77" s="13">
        <f>C70</f>
        <v>1150</v>
      </c>
      <c r="D77" s="13">
        <f t="shared" ref="D77:G77" si="23">D70</f>
        <v>1150</v>
      </c>
      <c r="E77" s="13">
        <f t="shared" si="23"/>
        <v>1150</v>
      </c>
      <c r="F77" s="13">
        <f t="shared" si="23"/>
        <v>1150</v>
      </c>
      <c r="G77" s="13">
        <f t="shared" si="23"/>
        <v>1150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x14ac:dyDescent="0.25">
      <c r="A78" s="15" t="s">
        <v>146</v>
      </c>
      <c r="C78" s="13">
        <f>C76</f>
        <v>747.5</v>
      </c>
      <c r="D78" s="13">
        <f t="shared" ref="D78:G78" si="24">D76</f>
        <v>598</v>
      </c>
      <c r="E78" s="13">
        <f t="shared" si="24"/>
        <v>448.5</v>
      </c>
      <c r="F78" s="13">
        <f t="shared" si="24"/>
        <v>299</v>
      </c>
      <c r="G78" s="13">
        <f t="shared" si="24"/>
        <v>149.5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x14ac:dyDescent="0.25">
      <c r="A79" s="5" t="s">
        <v>148</v>
      </c>
      <c r="B79" s="87">
        <v>5750</v>
      </c>
      <c r="C79" s="13">
        <f>C75+C76-C77-C78</f>
        <v>4600</v>
      </c>
      <c r="D79" s="13">
        <f t="shared" ref="D79:F79" si="25">D75+D76-D77-D78</f>
        <v>3450</v>
      </c>
      <c r="E79" s="13">
        <f t="shared" si="25"/>
        <v>2300</v>
      </c>
      <c r="F79" s="13">
        <f t="shared" si="25"/>
        <v>1150</v>
      </c>
      <c r="G79" s="13">
        <f>G75+G76-G77-G78</f>
        <v>0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x14ac:dyDescent="0.25">
      <c r="A80" s="7" t="s">
        <v>153</v>
      </c>
      <c r="B80" s="89">
        <f>B73+B79</f>
        <v>6900</v>
      </c>
      <c r="C80" s="13">
        <f t="shared" ref="C80:G80" si="26">C73+C79</f>
        <v>5750</v>
      </c>
      <c r="D80" s="87">
        <f>D73+D79</f>
        <v>4600</v>
      </c>
      <c r="E80" s="87">
        <f t="shared" si="26"/>
        <v>3450</v>
      </c>
      <c r="F80" s="87">
        <f t="shared" si="26"/>
        <v>2300</v>
      </c>
      <c r="G80" s="87">
        <f t="shared" si="26"/>
        <v>1150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x14ac:dyDescent="0.25">
      <c r="A82" s="1" t="s">
        <v>154</v>
      </c>
      <c r="B82" s="2"/>
      <c r="C82" s="1" t="s">
        <v>53</v>
      </c>
      <c r="D82" s="1" t="s">
        <v>54</v>
      </c>
      <c r="E82" s="1" t="s">
        <v>55</v>
      </c>
      <c r="F82" s="1" t="s">
        <v>56</v>
      </c>
      <c r="G82" s="1" t="s">
        <v>57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x14ac:dyDescent="0.25">
      <c r="A83" s="7" t="s">
        <v>155</v>
      </c>
      <c r="B83" s="2"/>
      <c r="C83" s="45">
        <f>'Premissas SaintL'!$G$52</f>
        <v>0.16</v>
      </c>
      <c r="D83" s="45">
        <f>'Premissas SaintL'!$G$52</f>
        <v>0.16</v>
      </c>
      <c r="E83" s="45">
        <f>'Premissas SaintL'!$G$52</f>
        <v>0.16</v>
      </c>
      <c r="F83" s="45">
        <f>'Premissas SaintL'!$G$52</f>
        <v>0.16</v>
      </c>
      <c r="G83" s="45">
        <f>'Premissas SaintL'!$G$52</f>
        <v>0.16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x14ac:dyDescent="0.25">
      <c r="A85" s="7" t="s">
        <v>143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x14ac:dyDescent="0.25">
      <c r="A86" s="4" t="s">
        <v>149</v>
      </c>
      <c r="B86" s="2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2"/>
      <c r="I86" s="2" t="s">
        <v>311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x14ac:dyDescent="0.25">
      <c r="A87" s="15" t="s">
        <v>144</v>
      </c>
      <c r="B87" s="2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2"/>
      <c r="I87" s="1" t="s">
        <v>53</v>
      </c>
      <c r="J87" s="1" t="s">
        <v>54</v>
      </c>
      <c r="K87" s="1" t="s">
        <v>55</v>
      </c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5">
      <c r="A88" s="15" t="s">
        <v>156</v>
      </c>
      <c r="B88" s="2"/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2"/>
      <c r="I88" s="187">
        <v>20000</v>
      </c>
      <c r="J88" s="187">
        <v>20800</v>
      </c>
      <c r="K88" s="187">
        <v>21632</v>
      </c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5">
      <c r="A89" s="15" t="s">
        <v>146</v>
      </c>
      <c r="B89" s="2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2"/>
      <c r="I89" s="7" t="s">
        <v>312</v>
      </c>
      <c r="J89" s="7"/>
      <c r="K89" s="7"/>
      <c r="L89" s="2"/>
      <c r="M89" s="2"/>
      <c r="N89" s="2"/>
      <c r="O89" s="2"/>
      <c r="P89" s="2"/>
      <c r="Q89" s="2"/>
      <c r="R89" s="2"/>
      <c r="S89" s="2"/>
      <c r="T89" s="2"/>
    </row>
    <row r="90" spans="1:20" x14ac:dyDescent="0.25">
      <c r="A90" s="15" t="s">
        <v>147</v>
      </c>
      <c r="B90" s="2"/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2"/>
      <c r="I90" s="48">
        <f>70%*I88</f>
        <v>14000</v>
      </c>
      <c r="J90" s="48">
        <f>70%*J88</f>
        <v>14559.999999999998</v>
      </c>
      <c r="K90" s="48">
        <f>70%*K88</f>
        <v>15142.4</v>
      </c>
      <c r="L90" s="2"/>
      <c r="M90" s="2"/>
      <c r="N90" s="2"/>
      <c r="O90" s="2"/>
      <c r="P90" s="2"/>
      <c r="Q90" s="2"/>
      <c r="R90" s="2"/>
      <c r="S90" s="2"/>
      <c r="T90" s="2"/>
    </row>
    <row r="91" spans="1:20" x14ac:dyDescent="0.25">
      <c r="A91" s="5" t="s">
        <v>148</v>
      </c>
      <c r="B91" s="2"/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x14ac:dyDescent="0.25">
      <c r="A92" s="7" t="s">
        <v>150</v>
      </c>
      <c r="B92" s="2"/>
      <c r="C92" s="2"/>
      <c r="D92" s="2"/>
      <c r="E92" s="2"/>
      <c r="F92" s="2"/>
      <c r="G92" s="2"/>
      <c r="H92" s="2"/>
      <c r="I92" s="7" t="s">
        <v>53</v>
      </c>
      <c r="J92" s="2">
        <v>1</v>
      </c>
      <c r="K92" s="2">
        <v>2</v>
      </c>
      <c r="L92" s="2">
        <v>3</v>
      </c>
      <c r="M92" s="2"/>
      <c r="N92" s="2"/>
      <c r="O92" s="2"/>
      <c r="P92" s="2"/>
      <c r="Q92" s="2"/>
      <c r="R92" s="2"/>
      <c r="S92" s="2"/>
      <c r="T92" s="2"/>
    </row>
    <row r="93" spans="1:20" x14ac:dyDescent="0.25">
      <c r="A93" s="4" t="s">
        <v>149</v>
      </c>
      <c r="B93" s="2"/>
      <c r="C93" s="86">
        <v>0</v>
      </c>
      <c r="D93" s="13">
        <f>C98</f>
        <v>1150</v>
      </c>
      <c r="E93" s="13">
        <f t="shared" ref="E93:G93" si="27">D98</f>
        <v>2300</v>
      </c>
      <c r="F93" s="13">
        <f t="shared" si="27"/>
        <v>2300</v>
      </c>
      <c r="G93" s="13">
        <f t="shared" si="27"/>
        <v>2300</v>
      </c>
      <c r="H93" s="2"/>
      <c r="I93" s="7" t="s">
        <v>149</v>
      </c>
      <c r="J93" s="48">
        <f>I90</f>
        <v>14000</v>
      </c>
      <c r="K93" s="48">
        <f>J96</f>
        <v>9333.3333333333321</v>
      </c>
      <c r="L93" s="48">
        <f>K96</f>
        <v>4666.6666666666652</v>
      </c>
      <c r="M93" s="2"/>
      <c r="N93" s="2"/>
      <c r="O93" s="2"/>
      <c r="P93" s="2"/>
      <c r="Q93" s="2"/>
      <c r="R93" s="2"/>
      <c r="S93" s="2"/>
      <c r="T93" s="2"/>
    </row>
    <row r="94" spans="1:20" x14ac:dyDescent="0.25">
      <c r="A94" s="15" t="s">
        <v>151</v>
      </c>
      <c r="B94" s="2"/>
      <c r="C94" s="86">
        <v>0</v>
      </c>
      <c r="D94" s="13">
        <f>D93*D83</f>
        <v>184</v>
      </c>
      <c r="E94" s="13">
        <f t="shared" ref="E94:G94" si="28">E93*E83</f>
        <v>368</v>
      </c>
      <c r="F94" s="13">
        <f t="shared" si="28"/>
        <v>368</v>
      </c>
      <c r="G94" s="13">
        <f t="shared" si="28"/>
        <v>368</v>
      </c>
      <c r="H94" s="2"/>
      <c r="I94" s="7" t="s">
        <v>313</v>
      </c>
      <c r="J94" s="48">
        <f>$I$90/3</f>
        <v>4666.666666666667</v>
      </c>
      <c r="K94" s="48">
        <f t="shared" ref="K94:L94" si="29">$I$90/3</f>
        <v>4666.666666666667</v>
      </c>
      <c r="L94" s="48">
        <f t="shared" si="29"/>
        <v>4666.666666666667</v>
      </c>
      <c r="M94" s="2"/>
      <c r="N94" s="2"/>
      <c r="O94" s="2"/>
      <c r="P94" s="2"/>
      <c r="Q94" s="2"/>
      <c r="R94" s="2"/>
      <c r="S94" s="2"/>
      <c r="T94" s="2"/>
    </row>
    <row r="95" spans="1:20" x14ac:dyDescent="0.25">
      <c r="A95" s="15" t="s">
        <v>157</v>
      </c>
      <c r="B95" s="2"/>
      <c r="C95" s="13">
        <f>'Premissa FrangoB'!E46</f>
        <v>1150</v>
      </c>
      <c r="D95" s="13">
        <f>'Premissa FrangoB'!F46</f>
        <v>1150</v>
      </c>
      <c r="E95" s="13">
        <v>0</v>
      </c>
      <c r="F95" s="86">
        <v>0</v>
      </c>
      <c r="G95" s="86">
        <v>0</v>
      </c>
      <c r="H95" s="2"/>
      <c r="I95" s="7" t="s">
        <v>314</v>
      </c>
      <c r="J95" s="48">
        <f>13%*J93</f>
        <v>1820</v>
      </c>
      <c r="K95" s="48">
        <f>13%*K93</f>
        <v>1213.3333333333333</v>
      </c>
      <c r="L95" s="48">
        <f>13%*L93</f>
        <v>606.66666666666652</v>
      </c>
      <c r="M95" s="2"/>
      <c r="N95" s="2"/>
      <c r="O95" s="2"/>
      <c r="P95" s="2"/>
      <c r="Q95" s="2"/>
      <c r="R95" s="2"/>
      <c r="S95" s="2"/>
      <c r="T95" s="2"/>
    </row>
    <row r="96" spans="1:20" x14ac:dyDescent="0.25">
      <c r="A96" s="15" t="s">
        <v>152</v>
      </c>
      <c r="B96" s="2"/>
      <c r="C96" s="86">
        <v>0</v>
      </c>
      <c r="D96" s="86">
        <v>0</v>
      </c>
      <c r="E96" s="86">
        <v>0</v>
      </c>
      <c r="F96" s="86">
        <v>0</v>
      </c>
      <c r="G96" s="86">
        <v>0</v>
      </c>
      <c r="H96" s="2"/>
      <c r="I96" s="7" t="s">
        <v>148</v>
      </c>
      <c r="J96" s="48">
        <f>J93-J94</f>
        <v>9333.3333333333321</v>
      </c>
      <c r="K96" s="48">
        <f t="shared" ref="K96" si="30">K93-K94</f>
        <v>4666.6666666666652</v>
      </c>
      <c r="L96" s="48">
        <f>L93-L94</f>
        <v>0</v>
      </c>
      <c r="M96" s="2"/>
      <c r="N96" s="2"/>
      <c r="O96" s="2"/>
      <c r="P96" s="2"/>
      <c r="Q96" s="2"/>
      <c r="R96" s="2"/>
      <c r="S96" s="2"/>
      <c r="T96" s="2"/>
    </row>
    <row r="97" spans="1:20" x14ac:dyDescent="0.25">
      <c r="A97" s="15" t="s">
        <v>146</v>
      </c>
      <c r="B97" s="2"/>
      <c r="C97" s="86">
        <v>0</v>
      </c>
      <c r="D97" s="13">
        <f>D94</f>
        <v>184</v>
      </c>
      <c r="E97" s="13">
        <f>E94</f>
        <v>368</v>
      </c>
      <c r="F97" s="13">
        <f t="shared" ref="F97:G97" si="31">F94</f>
        <v>368</v>
      </c>
      <c r="G97" s="13">
        <f t="shared" si="31"/>
        <v>368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x14ac:dyDescent="0.25">
      <c r="A98" s="5" t="s">
        <v>148</v>
      </c>
      <c r="B98" s="2"/>
      <c r="C98" s="13">
        <f>C93+C94+C95-C96-C97</f>
        <v>1150</v>
      </c>
      <c r="D98" s="13">
        <f t="shared" ref="D98:G98" si="32">D93+D94+D95-D96-D97</f>
        <v>2300</v>
      </c>
      <c r="E98" s="13">
        <f t="shared" si="32"/>
        <v>2300</v>
      </c>
      <c r="F98" s="13">
        <f t="shared" si="32"/>
        <v>2300</v>
      </c>
      <c r="G98" s="13">
        <f t="shared" si="32"/>
        <v>2300</v>
      </c>
      <c r="H98" s="2"/>
      <c r="I98" s="7" t="s">
        <v>54</v>
      </c>
      <c r="J98" s="2">
        <v>2</v>
      </c>
      <c r="K98" s="2">
        <v>3</v>
      </c>
      <c r="L98" s="2">
        <v>4</v>
      </c>
      <c r="M98" s="2"/>
      <c r="N98" s="2"/>
      <c r="O98" s="2"/>
      <c r="P98" s="2"/>
      <c r="Q98" s="2"/>
      <c r="R98" s="2"/>
      <c r="S98" s="2"/>
      <c r="T98" s="2"/>
    </row>
    <row r="99" spans="1:20" x14ac:dyDescent="0.25">
      <c r="A99" s="7" t="s">
        <v>153</v>
      </c>
      <c r="B99" s="2"/>
      <c r="C99" s="13">
        <f>C91+C98</f>
        <v>1150</v>
      </c>
      <c r="D99" s="13">
        <f t="shared" ref="D99:G99" si="33">D91+D98</f>
        <v>2300</v>
      </c>
      <c r="E99" s="13">
        <f t="shared" si="33"/>
        <v>2300</v>
      </c>
      <c r="F99" s="13">
        <f t="shared" si="33"/>
        <v>2300</v>
      </c>
      <c r="G99" s="13">
        <f t="shared" si="33"/>
        <v>2300</v>
      </c>
      <c r="H99" s="2"/>
      <c r="I99" s="7" t="s">
        <v>149</v>
      </c>
      <c r="J99" s="156">
        <f>J90</f>
        <v>14559.999999999998</v>
      </c>
      <c r="K99" s="156">
        <f>J102</f>
        <v>9706.6666666666642</v>
      </c>
      <c r="L99" s="156">
        <f>K102</f>
        <v>4853.3333333333312</v>
      </c>
      <c r="M99" s="2"/>
      <c r="N99" s="2"/>
      <c r="O99" s="2"/>
      <c r="P99" s="2"/>
      <c r="Q99" s="2"/>
      <c r="R99" s="2"/>
      <c r="S99" s="2"/>
      <c r="T99" s="2"/>
    </row>
    <row r="100" spans="1:20" x14ac:dyDescent="0.25">
      <c r="A100" s="2"/>
      <c r="B100" s="2"/>
      <c r="C100" s="2"/>
      <c r="D100" s="2"/>
      <c r="E100" s="2"/>
      <c r="F100" s="2"/>
      <c r="G100" s="2"/>
      <c r="H100" s="2"/>
      <c r="I100" s="7" t="s">
        <v>313</v>
      </c>
      <c r="J100" s="156">
        <f>$J$99/3</f>
        <v>4853.333333333333</v>
      </c>
      <c r="K100" s="156">
        <f t="shared" ref="K100:L100" si="34">$J$99/3</f>
        <v>4853.333333333333</v>
      </c>
      <c r="L100" s="156">
        <f t="shared" si="34"/>
        <v>4853.333333333333</v>
      </c>
      <c r="M100" s="2"/>
      <c r="N100" s="2"/>
      <c r="O100" s="2"/>
      <c r="P100" s="2"/>
      <c r="Q100" s="2"/>
      <c r="R100" s="2"/>
      <c r="S100" s="2"/>
      <c r="T100" s="2"/>
    </row>
    <row r="101" spans="1:20" x14ac:dyDescent="0.25">
      <c r="A101" s="2"/>
      <c r="B101" s="2"/>
      <c r="C101" s="2"/>
      <c r="D101" s="2"/>
      <c r="E101" s="2"/>
      <c r="F101" s="2"/>
      <c r="G101" s="2"/>
      <c r="H101" s="2"/>
      <c r="I101" s="7" t="s">
        <v>314</v>
      </c>
      <c r="J101" s="48">
        <f>13%*J99</f>
        <v>1892.7999999999997</v>
      </c>
      <c r="K101" s="48">
        <f>13%*K99</f>
        <v>1261.8666666666663</v>
      </c>
      <c r="L101" s="48">
        <f t="shared" ref="L101" si="35">13%*L99</f>
        <v>630.93333333333305</v>
      </c>
      <c r="M101" s="2"/>
      <c r="N101" s="2"/>
      <c r="O101" s="2"/>
      <c r="P101" s="2"/>
      <c r="Q101" s="2"/>
      <c r="R101" s="2"/>
      <c r="S101" s="2"/>
      <c r="T101" s="2"/>
    </row>
    <row r="102" spans="1:20" x14ac:dyDescent="0.25">
      <c r="A102" s="2"/>
      <c r="B102" s="2"/>
      <c r="C102" s="2"/>
      <c r="D102" s="2"/>
      <c r="E102" s="2"/>
      <c r="F102" s="2"/>
      <c r="G102" s="2"/>
      <c r="H102" s="2"/>
      <c r="I102" s="7" t="s">
        <v>148</v>
      </c>
      <c r="J102" s="48">
        <f>J99-J100</f>
        <v>9706.6666666666642</v>
      </c>
      <c r="K102" s="48">
        <f>K99-K100</f>
        <v>4853.3333333333312</v>
      </c>
      <c r="L102" s="48">
        <f t="shared" ref="L102" si="36">L99-L100</f>
        <v>0</v>
      </c>
      <c r="M102" s="2"/>
      <c r="N102" s="2"/>
      <c r="O102" s="2"/>
      <c r="P102" s="2"/>
      <c r="Q102" s="2"/>
      <c r="R102" s="2"/>
      <c r="S102" s="2"/>
      <c r="T102" s="2"/>
    </row>
    <row r="103" spans="1:20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x14ac:dyDescent="0.25">
      <c r="A104" s="2"/>
      <c r="B104" s="2"/>
      <c r="C104" s="2"/>
      <c r="D104" s="2"/>
      <c r="E104" s="2"/>
      <c r="F104" s="2"/>
      <c r="G104" s="2"/>
      <c r="H104" s="2"/>
      <c r="I104" s="7" t="s">
        <v>55</v>
      </c>
      <c r="J104" s="2">
        <v>3</v>
      </c>
      <c r="K104" s="2">
        <v>4</v>
      </c>
      <c r="L104" s="2">
        <v>5</v>
      </c>
      <c r="M104" s="2"/>
      <c r="N104" s="2"/>
      <c r="O104" s="2"/>
      <c r="P104" s="2"/>
      <c r="Q104" s="2"/>
      <c r="R104" s="2"/>
      <c r="S104" s="2"/>
      <c r="T104" s="2"/>
    </row>
    <row r="105" spans="1:20" x14ac:dyDescent="0.25">
      <c r="A105" s="2"/>
      <c r="B105" s="2"/>
      <c r="C105" s="2"/>
      <c r="D105" s="2"/>
      <c r="E105" s="2"/>
      <c r="F105" s="2"/>
      <c r="G105" s="2"/>
      <c r="H105" s="2"/>
      <c r="I105" s="7" t="s">
        <v>149</v>
      </c>
      <c r="J105" s="48">
        <f>K90</f>
        <v>15142.4</v>
      </c>
      <c r="K105" s="48">
        <f>J108</f>
        <v>10094.933333333334</v>
      </c>
      <c r="L105" s="48">
        <f>K108</f>
        <v>5047.4666666666681</v>
      </c>
      <c r="M105" s="2"/>
      <c r="N105" s="2"/>
      <c r="O105" s="2"/>
      <c r="P105" s="2"/>
      <c r="Q105" s="2"/>
      <c r="R105" s="2"/>
      <c r="S105" s="2"/>
      <c r="T105" s="2"/>
    </row>
    <row r="106" spans="1:20" x14ac:dyDescent="0.25">
      <c r="A106" s="2"/>
      <c r="B106" s="2"/>
      <c r="C106" s="2"/>
      <c r="D106" s="2"/>
      <c r="E106" s="2"/>
      <c r="F106" s="2"/>
      <c r="G106" s="2"/>
      <c r="H106" s="2"/>
      <c r="I106" s="7" t="s">
        <v>313</v>
      </c>
      <c r="J106" s="48">
        <f>$J$105/3</f>
        <v>5047.4666666666662</v>
      </c>
      <c r="K106" s="48">
        <f t="shared" ref="K106:L106" si="37">$J$105/3</f>
        <v>5047.4666666666662</v>
      </c>
      <c r="L106" s="48">
        <f t="shared" si="37"/>
        <v>5047.4666666666662</v>
      </c>
      <c r="M106" s="2"/>
      <c r="N106" s="2"/>
      <c r="O106" s="2"/>
      <c r="P106" s="2"/>
      <c r="Q106" s="2"/>
      <c r="R106" s="2"/>
      <c r="S106" s="2"/>
      <c r="T106" s="2"/>
    </row>
    <row r="107" spans="1:20" x14ac:dyDescent="0.25">
      <c r="A107" s="2"/>
      <c r="B107" s="2"/>
      <c r="C107" s="2"/>
      <c r="D107" s="2"/>
      <c r="E107" s="2"/>
      <c r="F107" s="2"/>
      <c r="G107" s="2"/>
      <c r="H107" s="2"/>
      <c r="I107" s="7" t="s">
        <v>314</v>
      </c>
      <c r="J107" s="48">
        <f>13%*J105</f>
        <v>1968.5119999999999</v>
      </c>
      <c r="K107" s="48">
        <f t="shared" ref="K107:L107" si="38">13%*K105</f>
        <v>1312.3413333333335</v>
      </c>
      <c r="L107" s="48">
        <f t="shared" si="38"/>
        <v>656.17066666666688</v>
      </c>
      <c r="M107" s="2"/>
      <c r="N107" s="2"/>
      <c r="O107" s="2"/>
      <c r="P107" s="2"/>
      <c r="Q107" s="2"/>
      <c r="R107" s="2"/>
      <c r="S107" s="2"/>
      <c r="T107" s="2"/>
    </row>
    <row r="108" spans="1:20" x14ac:dyDescent="0.25">
      <c r="A108" s="2"/>
      <c r="B108" s="2"/>
      <c r="C108" s="2"/>
      <c r="D108" s="2"/>
      <c r="E108" s="2"/>
      <c r="F108" s="2"/>
      <c r="G108" s="2"/>
      <c r="H108" s="2"/>
      <c r="I108" s="7" t="s">
        <v>148</v>
      </c>
      <c r="J108" s="48">
        <f>J105-J106</f>
        <v>10094.933333333334</v>
      </c>
      <c r="K108" s="48">
        <f t="shared" ref="K108:L108" si="39">K105-K106</f>
        <v>5047.4666666666681</v>
      </c>
      <c r="L108" s="48">
        <f t="shared" si="39"/>
        <v>0</v>
      </c>
      <c r="M108" s="2"/>
      <c r="N108" s="2"/>
      <c r="O108" s="2"/>
      <c r="P108" s="2"/>
      <c r="Q108" s="2"/>
      <c r="R108" s="2"/>
      <c r="S108" s="2"/>
      <c r="T108" s="2"/>
    </row>
    <row r="109" spans="1:20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1:20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1:20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1:20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1:20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1:20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1:20" x14ac:dyDescent="0.25">
      <c r="A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1:20" x14ac:dyDescent="0.25"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8"/>
  <sheetViews>
    <sheetView topLeftCell="A26" workbookViewId="0">
      <selection activeCell="D45" sqref="D45"/>
    </sheetView>
  </sheetViews>
  <sheetFormatPr defaultRowHeight="15" x14ac:dyDescent="0.25"/>
  <cols>
    <col min="1" max="1" width="55.7109375" customWidth="1"/>
    <col min="2" max="2" width="9.42578125" bestFit="1" customWidth="1"/>
    <col min="3" max="7" width="9.140625" customWidth="1"/>
  </cols>
  <sheetData>
    <row r="1" spans="1:28" ht="30" x14ac:dyDescent="0.25">
      <c r="A1" s="54" t="s">
        <v>158</v>
      </c>
      <c r="B1" s="53" t="s">
        <v>159</v>
      </c>
      <c r="C1" s="57" t="s">
        <v>53</v>
      </c>
      <c r="D1" s="57" t="s">
        <v>54</v>
      </c>
      <c r="E1" s="57" t="s">
        <v>55</v>
      </c>
      <c r="F1" s="57" t="s">
        <v>56</v>
      </c>
      <c r="G1" s="57" t="s">
        <v>57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x14ac:dyDescent="0.25">
      <c r="A2" s="4" t="s">
        <v>160</v>
      </c>
      <c r="B2" s="2"/>
      <c r="C2" s="12">
        <f>C43</f>
        <v>22313.08417892595</v>
      </c>
      <c r="D2" s="12">
        <f t="shared" ref="D2:G2" si="0">D43</f>
        <v>20780.02296697766</v>
      </c>
      <c r="E2" s="12">
        <f t="shared" si="0"/>
        <v>24261.552782678293</v>
      </c>
      <c r="F2" s="12">
        <f t="shared" si="0"/>
        <v>25403.34353398543</v>
      </c>
      <c r="G2" s="12">
        <f t="shared" si="0"/>
        <v>26748.286875344878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x14ac:dyDescent="0.25">
      <c r="A3" s="15" t="s">
        <v>161</v>
      </c>
      <c r="B3" s="2"/>
      <c r="C3" s="93">
        <f>'Rec-Desp-Fin (2)'!C36+'Rec-Desp-Fin (2)'!C42</f>
        <v>3850.0000000000009</v>
      </c>
      <c r="D3" s="93">
        <f>'Rec-Desp-Fin (2)'!D36+'Rec-Desp-Fin (2)'!D42</f>
        <v>6560.4000000000015</v>
      </c>
      <c r="E3" s="93">
        <f>'Rec-Desp-Fin (2)'!E36+'Rec-Desp-Fin (2)'!E42</f>
        <v>8068.8160000000016</v>
      </c>
      <c r="F3" s="93">
        <f>'Rec-Desp-Fin (2)'!F36+'Rec-Desp-Fin (2)'!F42</f>
        <v>8220.2400000000016</v>
      </c>
      <c r="G3" s="93">
        <f>'Rec-Desp-Fin (2)'!G36+'Rec-Desp-Fin (2)'!G42</f>
        <v>8220.2400000000016</v>
      </c>
      <c r="H3" s="184"/>
      <c r="I3" s="184"/>
      <c r="J3" s="184"/>
      <c r="K3" s="184"/>
      <c r="L3" s="18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x14ac:dyDescent="0.25">
      <c r="A4" s="6" t="s">
        <v>162</v>
      </c>
      <c r="B4" s="2"/>
      <c r="C4" s="93">
        <f>C2+C3</f>
        <v>26163.08417892595</v>
      </c>
      <c r="D4" s="93">
        <f t="shared" ref="D4:G4" si="1">D2+D3</f>
        <v>27340.422966977661</v>
      </c>
      <c r="E4" s="93">
        <f t="shared" si="1"/>
        <v>32330.368782678295</v>
      </c>
      <c r="F4" s="93">
        <f t="shared" si="1"/>
        <v>33623.583533985431</v>
      </c>
      <c r="G4" s="93">
        <f t="shared" si="1"/>
        <v>34968.526875344876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x14ac:dyDescent="0.25">
      <c r="A5" s="47" t="s">
        <v>163</v>
      </c>
      <c r="B5" s="2"/>
      <c r="C5" s="91">
        <f>'Rec-Desp-Fin (2)'!C62-'Rec-Desp-Fin (2)'!B62</f>
        <v>-285.86980065212083</v>
      </c>
      <c r="D5" s="91">
        <f>'Rec-Desp-Fin (2)'!D62-'Rec-Desp-Fin (2)'!C62</f>
        <v>-351.9767682595957</v>
      </c>
      <c r="E5" s="91">
        <f>'Rec-Desp-Fin (2)'!E62-'Rec-Desp-Fin (2)'!D62</f>
        <v>-428.82542994595315</v>
      </c>
      <c r="F5" s="91">
        <f>'Rec-Desp-Fin (2)'!F62-'Rec-Desp-Fin (2)'!E62</f>
        <v>-110.38621866177346</v>
      </c>
      <c r="G5" s="91">
        <f>'Rec-Desp-Fin (2)'!G62-'Rec-Desp-Fin (2)'!F62</f>
        <v>-114.80166740825007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x14ac:dyDescent="0.25">
      <c r="A6" s="7" t="s">
        <v>164</v>
      </c>
      <c r="B6" s="2"/>
      <c r="C6" s="13">
        <f>C4-C5</f>
        <v>26448.953979578073</v>
      </c>
      <c r="D6" s="13">
        <f t="shared" ref="D6:G6" si="2">D4-D5</f>
        <v>27692.399735237257</v>
      </c>
      <c r="E6" s="13">
        <f t="shared" si="2"/>
        <v>32759.19421262425</v>
      </c>
      <c r="F6" s="13">
        <f t="shared" si="2"/>
        <v>33733.969752647201</v>
      </c>
      <c r="G6" s="13">
        <f t="shared" si="2"/>
        <v>35083.328542753123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x14ac:dyDescent="0.25">
      <c r="A7" s="7" t="s">
        <v>165</v>
      </c>
      <c r="B7" s="2"/>
      <c r="C7" s="13">
        <f>SUM(C8:C9)</f>
        <v>23850</v>
      </c>
      <c r="D7" s="13">
        <f t="shared" ref="D7:G7" si="3">SUM(D8:D9)</f>
        <v>27360.400000000001</v>
      </c>
      <c r="E7" s="13">
        <f t="shared" si="3"/>
        <v>29700.815999999999</v>
      </c>
      <c r="F7" s="13">
        <f t="shared" si="3"/>
        <v>8220.2400000000016</v>
      </c>
      <c r="G7" s="13">
        <f t="shared" si="3"/>
        <v>8220.2400000000016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x14ac:dyDescent="0.25">
      <c r="A8" s="55" t="s">
        <v>166</v>
      </c>
      <c r="B8" s="2"/>
      <c r="C8" s="12">
        <f>'Premissa FrangoB'!E37+'Rec-Desp-Fin (2)'!C36+'Rec-Desp-Fin (2)'!C42</f>
        <v>23850</v>
      </c>
      <c r="D8" s="12">
        <f>'Premissa FrangoB'!F37+'Rec-Desp-Fin (2)'!D36+'Rec-Desp-Fin (2)'!D42</f>
        <v>27360.400000000001</v>
      </c>
      <c r="E8" s="12">
        <f>'Premissa FrangoB'!G37+'Rec-Desp-Fin (2)'!E36+'Rec-Desp-Fin (2)'!E42</f>
        <v>29700.815999999999</v>
      </c>
      <c r="F8" s="12">
        <f>'Rec-Desp-Fin (2)'!F36+'Rec-Desp-Fin (2)'!F42</f>
        <v>8220.2400000000016</v>
      </c>
      <c r="G8" s="12">
        <f>'Rec-Desp-Fin (2)'!G36+'Rec-Desp-Fin (2)'!G42</f>
        <v>8220.2400000000016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x14ac:dyDescent="0.25">
      <c r="A9" s="47" t="s">
        <v>167</v>
      </c>
      <c r="B9" s="2"/>
      <c r="C9" s="91">
        <v>0</v>
      </c>
      <c r="D9" s="91">
        <v>0</v>
      </c>
      <c r="E9" s="91">
        <v>0</v>
      </c>
      <c r="F9" s="91">
        <v>0</v>
      </c>
      <c r="G9" s="91">
        <v>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x14ac:dyDescent="0.25">
      <c r="A10" s="7" t="s">
        <v>168</v>
      </c>
      <c r="B10" s="2"/>
      <c r="C10" s="13">
        <f>-C12-C13+C15-C16-C17+C18+C19-C20-C21</f>
        <v>2526.765179165177</v>
      </c>
      <c r="D10" s="13">
        <f t="shared" ref="D10:G10" si="4">-D12-D13+D15-D16-D17+D18+D19-D20-D21</f>
        <v>-1670.8845540370949</v>
      </c>
      <c r="E10" s="13">
        <f t="shared" si="4"/>
        <v>-8944.4310786004862</v>
      </c>
      <c r="F10" s="13">
        <f>-F12-F13+F15-F16-F17+F18+F19-F20-F21</f>
        <v>-30502.47431002996</v>
      </c>
      <c r="G10" s="13">
        <f t="shared" si="4"/>
        <v>-13984.977734901284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25">
      <c r="A11" s="4" t="s">
        <v>169</v>
      </c>
      <c r="B11" s="2"/>
      <c r="C11" s="12"/>
      <c r="D11" s="12"/>
      <c r="E11" s="12"/>
      <c r="F11" s="12"/>
      <c r="G11" s="1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x14ac:dyDescent="0.25">
      <c r="A12" s="15" t="s">
        <v>170</v>
      </c>
      <c r="B12" s="2"/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x14ac:dyDescent="0.25">
      <c r="A13" s="15" t="s">
        <v>171</v>
      </c>
      <c r="B13" s="2"/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x14ac:dyDescent="0.25">
      <c r="A14" s="6" t="s">
        <v>36</v>
      </c>
      <c r="B14" s="2"/>
      <c r="C14" s="93"/>
      <c r="D14" s="93"/>
      <c r="E14" s="93"/>
      <c r="F14" s="93"/>
      <c r="G14" s="93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x14ac:dyDescent="0.25">
      <c r="A15" s="15" t="s">
        <v>172</v>
      </c>
      <c r="B15" s="2"/>
      <c r="C15" s="93">
        <f>'Premissa FrangoB'!E38+'Rec-Desp-Fin (2)'!C95</f>
        <v>15150</v>
      </c>
      <c r="D15" s="93">
        <f>'Premissa FrangoB'!F38+'Rec-Desp-Fin (2)'!D95</f>
        <v>15709.999999999998</v>
      </c>
      <c r="E15" s="93">
        <f>'Premissa FrangoB'!G38+'Rec-Desp-Fin (2)'!E95</f>
        <v>15142.4</v>
      </c>
      <c r="F15" s="93">
        <v>0</v>
      </c>
      <c r="G15" s="93">
        <v>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x14ac:dyDescent="0.25">
      <c r="A16" s="56" t="s">
        <v>173</v>
      </c>
      <c r="B16" s="2"/>
      <c r="C16" s="93">
        <f>'Rec-Desp-Fin (2)'!C72</f>
        <v>1150</v>
      </c>
      <c r="D16" s="93">
        <f>'Rec-Desp-Fin (2)'!D72+'Rec-Desp-Fin (2)'!J94</f>
        <v>5816.666666666667</v>
      </c>
      <c r="E16" s="93">
        <f>'Rec-Desp-Fin (2)'!E72+'Rec-Desp-Fin (2)'!K94+'Rec-Desp-Fin (2)'!J100</f>
        <v>10670</v>
      </c>
      <c r="F16" s="93">
        <f>'Rec-Desp-Fin (2)'!F72+'Rec-Desp-Fin (2)'!L94+'Rec-Desp-Fin (2)'!K100+'Rec-Desp-Fin (2)'!J106</f>
        <v>15717.466666666667</v>
      </c>
      <c r="G16" s="93">
        <v>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30" x14ac:dyDescent="0.25">
      <c r="A17" s="56" t="s">
        <v>174</v>
      </c>
      <c r="B17" s="2"/>
      <c r="C17" s="93">
        <f>'Rec-Desp-Fin (2)'!C71+'Rec-Desp-Fin (2)'!C78</f>
        <v>897</v>
      </c>
      <c r="D17" s="93">
        <f>'Rec-Desp-Fin (2)'!D71+'Rec-Desp-Fin (2)'!D78+'Rec-Desp-Fin (2)'!D97+'Rec-Desp-Fin (2)'!J95</f>
        <v>2751.5</v>
      </c>
      <c r="E17" s="93">
        <f>'Rec-Desp-Fin (2)'!E71+'Rec-Desp-Fin (2)'!E78+'Rec-Desp-Fin (2)'!E97+'Rec-Desp-Fin (2)'!K95+'Rec-Desp-Fin (2)'!J101</f>
        <v>4072.1333333333328</v>
      </c>
      <c r="F17" s="93">
        <f>'Rec-Desp-Fin (2)'!F71+'Rec-Desp-Fin (2)'!F78+'Rec-Desp-Fin (2)'!F97+'Rec-Desp-Fin (2)'!L95+'Rec-Desp-Fin (2)'!K101+'Rec-Desp-Fin (2)'!J107</f>
        <v>4653.5453333333326</v>
      </c>
      <c r="G17" s="93">
        <f>'Rec-Desp-Fin (2)'!G71+'Rec-Desp-Fin (2)'!G78+'Rec-Desp-Fin (2)'!L101+'Rec-Desp-Fin (2)'!K107</f>
        <v>2242.2746666666667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x14ac:dyDescent="0.25">
      <c r="A18" s="15" t="s">
        <v>175</v>
      </c>
      <c r="B18" s="2"/>
      <c r="C18" s="93">
        <f>'Premissa FrangoB'!B20*'Premissas SaintL'!H8</f>
        <v>966.68</v>
      </c>
      <c r="D18" s="93">
        <f>C32*'Premissas SaintL'!I8</f>
        <v>1530.5091074617576</v>
      </c>
      <c r="E18" s="93">
        <f>D32*'Premissas SaintL'!J8</f>
        <v>1131.735090594907</v>
      </c>
      <c r="F18" s="93">
        <f>E32*'Premissas SaintL'!K8</f>
        <v>668.87814739671762</v>
      </c>
      <c r="G18" s="93">
        <f>F32*'Premissas SaintL'!L8</f>
        <v>187.00406082428563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x14ac:dyDescent="0.25">
      <c r="A19" s="15" t="s">
        <v>176</v>
      </c>
      <c r="B19" s="2"/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x14ac:dyDescent="0.25">
      <c r="A20" s="15" t="s">
        <v>177</v>
      </c>
      <c r="B20" s="2"/>
      <c r="C20" s="93">
        <f>'Premissa FrangoB'!$E$49*'DFC-DRE2'!B48</f>
        <v>3932.7749999999996</v>
      </c>
      <c r="D20" s="93">
        <f>'Premissa FrangoB'!$E$49*'DFC-DRE2'!C48</f>
        <v>3693.1560895227817</v>
      </c>
      <c r="E20" s="93">
        <f>'Premissa FrangoB'!$E$49*'DFC-DRE2'!D48</f>
        <v>3227.240292282504</v>
      </c>
      <c r="F20" s="93">
        <f>'Premissa FrangoB'!$E$49*'DFC-DRE2'!E48</f>
        <v>3517.9904990900777</v>
      </c>
      <c r="G20" s="93">
        <f>'Premissa FrangoB'!$E$49*'DFC-DRE2'!F48</f>
        <v>3534.0815974280545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x14ac:dyDescent="0.25">
      <c r="A21" s="47" t="s">
        <v>178</v>
      </c>
      <c r="B21" s="2"/>
      <c r="C21" s="91">
        <f>C47</f>
        <v>7610.1398208348237</v>
      </c>
      <c r="D21" s="91">
        <f>D47</f>
        <v>6650.0709053094033</v>
      </c>
      <c r="E21" s="91">
        <f t="shared" ref="E21:G21" si="5">E47</f>
        <v>7249.1925435795556</v>
      </c>
      <c r="F21" s="91">
        <f t="shared" si="5"/>
        <v>7282.3499583365974</v>
      </c>
      <c r="G21" s="91">
        <f t="shared" si="5"/>
        <v>8395.6255316308489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x14ac:dyDescent="0.25">
      <c r="A23" s="7" t="s">
        <v>179</v>
      </c>
      <c r="B23" s="2"/>
      <c r="C23" s="13">
        <f>C6-C7+C10</f>
        <v>5125.7191587432499</v>
      </c>
      <c r="D23" s="13">
        <f t="shared" ref="D23:G23" si="6">D6-D7+D10</f>
        <v>-1338.8848187998392</v>
      </c>
      <c r="E23" s="13">
        <f t="shared" si="6"/>
        <v>-5886.0528659762349</v>
      </c>
      <c r="F23" s="13">
        <f t="shared" si="6"/>
        <v>-4988.7445573827608</v>
      </c>
      <c r="G23" s="13">
        <f t="shared" si="6"/>
        <v>12878.110807851837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x14ac:dyDescent="0.25">
      <c r="A24" s="188" t="s">
        <v>180</v>
      </c>
      <c r="B24" s="2"/>
      <c r="C24" s="120">
        <f>IF(C23&gt;0,0,-C23)</f>
        <v>0</v>
      </c>
      <c r="D24" s="120">
        <f t="shared" ref="D24:G24" si="7">IF(D23&gt;0,0,-D23)</f>
        <v>1338.8848187998392</v>
      </c>
      <c r="E24" s="120">
        <f t="shared" si="7"/>
        <v>5886.0528659762349</v>
      </c>
      <c r="F24" s="120">
        <f t="shared" si="7"/>
        <v>4988.7445573827608</v>
      </c>
      <c r="G24" s="120">
        <f t="shared" si="7"/>
        <v>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x14ac:dyDescent="0.25">
      <c r="A25" s="6" t="s">
        <v>181</v>
      </c>
      <c r="B25" s="2"/>
      <c r="C25" s="93">
        <f>C23+C24</f>
        <v>5125.7191587432499</v>
      </c>
      <c r="D25" s="93">
        <f t="shared" ref="D25:G25" si="8">D23+D24</f>
        <v>0</v>
      </c>
      <c r="E25" s="93">
        <f t="shared" si="8"/>
        <v>0</v>
      </c>
      <c r="F25" s="93">
        <f t="shared" si="8"/>
        <v>0</v>
      </c>
      <c r="G25" s="93">
        <f t="shared" si="8"/>
        <v>12878.110807851837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x14ac:dyDescent="0.25">
      <c r="A26" s="15" t="s">
        <v>182</v>
      </c>
      <c r="B26" s="2"/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x14ac:dyDescent="0.25">
      <c r="A27" s="5" t="s">
        <v>183</v>
      </c>
      <c r="B27" s="2"/>
      <c r="C27" s="91">
        <f>C25+C26</f>
        <v>5125.7191587432499</v>
      </c>
      <c r="D27" s="91">
        <f t="shared" ref="D27:G27" si="9">D25+D26</f>
        <v>0</v>
      </c>
      <c r="E27" s="91">
        <f t="shared" si="9"/>
        <v>0</v>
      </c>
      <c r="F27" s="91">
        <f t="shared" si="9"/>
        <v>0</v>
      </c>
      <c r="G27" s="91">
        <f t="shared" si="9"/>
        <v>12878.110807851837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x14ac:dyDescent="0.25">
      <c r="A29" s="4" t="s">
        <v>184</v>
      </c>
      <c r="B29" s="2"/>
      <c r="C29" s="13">
        <f>'Premissa FrangoB'!B20</f>
        <v>8788</v>
      </c>
      <c r="D29" s="13">
        <f>C32</f>
        <v>13913.71915874325</v>
      </c>
      <c r="E29" s="13">
        <f t="shared" ref="E29:G29" si="10">D32</f>
        <v>12574.834339943411</v>
      </c>
      <c r="F29" s="13">
        <f t="shared" si="10"/>
        <v>6688.7814739671758</v>
      </c>
      <c r="G29" s="13">
        <f t="shared" si="10"/>
        <v>1700.0369165844149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x14ac:dyDescent="0.25">
      <c r="A30" s="15" t="s">
        <v>185</v>
      </c>
      <c r="B30" s="2"/>
      <c r="C30" s="12">
        <f>C24</f>
        <v>0</v>
      </c>
      <c r="D30" s="12">
        <f t="shared" ref="D30:G30" si="11">D24</f>
        <v>1338.8848187998392</v>
      </c>
      <c r="E30" s="12">
        <f t="shared" si="11"/>
        <v>5886.0528659762349</v>
      </c>
      <c r="F30" s="12">
        <f t="shared" si="11"/>
        <v>4988.7445573827608</v>
      </c>
      <c r="G30" s="12">
        <f t="shared" si="11"/>
        <v>0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x14ac:dyDescent="0.25">
      <c r="A31" s="15" t="s">
        <v>186</v>
      </c>
      <c r="B31" s="2"/>
      <c r="C31" s="93">
        <f>C27</f>
        <v>5125.7191587432499</v>
      </c>
      <c r="D31" s="93">
        <f t="shared" ref="D31:G31" si="12">D27</f>
        <v>0</v>
      </c>
      <c r="E31" s="93">
        <f t="shared" si="12"/>
        <v>0</v>
      </c>
      <c r="F31" s="93">
        <f t="shared" si="12"/>
        <v>0</v>
      </c>
      <c r="G31" s="93">
        <f t="shared" si="12"/>
        <v>12878.110807851837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x14ac:dyDescent="0.25">
      <c r="A32" s="5" t="s">
        <v>187</v>
      </c>
      <c r="B32" s="2"/>
      <c r="C32" s="91">
        <f>C29-C30+C31</f>
        <v>13913.71915874325</v>
      </c>
      <c r="D32" s="91">
        <f t="shared" ref="D32:G32" si="13">D29-D30+D31</f>
        <v>12574.834339943411</v>
      </c>
      <c r="E32" s="91">
        <f t="shared" si="13"/>
        <v>6688.7814739671758</v>
      </c>
      <c r="F32" s="91">
        <f t="shared" si="13"/>
        <v>1700.0369165844149</v>
      </c>
      <c r="G32" s="91">
        <f t="shared" si="13"/>
        <v>14578.147724436252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x14ac:dyDescent="0.25">
      <c r="A34" s="1" t="s">
        <v>188</v>
      </c>
      <c r="B34" s="3" t="s">
        <v>52</v>
      </c>
      <c r="C34" s="1" t="s">
        <v>53</v>
      </c>
      <c r="D34" s="1" t="s">
        <v>54</v>
      </c>
      <c r="E34" s="1" t="s">
        <v>55</v>
      </c>
      <c r="F34" s="1" t="s">
        <v>56</v>
      </c>
      <c r="G34" s="1" t="s">
        <v>57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x14ac:dyDescent="0.25">
      <c r="A35" s="4" t="s">
        <v>4</v>
      </c>
      <c r="B35" s="11">
        <f>'Premissa FrangoB'!B3</f>
        <v>143000</v>
      </c>
      <c r="C35" s="13">
        <f>'Rec-Desp-Fin (2)'!C12</f>
        <v>148443.84</v>
      </c>
      <c r="D35" s="13">
        <f>'Rec-Desp-Fin (2)'!D12</f>
        <v>155123.81279999999</v>
      </c>
      <c r="E35" s="13">
        <f>'Rec-Desp-Fin (2)'!E12</f>
        <v>178314.82281359998</v>
      </c>
      <c r="F35" s="13">
        <f>'Rec-Desp-Fin (2)'!F12</f>
        <v>185447.41572614398</v>
      </c>
      <c r="G35" s="13">
        <f>'Rec-Desp-Fin (2)'!G12</f>
        <v>192865.31235518976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8" x14ac:dyDescent="0.25">
      <c r="A36" s="5" t="s">
        <v>189</v>
      </c>
      <c r="B36" s="11">
        <f>'Premissa FrangoB'!B4</f>
        <v>18590</v>
      </c>
      <c r="C36" s="13">
        <f>'Premissa FrangoB'!$E$6*C35</f>
        <v>19297.699199999999</v>
      </c>
      <c r="D36" s="13">
        <f>'Premissa FrangoB'!$E$6*D35</f>
        <v>20166.095664</v>
      </c>
      <c r="E36" s="13">
        <f>'Premissa FrangoB'!$E$6*E35</f>
        <v>23180.926965767998</v>
      </c>
      <c r="F36" s="13">
        <f>'Premissa FrangoB'!$E$6*F35</f>
        <v>24108.16404439872</v>
      </c>
      <c r="G36" s="13">
        <f>'Premissa FrangoB'!$E$6*G35</f>
        <v>25072.49060617467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8" x14ac:dyDescent="0.25">
      <c r="A37" s="4" t="s">
        <v>190</v>
      </c>
      <c r="B37" s="13">
        <f>B35-B36</f>
        <v>124410</v>
      </c>
      <c r="C37" s="13">
        <f t="shared" ref="C37:G37" si="14">C35-C36</f>
        <v>129146.14079999999</v>
      </c>
      <c r="D37" s="13">
        <f t="shared" si="14"/>
        <v>134957.71713599999</v>
      </c>
      <c r="E37" s="13">
        <f t="shared" si="14"/>
        <v>155133.89584783197</v>
      </c>
      <c r="F37" s="13">
        <f t="shared" si="14"/>
        <v>161339.25168174526</v>
      </c>
      <c r="G37" s="13">
        <f t="shared" si="14"/>
        <v>167792.8217490151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8" x14ac:dyDescent="0.25">
      <c r="A38" s="5" t="s">
        <v>191</v>
      </c>
      <c r="B38" s="11">
        <f>'Premissa FrangoB'!B6</f>
        <v>95673</v>
      </c>
      <c r="C38" s="13">
        <f>'Rec-Desp-Fin (2)'!C40</f>
        <v>101554.94208568943</v>
      </c>
      <c r="D38" s="13">
        <f>'Rec-Desp-Fin (2)'!D40</f>
        <v>108539.38947954541</v>
      </c>
      <c r="E38" s="13">
        <f>'Rec-Desp-Fin (2)'!E40</f>
        <v>124499.75996459996</v>
      </c>
      <c r="F38" s="13">
        <f>'Rec-Desp-Fin (2)'!F40</f>
        <v>129183.82172318395</v>
      </c>
      <c r="G38" s="13">
        <f>'Rec-Desp-Fin (2)'!G40</f>
        <v>134055.24595211132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8" x14ac:dyDescent="0.25">
      <c r="A39" s="4" t="s">
        <v>8</v>
      </c>
      <c r="B39" s="13">
        <f>B37-B38</f>
        <v>28737</v>
      </c>
      <c r="C39" s="13">
        <f t="shared" ref="C39:G39" si="15">C37-C38</f>
        <v>27591.198714310565</v>
      </c>
      <c r="D39" s="13">
        <f t="shared" si="15"/>
        <v>26418.327656454581</v>
      </c>
      <c r="E39" s="13">
        <f t="shared" si="15"/>
        <v>30634.135883232011</v>
      </c>
      <c r="F39" s="13">
        <f t="shared" si="15"/>
        <v>32155.429958561304</v>
      </c>
      <c r="G39" s="13">
        <f t="shared" si="15"/>
        <v>33737.57579690378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8" x14ac:dyDescent="0.25">
      <c r="A40" s="6" t="s">
        <v>192</v>
      </c>
      <c r="B40" s="11">
        <f>'Premissa FrangoB'!B8</f>
        <v>324</v>
      </c>
      <c r="C40" s="13">
        <f>'Rec-Desp-Fin (2)'!C42</f>
        <v>385.00000000000006</v>
      </c>
      <c r="D40" s="13">
        <f>'Rec-Desp-Fin (2)'!D42</f>
        <v>525.00000000000011</v>
      </c>
      <c r="E40" s="13">
        <f>'Rec-Desp-Fin (2)'!E42</f>
        <v>670.60000000000014</v>
      </c>
      <c r="F40" s="13">
        <f>'Rec-Desp-Fin (2)'!F42</f>
        <v>822.02400000000011</v>
      </c>
      <c r="G40" s="13">
        <f>'Rec-Desp-Fin (2)'!G42</f>
        <v>822.02400000000011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8" x14ac:dyDescent="0.25">
      <c r="A41" s="6" t="s">
        <v>10</v>
      </c>
      <c r="B41" s="11">
        <f>'Premissa FrangoB'!B9</f>
        <v>1245</v>
      </c>
      <c r="C41" s="13">
        <f>'Rec-Desp-Fin (2)'!C49</f>
        <v>1536</v>
      </c>
      <c r="D41" s="13">
        <f>'Rec-Desp-Fin (2)'!D49</f>
        <v>1605.12</v>
      </c>
      <c r="E41" s="13">
        <f>'Rec-Desp-Fin (2)'!E49</f>
        <v>1669.3247999999999</v>
      </c>
      <c r="F41" s="13">
        <f>'Rec-Desp-Fin (2)'!F49</f>
        <v>1736.0977919999998</v>
      </c>
      <c r="G41" s="13">
        <f>'Rec-Desp-Fin (2)'!G49</f>
        <v>1805.54170368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8" x14ac:dyDescent="0.25">
      <c r="A42" s="5" t="s">
        <v>11</v>
      </c>
      <c r="B42" s="11">
        <f>'Premissa FrangoB'!B10</f>
        <v>3234</v>
      </c>
      <c r="C42" s="13">
        <f>'Rec-Desp-Fin (2)'!C53</f>
        <v>3357.1145353846155</v>
      </c>
      <c r="D42" s="13">
        <f>'Rec-Desp-Fin (2)'!D53</f>
        <v>3508.1846894769228</v>
      </c>
      <c r="E42" s="13">
        <f>'Rec-Desp-Fin (2)'!E53</f>
        <v>4032.6583005537232</v>
      </c>
      <c r="F42" s="13">
        <f>'Rec-Desp-Fin (2)'!F53</f>
        <v>4193.9646325758722</v>
      </c>
      <c r="G42" s="13">
        <f>'Rec-Desp-Fin (2)'!G53</f>
        <v>4361.7232178789072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8" x14ac:dyDescent="0.25">
      <c r="A43" s="4" t="s">
        <v>193</v>
      </c>
      <c r="B43" s="13">
        <f>B39-B40-B41-B42</f>
        <v>23934</v>
      </c>
      <c r="C43" s="13">
        <f>C39-C40-C41-C42</f>
        <v>22313.08417892595</v>
      </c>
      <c r="D43" s="13">
        <f t="shared" ref="D43:G43" si="16">D39-D40-D41-D42</f>
        <v>20780.02296697766</v>
      </c>
      <c r="E43" s="13">
        <f t="shared" si="16"/>
        <v>24261.552782678293</v>
      </c>
      <c r="F43" s="13">
        <f t="shared" si="16"/>
        <v>25403.34353398543</v>
      </c>
      <c r="G43" s="13">
        <f t="shared" si="16"/>
        <v>26748.286875344878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8" x14ac:dyDescent="0.25">
      <c r="A44" s="6" t="s">
        <v>13</v>
      </c>
      <c r="B44" s="11">
        <f>'Premissa FrangoB'!B12</f>
        <v>867</v>
      </c>
      <c r="C44" s="13">
        <f>C18</f>
        <v>966.68</v>
      </c>
      <c r="D44" s="13">
        <f t="shared" ref="D44:G44" si="17">D18</f>
        <v>1530.5091074617576</v>
      </c>
      <c r="E44" s="13">
        <f t="shared" si="17"/>
        <v>1131.735090594907</v>
      </c>
      <c r="F44" s="13">
        <f t="shared" si="17"/>
        <v>668.87814739671762</v>
      </c>
      <c r="G44" s="13">
        <f t="shared" si="17"/>
        <v>187.00406082428563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8" x14ac:dyDescent="0.25">
      <c r="A45" s="5" t="s">
        <v>194</v>
      </c>
      <c r="B45" s="11">
        <f>'Premissa FrangoB'!B13</f>
        <v>966</v>
      </c>
      <c r="C45" s="13">
        <f>C13+C17</f>
        <v>897</v>
      </c>
      <c r="D45" s="13">
        <f t="shared" ref="D45:G45" si="18">D13+D17</f>
        <v>2751.5</v>
      </c>
      <c r="E45" s="13">
        <f t="shared" si="18"/>
        <v>4072.1333333333328</v>
      </c>
      <c r="F45" s="13">
        <f>F13+F17</f>
        <v>4653.5453333333326</v>
      </c>
      <c r="G45" s="13">
        <f t="shared" si="18"/>
        <v>2242.2746666666667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8" x14ac:dyDescent="0.25">
      <c r="A46" s="4" t="s">
        <v>195</v>
      </c>
      <c r="B46" s="13">
        <f>B43+B44-B45</f>
        <v>23835</v>
      </c>
      <c r="C46" s="13">
        <f t="shared" ref="C46:G46" si="19">C43+C44-C45</f>
        <v>22382.764178925951</v>
      </c>
      <c r="D46" s="13">
        <f t="shared" si="19"/>
        <v>19559.032074439419</v>
      </c>
      <c r="E46" s="13">
        <f t="shared" si="19"/>
        <v>21321.154539939867</v>
      </c>
      <c r="F46" s="13">
        <f t="shared" si="19"/>
        <v>21418.676348048815</v>
      </c>
      <c r="G46" s="13">
        <f t="shared" si="19"/>
        <v>24693.016269502496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8" x14ac:dyDescent="0.25">
      <c r="A47" s="5" t="s">
        <v>196</v>
      </c>
      <c r="B47" s="13">
        <f>'Premissa FrangoB'!$E$56*B46</f>
        <v>8103.9000000000005</v>
      </c>
      <c r="C47" s="13">
        <f>'Premissa FrangoB'!$E$56*C46</f>
        <v>7610.1398208348237</v>
      </c>
      <c r="D47" s="13">
        <f>'Premissa FrangoB'!$E$56*D46</f>
        <v>6650.0709053094033</v>
      </c>
      <c r="E47" s="13">
        <f>'Premissa FrangoB'!$E$56*E46</f>
        <v>7249.1925435795556</v>
      </c>
      <c r="F47" s="13">
        <f>'Premissa FrangoB'!$E$56*F46</f>
        <v>7282.3499583365974</v>
      </c>
      <c r="G47" s="13">
        <f>'Premissa FrangoB'!$E$56*G46</f>
        <v>8395.6255316308489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8" x14ac:dyDescent="0.25">
      <c r="A48" s="7" t="s">
        <v>197</v>
      </c>
      <c r="B48" s="13">
        <f>B46-B47</f>
        <v>15731.099999999999</v>
      </c>
      <c r="C48" s="13">
        <f t="shared" ref="C48:G48" si="20">C46-C47</f>
        <v>14772.624358091127</v>
      </c>
      <c r="D48" s="13">
        <f t="shared" si="20"/>
        <v>12908.961169130016</v>
      </c>
      <c r="E48" s="13">
        <f t="shared" si="20"/>
        <v>14071.961996360311</v>
      </c>
      <c r="F48" s="13">
        <f t="shared" si="20"/>
        <v>14136.326389712218</v>
      </c>
      <c r="G48" s="13">
        <f t="shared" si="20"/>
        <v>16297.390737871647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8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x14ac:dyDescent="0.25"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x14ac:dyDescent="0.25"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x14ac:dyDescent="0.25"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x14ac:dyDescent="0.25"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x14ac:dyDescent="0.25"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x14ac:dyDescent="0.25"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x14ac:dyDescent="0.25"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x14ac:dyDescent="0.25"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x14ac:dyDescent="0.25"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x14ac:dyDescent="0.25"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x14ac:dyDescent="0.25"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x14ac:dyDescent="0.25"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x14ac:dyDescent="0.25"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x14ac:dyDescent="0.25"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x14ac:dyDescent="0.25"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8:28" x14ac:dyDescent="0.25"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8:28" x14ac:dyDescent="0.25"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8:28" x14ac:dyDescent="0.25"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8:28" x14ac:dyDescent="0.25"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8:28" x14ac:dyDescent="0.25"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8:28" x14ac:dyDescent="0.25"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8:28" x14ac:dyDescent="0.25"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8:28" x14ac:dyDescent="0.25"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8:28" x14ac:dyDescent="0.25"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8:28" x14ac:dyDescent="0.25"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8:28" x14ac:dyDescent="0.25"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8:28" x14ac:dyDescent="0.25"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8:28" x14ac:dyDescent="0.25"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8:28" x14ac:dyDescent="0.25"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8:28" x14ac:dyDescent="0.25"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8:28" x14ac:dyDescent="0.25"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8:28" x14ac:dyDescent="0.25"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8:28" x14ac:dyDescent="0.25"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8:28" x14ac:dyDescent="0.25"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8:28" x14ac:dyDescent="0.25"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8:28" x14ac:dyDescent="0.25"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8:28" x14ac:dyDescent="0.25"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8:28" x14ac:dyDescent="0.25"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8:28" x14ac:dyDescent="0.25"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8:28" x14ac:dyDescent="0.25"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8:28" x14ac:dyDescent="0.25"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8:28" x14ac:dyDescent="0.25"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8:28" x14ac:dyDescent="0.25"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8:28" x14ac:dyDescent="0.25"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8:28" x14ac:dyDescent="0.25"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8:28" x14ac:dyDescent="0.25"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8:28" x14ac:dyDescent="0.25"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8:28" x14ac:dyDescent="0.25"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8:28" x14ac:dyDescent="0.25"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8:28" x14ac:dyDescent="0.25"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8:28" x14ac:dyDescent="0.25"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8:28" x14ac:dyDescent="0.25"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8:28" x14ac:dyDescent="0.25"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8:28" x14ac:dyDescent="0.25"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8:28" x14ac:dyDescent="0.25"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8:28" x14ac:dyDescent="0.25"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8:28" x14ac:dyDescent="0.25"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8:28" x14ac:dyDescent="0.25"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8:28" x14ac:dyDescent="0.25"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8:28" x14ac:dyDescent="0.25"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8:28" x14ac:dyDescent="0.25"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8:28" x14ac:dyDescent="0.25"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8:28" x14ac:dyDescent="0.25"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8:28" x14ac:dyDescent="0.25"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8:28" x14ac:dyDescent="0.25"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8:28" x14ac:dyDescent="0.25"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8:28" x14ac:dyDescent="0.25"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8:28" x14ac:dyDescent="0.25"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8:28" x14ac:dyDescent="0.25"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8:28" x14ac:dyDescent="0.25"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8:28" x14ac:dyDescent="0.25"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8:28" x14ac:dyDescent="0.25"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8:28" x14ac:dyDescent="0.25"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8:28" x14ac:dyDescent="0.25"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8:28" x14ac:dyDescent="0.25"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8:28" x14ac:dyDescent="0.25"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8:28" x14ac:dyDescent="0.25"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8:28" x14ac:dyDescent="0.25"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8:28" x14ac:dyDescent="0.25"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8:28" x14ac:dyDescent="0.25"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8:28" x14ac:dyDescent="0.25"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8:28" x14ac:dyDescent="0.25"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8:28" x14ac:dyDescent="0.25"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8:28" x14ac:dyDescent="0.25"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8:28" x14ac:dyDescent="0.25"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8:28" x14ac:dyDescent="0.25"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8:28" x14ac:dyDescent="0.25"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8:28" x14ac:dyDescent="0.25"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8:28" x14ac:dyDescent="0.25"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8:28" x14ac:dyDescent="0.25"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8:28" x14ac:dyDescent="0.25"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8:28" x14ac:dyDescent="0.25"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8:28" x14ac:dyDescent="0.25"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8:28" x14ac:dyDescent="0.25"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8:28" x14ac:dyDescent="0.25"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8:28" x14ac:dyDescent="0.25"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8:28" x14ac:dyDescent="0.25"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8:28" x14ac:dyDescent="0.25"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8:28" x14ac:dyDescent="0.25"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8:28" x14ac:dyDescent="0.25"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8:28" x14ac:dyDescent="0.25"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8:28" x14ac:dyDescent="0.25"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8:28" x14ac:dyDescent="0.25"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8:28" x14ac:dyDescent="0.25"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8:28" x14ac:dyDescent="0.25"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8:28" x14ac:dyDescent="0.25"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8:28" x14ac:dyDescent="0.25"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8:28" x14ac:dyDescent="0.25"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8:28" x14ac:dyDescent="0.25"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8:28" x14ac:dyDescent="0.25"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8:28" x14ac:dyDescent="0.25"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8:28" x14ac:dyDescent="0.25"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8:28" x14ac:dyDescent="0.25"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8:28" x14ac:dyDescent="0.25"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8:28" x14ac:dyDescent="0.25"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8:28" x14ac:dyDescent="0.25"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8:28" x14ac:dyDescent="0.25"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8:28" x14ac:dyDescent="0.25"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8:28" x14ac:dyDescent="0.25"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8:28" x14ac:dyDescent="0.25"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8:28" x14ac:dyDescent="0.25"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8:28" x14ac:dyDescent="0.25"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8:28" x14ac:dyDescent="0.25"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8:28" x14ac:dyDescent="0.25"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8:28" x14ac:dyDescent="0.25"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8:28" x14ac:dyDescent="0.25"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8:28" x14ac:dyDescent="0.25"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8:28" x14ac:dyDescent="0.25"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8:28" x14ac:dyDescent="0.25"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8:28" x14ac:dyDescent="0.25"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8:28" x14ac:dyDescent="0.25"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8:28" x14ac:dyDescent="0.25"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8:28" x14ac:dyDescent="0.25"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8:28" x14ac:dyDescent="0.25"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8:28" x14ac:dyDescent="0.25"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8:28" x14ac:dyDescent="0.25"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8:28" x14ac:dyDescent="0.25"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8:28" x14ac:dyDescent="0.25"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8:28" x14ac:dyDescent="0.25"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8:28" x14ac:dyDescent="0.25"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8:28" x14ac:dyDescent="0.25"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8:28" x14ac:dyDescent="0.25"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8:28" x14ac:dyDescent="0.25"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8:28" x14ac:dyDescent="0.25"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8:28" x14ac:dyDescent="0.25"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8:28" x14ac:dyDescent="0.25"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8:28" x14ac:dyDescent="0.25"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8:28" x14ac:dyDescent="0.25"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8:28" x14ac:dyDescent="0.25"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8:28" x14ac:dyDescent="0.25"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8:28" x14ac:dyDescent="0.25"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8:28" x14ac:dyDescent="0.25"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8:28" x14ac:dyDescent="0.25"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8:28" x14ac:dyDescent="0.25"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8:28" x14ac:dyDescent="0.25"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8:28" x14ac:dyDescent="0.25"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8:28" x14ac:dyDescent="0.25"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8:28" x14ac:dyDescent="0.25"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8:28" x14ac:dyDescent="0.25"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8:28" x14ac:dyDescent="0.25"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8:28" x14ac:dyDescent="0.25"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8:28" x14ac:dyDescent="0.25"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8:28" x14ac:dyDescent="0.25"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8:28" x14ac:dyDescent="0.25"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8:28" x14ac:dyDescent="0.25"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8:28" x14ac:dyDescent="0.25"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8:28" x14ac:dyDescent="0.25"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8:28" x14ac:dyDescent="0.25"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8:28" x14ac:dyDescent="0.25"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8:28" x14ac:dyDescent="0.25"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8:28" x14ac:dyDescent="0.25"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8:28" x14ac:dyDescent="0.25"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8:28" x14ac:dyDescent="0.25"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8:28" x14ac:dyDescent="0.25"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8:28" x14ac:dyDescent="0.25"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8:28" x14ac:dyDescent="0.25"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8:28" x14ac:dyDescent="0.25"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8:28" x14ac:dyDescent="0.25"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8:28" x14ac:dyDescent="0.25"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8:28" x14ac:dyDescent="0.25"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8:28" x14ac:dyDescent="0.25"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8:28" x14ac:dyDescent="0.25"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8:28" x14ac:dyDescent="0.25"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8:28" x14ac:dyDescent="0.25"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8:28" x14ac:dyDescent="0.25"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8:28" x14ac:dyDescent="0.25"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8:28" x14ac:dyDescent="0.25"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8:28" x14ac:dyDescent="0.25"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8:28" x14ac:dyDescent="0.25"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8:28" x14ac:dyDescent="0.25"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8:28" x14ac:dyDescent="0.25"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8:28" x14ac:dyDescent="0.25"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8:28" x14ac:dyDescent="0.25"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8:28" x14ac:dyDescent="0.25"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8:28" x14ac:dyDescent="0.25"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394"/>
  <sheetViews>
    <sheetView workbookViewId="0">
      <selection activeCell="K19" sqref="K19"/>
    </sheetView>
  </sheetViews>
  <sheetFormatPr defaultRowHeight="15" x14ac:dyDescent="0.25"/>
  <cols>
    <col min="1" max="1" width="40.5703125" bestFit="1" customWidth="1"/>
    <col min="2" max="2" width="9.140625" customWidth="1"/>
    <col min="9" max="9" width="56.140625" bestFit="1" customWidth="1"/>
    <col min="11" max="15" width="9.140625" customWidth="1"/>
  </cols>
  <sheetData>
    <row r="1" spans="1:50" x14ac:dyDescent="0.25">
      <c r="A1" s="1" t="s">
        <v>198</v>
      </c>
      <c r="B1" s="1" t="s">
        <v>52</v>
      </c>
      <c r="C1" s="1" t="s">
        <v>53</v>
      </c>
      <c r="D1" s="1" t="s">
        <v>54</v>
      </c>
      <c r="E1" s="1" t="s">
        <v>55</v>
      </c>
      <c r="F1" s="1" t="s">
        <v>56</v>
      </c>
      <c r="G1" s="1" t="s">
        <v>57</v>
      </c>
      <c r="H1" s="2"/>
      <c r="I1" s="2" t="s">
        <v>204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0" x14ac:dyDescent="0.25">
      <c r="A2" s="2"/>
      <c r="B2" s="2"/>
      <c r="C2" s="2"/>
      <c r="D2" s="2"/>
      <c r="E2" s="2"/>
      <c r="F2" s="2"/>
      <c r="G2" s="2"/>
      <c r="H2" s="2"/>
      <c r="I2" s="17"/>
      <c r="J2" s="67" t="s">
        <v>52</v>
      </c>
      <c r="K2" s="67" t="s">
        <v>254</v>
      </c>
      <c r="L2" s="67" t="s">
        <v>254</v>
      </c>
      <c r="M2" s="67" t="s">
        <v>254</v>
      </c>
      <c r="N2" s="67" t="s">
        <v>254</v>
      </c>
      <c r="O2" s="67" t="s">
        <v>254</v>
      </c>
      <c r="P2" s="240" t="s">
        <v>315</v>
      </c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 x14ac:dyDescent="0.25">
      <c r="A3" s="2"/>
      <c r="B3" s="2"/>
      <c r="C3" s="2"/>
      <c r="D3" s="2"/>
      <c r="E3" s="2"/>
      <c r="F3" s="2"/>
      <c r="G3" s="2"/>
      <c r="H3" s="2"/>
      <c r="I3" s="69"/>
      <c r="J3" s="189"/>
      <c r="K3" s="189">
        <v>1</v>
      </c>
      <c r="L3" s="189">
        <v>2</v>
      </c>
      <c r="M3" s="189">
        <v>3</v>
      </c>
      <c r="N3" s="189">
        <v>4</v>
      </c>
      <c r="O3" s="189">
        <v>5</v>
      </c>
      <c r="P3" s="241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50" x14ac:dyDescent="0.25">
      <c r="A4" s="1" t="s">
        <v>18</v>
      </c>
      <c r="B4" s="2"/>
      <c r="C4" s="2"/>
      <c r="D4" s="2"/>
      <c r="E4" s="2"/>
      <c r="F4" s="2"/>
      <c r="G4" s="2"/>
      <c r="H4" s="2"/>
      <c r="I4" s="69" t="s">
        <v>205</v>
      </c>
      <c r="J4" s="33">
        <v>0.34</v>
      </c>
      <c r="K4" s="33">
        <v>0.34</v>
      </c>
      <c r="L4" s="33">
        <v>0.34</v>
      </c>
      <c r="M4" s="33">
        <v>0.34</v>
      </c>
      <c r="N4" s="33">
        <v>0.34</v>
      </c>
      <c r="O4" s="33">
        <v>0.34</v>
      </c>
      <c r="P4" s="33">
        <v>0.34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5" spans="1:50" x14ac:dyDescent="0.25">
      <c r="A5" s="7" t="s">
        <v>19</v>
      </c>
      <c r="B5" s="70"/>
      <c r="C5" s="70"/>
      <c r="D5" s="70"/>
      <c r="E5" s="70"/>
      <c r="F5" s="70"/>
      <c r="G5" s="70"/>
      <c r="H5" s="2"/>
      <c r="I5" s="148" t="s">
        <v>206</v>
      </c>
      <c r="J5" s="70"/>
      <c r="K5" s="70"/>
      <c r="L5" s="70"/>
      <c r="M5" s="70"/>
      <c r="N5" s="70"/>
      <c r="O5" s="70"/>
      <c r="P5" s="7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1:50" x14ac:dyDescent="0.25">
      <c r="A6" s="6" t="s">
        <v>20</v>
      </c>
      <c r="B6" s="13">
        <f>'Premissa FrangoB'!B20</f>
        <v>8788</v>
      </c>
      <c r="C6" s="13">
        <f>'DFC-DRE2'!C32</f>
        <v>13913.71915874325</v>
      </c>
      <c r="D6" s="13">
        <f>'DFC-DRE2'!D32</f>
        <v>12574.834339943411</v>
      </c>
      <c r="E6" s="13">
        <f>'DFC-DRE2'!E32</f>
        <v>6688.7814739671758</v>
      </c>
      <c r="F6" s="13">
        <f>'DFC-DRE2'!F32</f>
        <v>1700.0369165844149</v>
      </c>
      <c r="G6" s="13">
        <f>'DFC-DRE2'!G32</f>
        <v>14578.147724436252</v>
      </c>
      <c r="H6" s="2"/>
      <c r="I6" s="69" t="s">
        <v>97</v>
      </c>
      <c r="J6" s="70"/>
      <c r="K6" s="133">
        <f>'Premissas SaintL'!$G$56</f>
        <v>2.9499999999999998E-2</v>
      </c>
      <c r="L6" s="133">
        <f>'Premissas SaintL'!$G$56</f>
        <v>2.9499999999999998E-2</v>
      </c>
      <c r="M6" s="133">
        <f>'Premissas SaintL'!$G$56</f>
        <v>2.9499999999999998E-2</v>
      </c>
      <c r="N6" s="133">
        <f>'Premissas SaintL'!$G$56</f>
        <v>2.9499999999999998E-2</v>
      </c>
      <c r="O6" s="133">
        <f>'Premissas SaintL'!$G$56</f>
        <v>2.9499999999999998E-2</v>
      </c>
      <c r="P6" s="133">
        <f>'Premissas SaintL'!$G$56</f>
        <v>2.9499999999999998E-2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1:50" x14ac:dyDescent="0.25">
      <c r="A7" s="6" t="s">
        <v>21</v>
      </c>
      <c r="B7" s="13">
        <f>'Rec-Desp-Fin (2)'!B56</f>
        <v>8000</v>
      </c>
      <c r="C7" s="13">
        <f>'Rec-Desp-Fin (2)'!C56</f>
        <v>8304.5504895104896</v>
      </c>
      <c r="D7" s="13">
        <f>'Rec-Desp-Fin (2)'!D56</f>
        <v>8678.2552615384611</v>
      </c>
      <c r="E7" s="13">
        <f>'Rec-Desp-Fin (2)'!E56</f>
        <v>9975.6544231384596</v>
      </c>
      <c r="F7" s="13">
        <f>'Rec-Desp-Fin (2)'!F56</f>
        <v>10374.680600063999</v>
      </c>
      <c r="G7" s="13">
        <f>'Rec-Desp-Fin (2)'!G56</f>
        <v>10789.667824066561</v>
      </c>
      <c r="H7" s="2"/>
      <c r="I7" s="69" t="s">
        <v>207</v>
      </c>
      <c r="J7" s="70"/>
      <c r="K7" s="133">
        <f>'Premissas SaintL'!$G$57</f>
        <v>0.03</v>
      </c>
      <c r="L7" s="133">
        <f>'Premissas SaintL'!$G$57</f>
        <v>0.03</v>
      </c>
      <c r="M7" s="133">
        <f>'Premissas SaintL'!$G$57</f>
        <v>0.03</v>
      </c>
      <c r="N7" s="133">
        <f>'Premissas SaintL'!$G$57</f>
        <v>0.03</v>
      </c>
      <c r="O7" s="133">
        <f>'Premissas SaintL'!$G$57</f>
        <v>0.03</v>
      </c>
      <c r="P7" s="133">
        <f>'Premissas SaintL'!$G$57</f>
        <v>0.03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</row>
    <row r="8" spans="1:50" x14ac:dyDescent="0.25">
      <c r="A8" s="6" t="s">
        <v>22</v>
      </c>
      <c r="B8" s="13">
        <f>'Rec-Desp-Fin (2)'!B57</f>
        <v>6300</v>
      </c>
      <c r="C8" s="13">
        <f>'Rec-Desp-Fin (2)'!C57</f>
        <v>6687.3217641324436</v>
      </c>
      <c r="D8" s="13">
        <f>'Rec-Desp-Fin (2)'!D57</f>
        <v>7147.2427301447233</v>
      </c>
      <c r="E8" s="13">
        <f>'Rec-Desp-Fin (2)'!E57</f>
        <v>8198.2219411639617</v>
      </c>
      <c r="F8" s="13">
        <f>'Rec-Desp-Fin (2)'!F57</f>
        <v>8506.664125260615</v>
      </c>
      <c r="G8" s="13">
        <f>'Rec-Desp-Fin (2)'!G57</f>
        <v>8827.4439967211365</v>
      </c>
      <c r="H8" s="2"/>
      <c r="I8" s="69" t="s">
        <v>99</v>
      </c>
      <c r="J8" s="70"/>
      <c r="K8" s="133">
        <f>'Premissas SaintL'!$G$58</f>
        <v>5.5E-2</v>
      </c>
      <c r="L8" s="133">
        <f>'Premissas SaintL'!$G$58</f>
        <v>5.5E-2</v>
      </c>
      <c r="M8" s="133">
        <f>'Premissas SaintL'!$G$58</f>
        <v>5.5E-2</v>
      </c>
      <c r="N8" s="133">
        <f>'Premissas SaintL'!$G$58</f>
        <v>5.5E-2</v>
      </c>
      <c r="O8" s="133">
        <f>'Premissas SaintL'!$G$58</f>
        <v>5.5E-2</v>
      </c>
      <c r="P8" s="133">
        <f>'Premissas SaintL'!$G$58</f>
        <v>5.5E-2</v>
      </c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</row>
    <row r="9" spans="1:50" x14ac:dyDescent="0.25">
      <c r="A9" s="6" t="s">
        <v>199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2"/>
      <c r="I9" s="69" t="s">
        <v>208</v>
      </c>
      <c r="J9" s="70"/>
      <c r="K9" s="35">
        <f>'Premissas SaintL'!$G$59</f>
        <v>1.1000000000000001</v>
      </c>
      <c r="L9" s="35">
        <f>'Premissas SaintL'!$G$59</f>
        <v>1.1000000000000001</v>
      </c>
      <c r="M9" s="35">
        <f>'Premissas SaintL'!$G$59</f>
        <v>1.1000000000000001</v>
      </c>
      <c r="N9" s="35">
        <f>'Premissas SaintL'!$G$59</f>
        <v>1.1000000000000001</v>
      </c>
      <c r="O9" s="35">
        <f>'Premissas SaintL'!$G$59</f>
        <v>1.1000000000000001</v>
      </c>
      <c r="P9" s="35">
        <f>'Premissas SaintL'!$G$59</f>
        <v>1.1000000000000001</v>
      </c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</row>
    <row r="10" spans="1:50" x14ac:dyDescent="0.25">
      <c r="A10" s="5"/>
      <c r="B10" s="13">
        <f>SUM(B6:B9)</f>
        <v>23088</v>
      </c>
      <c r="C10" s="13">
        <f t="shared" ref="C10:G10" si="0">SUM(C6:C9)</f>
        <v>28905.591412386184</v>
      </c>
      <c r="D10" s="13">
        <f t="shared" si="0"/>
        <v>28400.332331626596</v>
      </c>
      <c r="E10" s="13">
        <f t="shared" si="0"/>
        <v>24862.657838269595</v>
      </c>
      <c r="F10" s="13">
        <f t="shared" si="0"/>
        <v>20581.381641909029</v>
      </c>
      <c r="G10" s="13">
        <f t="shared" si="0"/>
        <v>34195.259545223947</v>
      </c>
      <c r="H10" s="2"/>
      <c r="I10" s="69" t="s">
        <v>209</v>
      </c>
      <c r="J10" s="70"/>
      <c r="K10" s="192">
        <f>K6+K9*(K8+K7)</f>
        <v>0.123</v>
      </c>
      <c r="L10" s="192">
        <f>L6+L9*(L8+L7)</f>
        <v>0.123</v>
      </c>
      <c r="M10" s="192">
        <f t="shared" ref="M10:P10" si="1">M6+M9*(M8+M7)</f>
        <v>0.123</v>
      </c>
      <c r="N10" s="192">
        <f t="shared" si="1"/>
        <v>0.123</v>
      </c>
      <c r="O10" s="192">
        <f t="shared" si="1"/>
        <v>0.123</v>
      </c>
      <c r="P10" s="192">
        <f t="shared" si="1"/>
        <v>0.123</v>
      </c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</row>
    <row r="11" spans="1:50" x14ac:dyDescent="0.25">
      <c r="A11" s="7" t="s">
        <v>24</v>
      </c>
      <c r="B11" s="2"/>
      <c r="C11" s="2"/>
      <c r="D11" s="2"/>
      <c r="E11" s="2"/>
      <c r="F11" s="2"/>
      <c r="G11" s="2"/>
      <c r="H11" s="2"/>
      <c r="I11" s="69" t="s">
        <v>210</v>
      </c>
      <c r="J11" s="70"/>
      <c r="K11" s="34">
        <f>'Premissas SaintL'!H6</f>
        <v>0.02</v>
      </c>
      <c r="L11" s="34">
        <f>'Premissas SaintL'!I6</f>
        <v>0.02</v>
      </c>
      <c r="M11" s="34">
        <f>'Premissas SaintL'!J6</f>
        <v>0.02</v>
      </c>
      <c r="N11" s="34">
        <f>'Premissas SaintL'!K6</f>
        <v>0.02</v>
      </c>
      <c r="O11" s="34">
        <f>'Premissas SaintL'!L6</f>
        <v>0.02</v>
      </c>
      <c r="P11" s="34">
        <f>O11</f>
        <v>0.02</v>
      </c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</row>
    <row r="12" spans="1:50" x14ac:dyDescent="0.25">
      <c r="A12" s="4" t="s">
        <v>25</v>
      </c>
      <c r="B12" s="2"/>
      <c r="C12" s="2"/>
      <c r="D12" s="2"/>
      <c r="E12" s="2"/>
      <c r="F12" s="2"/>
      <c r="G12" s="2"/>
      <c r="H12" s="2"/>
      <c r="I12" s="69" t="s">
        <v>211</v>
      </c>
      <c r="J12" s="70"/>
      <c r="K12" s="34">
        <f>'Premissas SaintL'!H5</f>
        <v>4.4999999999999998E-2</v>
      </c>
      <c r="L12" s="34">
        <f>'Premissas SaintL'!I5</f>
        <v>4.4999999999999998E-2</v>
      </c>
      <c r="M12" s="34">
        <f>'Premissas SaintL'!J5</f>
        <v>0.04</v>
      </c>
      <c r="N12" s="34">
        <f>'Premissas SaintL'!K5</f>
        <v>0.04</v>
      </c>
      <c r="O12" s="34">
        <f>'Premissas SaintL'!L5</f>
        <v>0.04</v>
      </c>
      <c r="P12" s="34">
        <f>O12</f>
        <v>0.04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</row>
    <row r="13" spans="1:50" x14ac:dyDescent="0.25">
      <c r="A13" s="6" t="s">
        <v>200</v>
      </c>
      <c r="B13" s="87">
        <f>'Premissa FrangoB'!B26</f>
        <v>55000</v>
      </c>
      <c r="C13" s="13">
        <f>B13+'Premissa FrangoB'!E37</f>
        <v>75000</v>
      </c>
      <c r="D13" s="13">
        <f>C13+'Premissa FrangoB'!F37</f>
        <v>95800</v>
      </c>
      <c r="E13" s="13">
        <f>D13+'Premissa FrangoB'!G37</f>
        <v>117432</v>
      </c>
      <c r="F13" s="13">
        <f>E13</f>
        <v>117432</v>
      </c>
      <c r="G13" s="13">
        <f>F13</f>
        <v>117432</v>
      </c>
      <c r="H13" s="2"/>
      <c r="I13" s="69" t="s">
        <v>212</v>
      </c>
      <c r="J13" s="70"/>
      <c r="K13" s="192">
        <f>(1+K10)*((1+K12)/(1+K11))-1</f>
        <v>0.1505245098039214</v>
      </c>
      <c r="L13" s="192">
        <f t="shared" ref="L13:P13" si="2">(1+L10)*((1+L12)/(1+L11))-1</f>
        <v>0.1505245098039214</v>
      </c>
      <c r="M13" s="192">
        <f t="shared" si="2"/>
        <v>0.14501960784313717</v>
      </c>
      <c r="N13" s="192">
        <f t="shared" si="2"/>
        <v>0.14501960784313717</v>
      </c>
      <c r="O13" s="192">
        <f t="shared" si="2"/>
        <v>0.14501960784313717</v>
      </c>
      <c r="P13" s="192">
        <f t="shared" si="2"/>
        <v>0.14501960784313717</v>
      </c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</row>
    <row r="14" spans="1:50" x14ac:dyDescent="0.25">
      <c r="A14" s="6" t="s">
        <v>201</v>
      </c>
      <c r="B14" s="87">
        <f>'Premissa FrangoB'!B27</f>
        <v>7600</v>
      </c>
      <c r="C14" s="13">
        <f>B14</f>
        <v>7600</v>
      </c>
      <c r="D14" s="13">
        <f t="shared" ref="D14:G14" si="3">C14</f>
        <v>7600</v>
      </c>
      <c r="E14" s="13">
        <f t="shared" si="3"/>
        <v>7600</v>
      </c>
      <c r="F14" s="13">
        <f t="shared" si="3"/>
        <v>7600</v>
      </c>
      <c r="G14" s="13">
        <f t="shared" si="3"/>
        <v>7600</v>
      </c>
      <c r="H14" s="2"/>
      <c r="I14" s="69"/>
      <c r="J14" s="70"/>
      <c r="K14" s="70"/>
      <c r="L14" s="70"/>
      <c r="M14" s="70"/>
      <c r="N14" s="70"/>
      <c r="O14" s="70"/>
      <c r="P14" s="71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</row>
    <row r="15" spans="1:50" x14ac:dyDescent="0.25">
      <c r="A15" s="5"/>
      <c r="B15" s="87">
        <f>B13-B14</f>
        <v>47400</v>
      </c>
      <c r="C15" s="87">
        <f t="shared" ref="C15:G15" si="4">C13-C14</f>
        <v>67400</v>
      </c>
      <c r="D15" s="87">
        <f t="shared" si="4"/>
        <v>88200</v>
      </c>
      <c r="E15" s="87">
        <f t="shared" si="4"/>
        <v>109832</v>
      </c>
      <c r="F15" s="87">
        <f t="shared" si="4"/>
        <v>109832</v>
      </c>
      <c r="G15" s="87">
        <f t="shared" si="4"/>
        <v>109832</v>
      </c>
      <c r="H15" s="2"/>
      <c r="I15" s="148" t="s">
        <v>213</v>
      </c>
      <c r="J15" s="70"/>
      <c r="K15" s="70"/>
      <c r="L15" s="70"/>
      <c r="M15" s="70"/>
      <c r="N15" s="70"/>
      <c r="O15" s="70"/>
      <c r="P15" s="7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</row>
    <row r="16" spans="1:50" x14ac:dyDescent="0.25">
      <c r="A16" s="1" t="s">
        <v>28</v>
      </c>
      <c r="B16" s="13">
        <f>B10+B15</f>
        <v>70488</v>
      </c>
      <c r="C16" s="13">
        <f t="shared" ref="C16:G16" si="5">C10+C15</f>
        <v>96305.591412386188</v>
      </c>
      <c r="D16" s="13">
        <f t="shared" si="5"/>
        <v>116600.33233162659</v>
      </c>
      <c r="E16" s="13">
        <f t="shared" si="5"/>
        <v>134694.6578382696</v>
      </c>
      <c r="F16" s="13">
        <f t="shared" si="5"/>
        <v>130413.38164190903</v>
      </c>
      <c r="G16" s="13">
        <f t="shared" si="5"/>
        <v>144027.25954522396</v>
      </c>
      <c r="H16" s="2"/>
      <c r="I16" s="69" t="s">
        <v>310</v>
      </c>
      <c r="J16" s="70"/>
      <c r="K16" s="190">
        <f>'DFC-DRE2'!C45/('BP-WACC-Val2'!B28+B24+B25)</f>
        <v>0.13</v>
      </c>
      <c r="L16" s="190">
        <f>'DFC-DRE2'!D45/('BP-WACC-Val2'!C28+C24+C25)</f>
        <v>0.1316507177033493</v>
      </c>
      <c r="M16" s="190">
        <f>'DFC-DRE2'!E45/('BP-WACC-Val2'!D28+D24+D25)</f>
        <v>0.13737096592825818</v>
      </c>
      <c r="N16" s="190">
        <f>'DFC-DRE2'!F45/('BP-WACC-Val2'!E28+E24+E25)</f>
        <v>0.13640466959526001</v>
      </c>
      <c r="O16" s="190">
        <f>'DFC-DRE2'!G45/('BP-WACC-Val2'!F28+F24+F25)</f>
        <v>0.12187423452933972</v>
      </c>
      <c r="P16" s="193">
        <f>O16</f>
        <v>0.12187423452933972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</row>
    <row r="17" spans="1:50" x14ac:dyDescent="0.25">
      <c r="A17" s="2"/>
      <c r="B17" s="2"/>
      <c r="C17" s="2"/>
      <c r="D17" s="2"/>
      <c r="E17" s="2"/>
      <c r="F17" s="2"/>
      <c r="G17" s="2"/>
      <c r="H17" s="2"/>
      <c r="I17" s="69" t="s">
        <v>214</v>
      </c>
      <c r="J17" s="70"/>
      <c r="K17" s="190">
        <f>K16*(1-K4)</f>
        <v>8.5799999999999987E-2</v>
      </c>
      <c r="L17" s="190">
        <f t="shared" ref="L17:O17" si="6">L16*(1-L4)</f>
        <v>8.688947368421053E-2</v>
      </c>
      <c r="M17" s="190">
        <f t="shared" si="6"/>
        <v>9.0664837512650379E-2</v>
      </c>
      <c r="N17" s="190">
        <f t="shared" si="6"/>
        <v>9.0027081932871594E-2</v>
      </c>
      <c r="O17" s="190">
        <f t="shared" si="6"/>
        <v>8.0436994789364211E-2</v>
      </c>
      <c r="P17" s="193">
        <f t="shared" ref="P17:P19" si="7">O17</f>
        <v>8.0436994789364211E-2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</row>
    <row r="18" spans="1:50" x14ac:dyDescent="0.25">
      <c r="A18" s="1" t="s">
        <v>29</v>
      </c>
      <c r="B18" s="2"/>
      <c r="C18" s="2"/>
      <c r="D18" s="2"/>
      <c r="E18" s="2"/>
      <c r="F18" s="2"/>
      <c r="G18" s="2"/>
      <c r="H18" s="2"/>
      <c r="I18" s="69" t="s">
        <v>216</v>
      </c>
      <c r="J18" s="70"/>
      <c r="K18" s="190">
        <f>K13+((K13-K16)*((B24+B25+B29)/B33)*(1-K4))</f>
        <v>0.15271583107852774</v>
      </c>
      <c r="L18" s="190">
        <f>L13+((L13-L16)*((C24+C25+C29)/C33)*(1-L4))</f>
        <v>0.15536962955189756</v>
      </c>
      <c r="M18" s="190">
        <f>M13+((M13-M16)*((D24+D25+D29)/D33)*(1-M4))</f>
        <v>0.14737933619251889</v>
      </c>
      <c r="N18" s="190">
        <f>N13+((N13-N16)*((E24+E25+E29)/E33)*(1-N4))</f>
        <v>0.14764201501985927</v>
      </c>
      <c r="O18" s="190">
        <f>O13+((O13-O16)*((F24+F25+F29)/F33)*(1-O4))</f>
        <v>0.14834284616193033</v>
      </c>
      <c r="P18" s="193">
        <f t="shared" si="7"/>
        <v>0.14834284616193033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</row>
    <row r="19" spans="1:50" x14ac:dyDescent="0.25">
      <c r="A19" s="7" t="s">
        <v>19</v>
      </c>
      <c r="B19" s="2"/>
      <c r="C19" s="2"/>
      <c r="D19" s="2"/>
      <c r="E19" s="2"/>
      <c r="F19" s="2"/>
      <c r="G19" s="2"/>
      <c r="H19" s="2"/>
      <c r="I19" s="18" t="s">
        <v>215</v>
      </c>
      <c r="J19" s="73"/>
      <c r="K19" s="191">
        <f>(K16*(1-K4)*((B24+B25+B29)/(B24+B25+B29+B33)))+(K18*(B33/(B33+B24+B25+B29)))</f>
        <v>0.14339833431859228</v>
      </c>
      <c r="L19" s="191">
        <f>(L16*(1-L4)*((C24+C25+C29)/(C24+C25+C29+C33)))+(L18*(C33/(C33+C24+C25+C29)))</f>
        <v>0.13619277376805053</v>
      </c>
      <c r="M19" s="191">
        <f>(M16*(1-M4)*((D24+D25+D29)/(D24+D25+D29+D33)))+(M18*(D33/(D33+D24+D25+D29)))</f>
        <v>0.12931321237689355</v>
      </c>
      <c r="N19" s="191">
        <f>(N16*(1-N4)*((E24+E25+E29)/(E24+E25+E29+E33)))+(N18*(E33/(E33+E24+E25+E29)))</f>
        <v>0.12945653487635639</v>
      </c>
      <c r="O19" s="191">
        <f>(O16*(1-O4)*((F24+F25+F29)/(F24+F25+F29+F33)))+(O18*(F33/(F33+F24+F25+F29)))</f>
        <v>0.13620966231973722</v>
      </c>
      <c r="P19" s="211">
        <f t="shared" si="7"/>
        <v>0.13620966231973722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</row>
    <row r="20" spans="1:50" x14ac:dyDescent="0.25">
      <c r="A20" s="4" t="s">
        <v>30</v>
      </c>
      <c r="B20" s="13">
        <f>'Rec-Desp-Fin (2)'!B60</f>
        <v>15456</v>
      </c>
      <c r="C20" s="13">
        <f>'Rec-Desp-Fin (2)'!C60</f>
        <v>16406.229394671602</v>
      </c>
      <c r="D20" s="13">
        <f>'Rec-Desp-Fin (2)'!D60</f>
        <v>17534.56883128839</v>
      </c>
      <c r="E20" s="13">
        <f>'Rec-Desp-Fin (2)'!E60</f>
        <v>20112.971162322257</v>
      </c>
      <c r="F20" s="13">
        <f>'Rec-Desp-Fin (2)'!F60</f>
        <v>20869.682653972712</v>
      </c>
      <c r="G20" s="13">
        <f>'Rec-Desp-Fin (2)'!G60</f>
        <v>21656.662605289192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</row>
    <row r="21" spans="1:50" x14ac:dyDescent="0.25">
      <c r="A21" s="6" t="s">
        <v>31</v>
      </c>
      <c r="B21" s="13">
        <f>'Rec-Desp-Fin (2)'!B59</f>
        <v>1245</v>
      </c>
      <c r="C21" s="13">
        <f>'Rec-Desp-Fin (2)'!C59</f>
        <v>1272.5126596234536</v>
      </c>
      <c r="D21" s="13">
        <f>'Rec-Desp-Fin (2)'!D59</f>
        <v>1329.775729306509</v>
      </c>
      <c r="E21" s="13">
        <f>'Rec-Desp-Fin (2)'!E59</f>
        <v>1528.5772008378322</v>
      </c>
      <c r="F21" s="13">
        <f>'Rec-Desp-Fin (2)'!F59</f>
        <v>1589.7202888713455</v>
      </c>
      <c r="G21" s="13">
        <f>'Rec-Desp-Fin (2)'!G59</f>
        <v>1653.3091004261992</v>
      </c>
      <c r="H21" s="2"/>
      <c r="I21" s="65" t="s">
        <v>218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</row>
    <row r="22" spans="1:50" x14ac:dyDescent="0.25">
      <c r="A22" s="6" t="s">
        <v>34</v>
      </c>
      <c r="B22" s="13">
        <f>'Premissa FrangoB'!$E$49*'DFC-DRE2'!B48</f>
        <v>3932.7749999999996</v>
      </c>
      <c r="C22" s="13">
        <f>'Premissa FrangoB'!$E$49*'DFC-DRE2'!C48</f>
        <v>3693.1560895227817</v>
      </c>
      <c r="D22" s="13">
        <f>'Premissa FrangoB'!$E$49*'DFC-DRE2'!D48</f>
        <v>3227.240292282504</v>
      </c>
      <c r="E22" s="13">
        <f>'Premissa FrangoB'!$E$49*'DFC-DRE2'!E48</f>
        <v>3517.9904990900777</v>
      </c>
      <c r="F22" s="13">
        <f>'Premissa FrangoB'!$E$49*'DFC-DRE2'!F48</f>
        <v>3534.0815974280545</v>
      </c>
      <c r="G22" s="13">
        <f>'Premissa FrangoB'!$E$49*'DFC-DRE2'!G48</f>
        <v>4074.3476844679117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</row>
    <row r="23" spans="1:50" x14ac:dyDescent="0.25">
      <c r="A23" s="6" t="s">
        <v>202</v>
      </c>
      <c r="B23" s="13">
        <f>'Rec-Desp-Fin (2)'!B61</f>
        <v>300</v>
      </c>
      <c r="C23" s="13">
        <f>'Rec-Desp-Fin (2)'!C61</f>
        <v>300</v>
      </c>
      <c r="D23" s="13">
        <f>'Rec-Desp-Fin (2)'!D61</f>
        <v>300</v>
      </c>
      <c r="E23" s="13">
        <f>'Rec-Desp-Fin (2)'!E61</f>
        <v>300</v>
      </c>
      <c r="F23" s="13">
        <f>'Rec-Desp-Fin (2)'!F61</f>
        <v>300</v>
      </c>
      <c r="G23" s="13">
        <f>'Rec-Desp-Fin (2)'!G61</f>
        <v>300</v>
      </c>
      <c r="H23" s="2"/>
      <c r="I23" s="2" t="s">
        <v>219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</row>
    <row r="24" spans="1:50" x14ac:dyDescent="0.25">
      <c r="A24" s="6" t="s">
        <v>32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</row>
    <row r="25" spans="1:50" x14ac:dyDescent="0.25">
      <c r="A25" s="6" t="s">
        <v>33</v>
      </c>
      <c r="B25" s="13">
        <f>'DFC-DRE2'!C16</f>
        <v>1150</v>
      </c>
      <c r="C25" s="13">
        <f>'DFC-DRE2'!D16</f>
        <v>5816.666666666667</v>
      </c>
      <c r="D25" s="13">
        <f>'DFC-DRE2'!E16</f>
        <v>10670</v>
      </c>
      <c r="E25" s="13">
        <f>'DFC-DRE2'!F16</f>
        <v>15717.466666666667</v>
      </c>
      <c r="F25" s="13">
        <f>'DFC-DRE2'!G16</f>
        <v>0</v>
      </c>
      <c r="G25" s="13">
        <f>'DFC-DRE2'!H16</f>
        <v>0</v>
      </c>
      <c r="H25" s="2"/>
      <c r="I25" s="226" t="s">
        <v>220</v>
      </c>
      <c r="J25" s="227"/>
      <c r="K25" s="227"/>
      <c r="L25" s="227"/>
      <c r="M25" s="227"/>
      <c r="N25" s="227"/>
      <c r="O25" s="228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</row>
    <row r="26" spans="1:50" x14ac:dyDescent="0.25">
      <c r="A26" s="5"/>
      <c r="B26" s="13">
        <f>SUM(B20:B25)</f>
        <v>22083.775000000001</v>
      </c>
      <c r="C26" s="13">
        <f t="shared" ref="C26:G26" si="8">SUM(C20:C25)</f>
        <v>27488.564810484506</v>
      </c>
      <c r="D26" s="13">
        <f t="shared" si="8"/>
        <v>33061.5848528774</v>
      </c>
      <c r="E26" s="13">
        <f t="shared" si="8"/>
        <v>41177.005528916838</v>
      </c>
      <c r="F26" s="13">
        <f t="shared" si="8"/>
        <v>26293.484540272111</v>
      </c>
      <c r="G26" s="13">
        <f t="shared" si="8"/>
        <v>27684.3193901833</v>
      </c>
      <c r="H26" s="2"/>
      <c r="I26" s="17"/>
      <c r="J26" s="66"/>
      <c r="K26" s="67" t="s">
        <v>53</v>
      </c>
      <c r="L26" s="67" t="s">
        <v>54</v>
      </c>
      <c r="M26" s="67" t="s">
        <v>55</v>
      </c>
      <c r="N26" s="67" t="s">
        <v>56</v>
      </c>
      <c r="O26" s="68" t="s">
        <v>57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</row>
    <row r="27" spans="1:50" x14ac:dyDescent="0.25">
      <c r="A27" s="7" t="s">
        <v>35</v>
      </c>
      <c r="B27" s="2"/>
      <c r="C27" s="2"/>
      <c r="D27" s="2"/>
      <c r="E27" s="2"/>
      <c r="F27" s="2"/>
      <c r="G27" s="2"/>
      <c r="H27" s="2"/>
      <c r="I27" s="69" t="s">
        <v>221</v>
      </c>
      <c r="J27" s="70"/>
      <c r="K27" s="121">
        <f>'DFC-DRE2'!C2</f>
        <v>22313.08417892595</v>
      </c>
      <c r="L27" s="121">
        <f>'DFC-DRE2'!D2</f>
        <v>20780.02296697766</v>
      </c>
      <c r="M27" s="121">
        <f>'DFC-DRE2'!E2</f>
        <v>24261.552782678293</v>
      </c>
      <c r="N27" s="121">
        <f>'DFC-DRE2'!F2</f>
        <v>25403.34353398543</v>
      </c>
      <c r="O27" s="105">
        <f>'DFC-DRE2'!G2</f>
        <v>26748.286875344878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</row>
    <row r="28" spans="1:50" x14ac:dyDescent="0.25">
      <c r="A28" s="4" t="s">
        <v>36</v>
      </c>
      <c r="B28" s="13">
        <f>'Rec-Desp-Fin (2)'!C79+'Rec-Desp-Fin (2)'!C98</f>
        <v>5750</v>
      </c>
      <c r="C28" s="13">
        <f>'Rec-Desp-Fin (2)'!D79+'Rec-Desp-Fin (2)'!D98+'Rec-Desp-Fin (2)'!J96</f>
        <v>15083.333333333332</v>
      </c>
      <c r="D28" s="13">
        <f>'Rec-Desp-Fin (2)'!E79+'Rec-Desp-Fin (2)'!E98+'Rec-Desp-Fin (2)'!K96+'Rec-Desp-Fin (2)'!J102</f>
        <v>18973.333333333328</v>
      </c>
      <c r="E28" s="13">
        <f>'Rec-Desp-Fin (2)'!F79+'Rec-Desp-Fin (2)'!F98+'Rec-Desp-Fin (2)'!L96+'Rec-Desp-Fin (2)'!K102+'Rec-Desp-Fin (2)'!J108</f>
        <v>18398.266666666666</v>
      </c>
      <c r="F28" s="13">
        <f>'Rec-Desp-Fin (2)'!F98+'Rec-Desp-Fin (2)'!F79+'Rec-Desp-Fin (2)'!K102+'Rec-Desp-Fin (2)'!J108</f>
        <v>18398.266666666666</v>
      </c>
      <c r="G28" s="13">
        <f>F28</f>
        <v>18398.266666666666</v>
      </c>
      <c r="H28" s="2"/>
      <c r="I28" s="69" t="s">
        <v>222</v>
      </c>
      <c r="J28" s="70"/>
      <c r="K28" s="121">
        <f>K27*K4</f>
        <v>7586.4486208348235</v>
      </c>
      <c r="L28" s="121">
        <f>L27*L4</f>
        <v>7065.2078087724049</v>
      </c>
      <c r="M28" s="121">
        <f>M27*M4</f>
        <v>8248.9279461106198</v>
      </c>
      <c r="N28" s="121">
        <f>N27*N4</f>
        <v>8637.136801555047</v>
      </c>
      <c r="O28" s="105">
        <f>O27*O4</f>
        <v>9094.4175376172589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</row>
    <row r="29" spans="1:50" x14ac:dyDescent="0.25">
      <c r="A29" s="5"/>
      <c r="B29" s="13">
        <f>B28</f>
        <v>5750</v>
      </c>
      <c r="C29" s="13">
        <f t="shared" ref="C29:G29" si="9">C28</f>
        <v>15083.333333333332</v>
      </c>
      <c r="D29" s="13">
        <f t="shared" si="9"/>
        <v>18973.333333333328</v>
      </c>
      <c r="E29" s="13">
        <f t="shared" si="9"/>
        <v>18398.266666666666</v>
      </c>
      <c r="F29" s="13">
        <f t="shared" si="9"/>
        <v>18398.266666666666</v>
      </c>
      <c r="G29" s="13">
        <f t="shared" si="9"/>
        <v>18398.266666666666</v>
      </c>
      <c r="H29" s="2"/>
      <c r="I29" s="69" t="s">
        <v>223</v>
      </c>
      <c r="J29" s="70"/>
      <c r="K29" s="121">
        <f>K27-K28</f>
        <v>14726.635558091126</v>
      </c>
      <c r="L29" s="121">
        <f t="shared" ref="L29:O29" si="10">L27-L28</f>
        <v>13714.815158205256</v>
      </c>
      <c r="M29" s="121">
        <f t="shared" si="10"/>
        <v>16012.624836567673</v>
      </c>
      <c r="N29" s="121">
        <f t="shared" si="10"/>
        <v>16766.206732430383</v>
      </c>
      <c r="O29" s="105">
        <f t="shared" si="10"/>
        <v>17653.869337727621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</row>
    <row r="30" spans="1:50" x14ac:dyDescent="0.25">
      <c r="A30" s="7" t="s">
        <v>37</v>
      </c>
      <c r="B30" s="2"/>
      <c r="C30" s="2"/>
      <c r="D30" s="2"/>
      <c r="E30" s="2"/>
      <c r="F30" s="2"/>
      <c r="G30" s="2"/>
      <c r="H30" s="2"/>
      <c r="I30" s="69" t="s">
        <v>161</v>
      </c>
      <c r="J30" s="70"/>
      <c r="K30" s="121">
        <f>'DFC-DRE2'!C3</f>
        <v>3850.0000000000009</v>
      </c>
      <c r="L30" s="121">
        <f>'DFC-DRE2'!D3</f>
        <v>6560.4000000000015</v>
      </c>
      <c r="M30" s="121">
        <f>'DFC-DRE2'!E3</f>
        <v>8068.8160000000016</v>
      </c>
      <c r="N30" s="121">
        <f>'DFC-DRE2'!F3</f>
        <v>8220.2400000000016</v>
      </c>
      <c r="O30" s="105">
        <f>'DFC-DRE2'!G3</f>
        <v>8220.2400000000016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</row>
    <row r="31" spans="1:50" x14ac:dyDescent="0.25">
      <c r="A31" s="4" t="s">
        <v>203</v>
      </c>
      <c r="B31" s="13">
        <f>'Premissa FrangoB'!$B$44</f>
        <v>39221</v>
      </c>
      <c r="C31" s="13">
        <f>'Premissa FrangoB'!$B$44</f>
        <v>39221</v>
      </c>
      <c r="D31" s="13">
        <f>'Premissa FrangoB'!$B$44</f>
        <v>39221</v>
      </c>
      <c r="E31" s="13">
        <f>'Premissa FrangoB'!$B$44</f>
        <v>39221</v>
      </c>
      <c r="F31" s="13">
        <f>'Premissa FrangoB'!$B$44</f>
        <v>39221</v>
      </c>
      <c r="G31" s="13">
        <f>'Premissa FrangoB'!$B$44</f>
        <v>39221</v>
      </c>
      <c r="H31" s="2"/>
      <c r="I31" s="72" t="s">
        <v>224</v>
      </c>
      <c r="J31" s="70"/>
      <c r="K31" s="121">
        <f>'DFC-DRE2'!C7</f>
        <v>23850</v>
      </c>
      <c r="L31" s="121">
        <f>'DFC-DRE2'!D7</f>
        <v>27360.400000000001</v>
      </c>
      <c r="M31" s="121">
        <f>'DFC-DRE2'!E7</f>
        <v>29700.815999999999</v>
      </c>
      <c r="N31" s="121">
        <f>'DFC-DRE2'!F7</f>
        <v>8220.2400000000016</v>
      </c>
      <c r="O31" s="105">
        <f>'DFC-DRE2'!G7</f>
        <v>8220.2400000000016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</row>
    <row r="32" spans="1:50" ht="17.25" x14ac:dyDescent="0.4">
      <c r="A32" s="6" t="s">
        <v>39</v>
      </c>
      <c r="B32" s="13">
        <f>'Premissa FrangoB'!B45</f>
        <v>3433</v>
      </c>
      <c r="C32" s="13">
        <f>B32+(1-'Premissa FrangoB'!$E$49)*'DFC-DRE2'!C48</f>
        <v>14512.468268568346</v>
      </c>
      <c r="D32" s="13">
        <f>C32+(1-'Premissa FrangoB'!$E$49)*'DFC-DRE2'!D48</f>
        <v>24194.189145415858</v>
      </c>
      <c r="E32" s="13">
        <f>D32+(1-'Premissa FrangoB'!$E$49)*'DFC-DRE2'!E48</f>
        <v>34748.160642686089</v>
      </c>
      <c r="F32" s="13">
        <f>E32+(1-'Premissa FrangoB'!$E$49)*'DFC-DRE2'!F48</f>
        <v>45350.405434970249</v>
      </c>
      <c r="G32" s="13">
        <f>F32+(1-'Premissa FrangoB'!$E$49)*'DFC-DRE2'!G48</f>
        <v>57573.448488373986</v>
      </c>
      <c r="H32" s="2"/>
      <c r="I32" s="69" t="s">
        <v>163</v>
      </c>
      <c r="J32" s="70"/>
      <c r="K32" s="123">
        <f>'DFC-DRE2'!C5</f>
        <v>-285.86980065212083</v>
      </c>
      <c r="L32" s="123">
        <f>'DFC-DRE2'!D5</f>
        <v>-351.9767682595957</v>
      </c>
      <c r="M32" s="123">
        <f>'DFC-DRE2'!E5</f>
        <v>-428.82542994595315</v>
      </c>
      <c r="N32" s="123">
        <f>'DFC-DRE2'!F5</f>
        <v>-110.38621866177346</v>
      </c>
      <c r="O32" s="124">
        <f>'DFC-DRE2'!G5</f>
        <v>-114.80166740825007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</row>
    <row r="33" spans="1:50" x14ac:dyDescent="0.25">
      <c r="A33" s="5"/>
      <c r="B33" s="13">
        <f>SUM(B31:B32)</f>
        <v>42654</v>
      </c>
      <c r="C33" s="13">
        <f t="shared" ref="C33:G33" si="11">SUM(C31:C32)</f>
        <v>53733.468268568344</v>
      </c>
      <c r="D33" s="13">
        <f t="shared" si="11"/>
        <v>63415.189145415861</v>
      </c>
      <c r="E33" s="13">
        <f t="shared" si="11"/>
        <v>73969.160642686096</v>
      </c>
      <c r="F33" s="13">
        <f t="shared" si="11"/>
        <v>84571.405434970249</v>
      </c>
      <c r="G33" s="13">
        <f t="shared" si="11"/>
        <v>96794.448488373979</v>
      </c>
      <c r="H33" s="2"/>
      <c r="I33" s="69" t="s">
        <v>225</v>
      </c>
      <c r="J33" s="70"/>
      <c r="K33" s="122">
        <f>K29+K30-K31-K32</f>
        <v>-4987.4946412567533</v>
      </c>
      <c r="L33" s="122">
        <f t="shared" ref="L33:N33" si="12">L29+L30-L31-L32</f>
        <v>-6733.2080735351483</v>
      </c>
      <c r="M33" s="122">
        <f t="shared" si="12"/>
        <v>-5190.5497334863703</v>
      </c>
      <c r="N33" s="122">
        <f t="shared" si="12"/>
        <v>16876.592951092156</v>
      </c>
      <c r="O33" s="125">
        <f>O29+O30-O31-O32</f>
        <v>17768.671005135871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</row>
    <row r="34" spans="1:50" x14ac:dyDescent="0.25">
      <c r="A34" s="46" t="s">
        <v>40</v>
      </c>
      <c r="B34" s="13">
        <f>B26+B29+B33</f>
        <v>70487.774999999994</v>
      </c>
      <c r="C34" s="13">
        <f t="shared" ref="C34:G34" si="13">C26+C29+C33</f>
        <v>96305.366412386182</v>
      </c>
      <c r="D34" s="13">
        <f t="shared" si="13"/>
        <v>115450.10733162658</v>
      </c>
      <c r="E34" s="13">
        <f t="shared" si="13"/>
        <v>133544.4328382696</v>
      </c>
      <c r="F34" s="13">
        <f>F26+F29+F33</f>
        <v>129263.15664190902</v>
      </c>
      <c r="G34" s="13">
        <f t="shared" si="13"/>
        <v>142877.03454522393</v>
      </c>
      <c r="H34" s="2"/>
      <c r="I34" s="69" t="s">
        <v>226</v>
      </c>
      <c r="J34" s="70"/>
      <c r="K34" s="121"/>
      <c r="L34" s="121"/>
      <c r="M34" s="121"/>
      <c r="N34" s="121"/>
      <c r="O34" s="212">
        <f>O33/(O13-'Premissas SaintL'!$H$67)</f>
        <v>122525.98989479853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</row>
    <row r="35" spans="1:50" x14ac:dyDescent="0.25">
      <c r="A35" s="2"/>
      <c r="B35" s="2"/>
      <c r="C35" s="2"/>
      <c r="D35" s="2"/>
      <c r="E35" s="2"/>
      <c r="F35" s="2"/>
      <c r="G35" s="2"/>
      <c r="H35" s="2"/>
      <c r="I35" s="69" t="s">
        <v>227</v>
      </c>
      <c r="J35" s="70"/>
      <c r="K35" s="13">
        <f>SUM(K33:K34)</f>
        <v>-4987.4946412567533</v>
      </c>
      <c r="L35" s="13">
        <f t="shared" ref="L35:O35" si="14">SUM(L33:L34)</f>
        <v>-6733.2080735351483</v>
      </c>
      <c r="M35" s="13">
        <f t="shared" si="14"/>
        <v>-5190.5497334863703</v>
      </c>
      <c r="N35" s="13">
        <f t="shared" si="14"/>
        <v>16876.592951092156</v>
      </c>
      <c r="O35" s="13">
        <f t="shared" si="14"/>
        <v>140294.66089993442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</row>
    <row r="36" spans="1:50" x14ac:dyDescent="0.25">
      <c r="A36" s="2"/>
      <c r="B36" s="2"/>
      <c r="C36" s="2"/>
      <c r="D36" s="2"/>
      <c r="E36" s="2"/>
      <c r="F36" s="2"/>
      <c r="G36" s="2"/>
      <c r="H36" s="2"/>
      <c r="I36" s="69" t="s">
        <v>228</v>
      </c>
      <c r="J36" s="70"/>
      <c r="K36" s="13">
        <f>K35/(1+K19)^K3</f>
        <v>-4361.9922222722571</v>
      </c>
      <c r="L36" s="13">
        <f>L35/(1+L19)^L3</f>
        <v>-5215.7646894317013</v>
      </c>
      <c r="M36" s="13">
        <f>M35/(1+M19)^M3</f>
        <v>-3603.8784016839859</v>
      </c>
      <c r="N36" s="13">
        <f>N35/(1+N19)^N3</f>
        <v>10370.666909672102</v>
      </c>
      <c r="O36" s="13">
        <f>O35/(1+O19)^O3</f>
        <v>74088.150382497537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</row>
    <row r="37" spans="1:50" x14ac:dyDescent="0.25">
      <c r="A37" s="2"/>
      <c r="B37" s="2"/>
      <c r="C37" s="2"/>
      <c r="D37" s="2"/>
      <c r="E37" s="2"/>
      <c r="F37" s="2"/>
      <c r="G37" s="2"/>
      <c r="H37" s="2"/>
      <c r="I37" s="4" t="s">
        <v>229</v>
      </c>
      <c r="J37" s="13">
        <f>SUM(K36:O36)</f>
        <v>71277.181978781693</v>
      </c>
      <c r="K37" s="70"/>
      <c r="L37" s="70"/>
      <c r="M37" s="70"/>
      <c r="N37" s="70"/>
      <c r="O37" s="71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  <row r="38" spans="1:50" x14ac:dyDescent="0.25">
      <c r="A38" s="2"/>
      <c r="B38" s="2"/>
      <c r="C38" s="2"/>
      <c r="D38" s="2"/>
      <c r="E38" s="2"/>
      <c r="F38" s="2"/>
      <c r="G38" s="2"/>
      <c r="H38" s="2"/>
      <c r="I38" s="15" t="s">
        <v>230</v>
      </c>
      <c r="J38" s="13">
        <f>'Premissa FrangoB'!B20</f>
        <v>8788</v>
      </c>
      <c r="K38" s="70"/>
      <c r="L38" s="70"/>
      <c r="M38" s="70"/>
      <c r="N38" s="70"/>
      <c r="O38" s="71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</row>
    <row r="39" spans="1:50" x14ac:dyDescent="0.25">
      <c r="A39" s="2"/>
      <c r="B39" s="2"/>
      <c r="C39" s="2"/>
      <c r="D39" s="2"/>
      <c r="E39" s="2"/>
      <c r="F39" s="2"/>
      <c r="G39" s="2"/>
      <c r="H39" s="2"/>
      <c r="I39" s="75" t="s">
        <v>231</v>
      </c>
      <c r="J39" s="13">
        <f>B24+B25+B29</f>
        <v>6900</v>
      </c>
      <c r="K39" s="70"/>
      <c r="L39" s="70"/>
      <c r="M39" s="70"/>
      <c r="N39" s="70"/>
      <c r="O39" s="71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</row>
    <row r="40" spans="1:50" x14ac:dyDescent="0.25">
      <c r="A40" s="2"/>
      <c r="B40" s="2"/>
      <c r="C40" s="2"/>
      <c r="D40" s="2"/>
      <c r="E40" s="2"/>
      <c r="F40" s="2"/>
      <c r="G40" s="2"/>
      <c r="H40" s="2"/>
      <c r="I40" s="7" t="s">
        <v>232</v>
      </c>
      <c r="J40" s="13">
        <f>J37+J38-J39</f>
        <v>73165.181978781693</v>
      </c>
      <c r="K40" s="73"/>
      <c r="L40" s="73"/>
      <c r="M40" s="73"/>
      <c r="N40" s="73"/>
      <c r="O40" s="74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</row>
    <row r="41" spans="1:5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</row>
    <row r="42" spans="1:5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</row>
    <row r="43" spans="1:5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</row>
    <row r="44" spans="1:5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</row>
    <row r="45" spans="1:5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</row>
    <row r="46" spans="1:5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</row>
    <row r="47" spans="1:5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</row>
    <row r="48" spans="1:5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</row>
    <row r="49" spans="1:5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</row>
    <row r="50" spans="1:5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</row>
    <row r="51" spans="1:50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0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1:5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</row>
    <row r="54" spans="1:50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</row>
    <row r="55" spans="1:50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</row>
    <row r="56" spans="1:50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</row>
    <row r="57" spans="1:50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</row>
    <row r="58" spans="1:50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1:50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:50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</row>
    <row r="61" spans="1:50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</row>
    <row r="62" spans="1:50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</row>
    <row r="63" spans="1:50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</row>
    <row r="64" spans="1:50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</row>
    <row r="65" spans="1:50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</row>
    <row r="66" spans="1:50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</row>
    <row r="67" spans="1:50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</row>
    <row r="68" spans="1:50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</row>
    <row r="69" spans="1:50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</row>
    <row r="70" spans="1:50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</row>
    <row r="71" spans="1:50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</row>
    <row r="72" spans="1:50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</row>
    <row r="73" spans="1:50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</row>
    <row r="74" spans="1:50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</row>
    <row r="75" spans="1:50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</row>
    <row r="76" spans="1:5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</row>
    <row r="77" spans="1:50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</row>
    <row r="78" spans="1:50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</row>
    <row r="79" spans="1:50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</row>
    <row r="80" spans="1:50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</row>
    <row r="81" spans="1:50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</row>
    <row r="82" spans="1:50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</row>
    <row r="83" spans="1:50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</row>
    <row r="84" spans="1:5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</row>
    <row r="85" spans="1:50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</row>
    <row r="86" spans="1:50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</row>
    <row r="87" spans="1:50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</row>
    <row r="88" spans="1:50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</row>
    <row r="89" spans="1:50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</row>
    <row r="90" spans="1:50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</row>
    <row r="91" spans="1:50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</row>
    <row r="92" spans="1:50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</row>
    <row r="93" spans="1:50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</row>
    <row r="94" spans="1:50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</row>
    <row r="95" spans="1:50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</row>
    <row r="96" spans="1:50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</row>
    <row r="97" spans="1:50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</row>
    <row r="98" spans="1:50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</row>
    <row r="99" spans="1:50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</row>
    <row r="100" spans="1:50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</row>
    <row r="101" spans="1:50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</row>
    <row r="102" spans="1:50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</row>
    <row r="103" spans="1:50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</row>
    <row r="104" spans="1:50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</row>
    <row r="105" spans="1:5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</row>
    <row r="106" spans="1:50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</row>
    <row r="107" spans="1:50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</row>
    <row r="108" spans="1:50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</row>
    <row r="109" spans="1:50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</row>
    <row r="110" spans="1:50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</row>
    <row r="111" spans="1:50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</row>
    <row r="112" spans="1:5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</row>
    <row r="113" spans="1:5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</row>
    <row r="114" spans="1:5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</row>
    <row r="115" spans="1:5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</row>
    <row r="116" spans="1:5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</row>
    <row r="117" spans="1:5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</row>
    <row r="118" spans="1:5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</row>
    <row r="119" spans="1:5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</row>
    <row r="120" spans="1:5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</row>
    <row r="121" spans="1:5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</row>
    <row r="122" spans="1:5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</row>
    <row r="123" spans="1:5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</row>
    <row r="124" spans="1:5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</row>
    <row r="125" spans="1:5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</row>
    <row r="126" spans="1:5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</row>
    <row r="127" spans="1:5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</row>
    <row r="128" spans="1:5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</row>
    <row r="129" spans="1:5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</row>
    <row r="130" spans="1:5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</row>
    <row r="131" spans="1:5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</row>
    <row r="132" spans="1:50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</row>
    <row r="133" spans="1:50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</row>
    <row r="134" spans="1:50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</row>
    <row r="135" spans="1:50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</row>
    <row r="136" spans="1:50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</row>
    <row r="137" spans="1:50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</row>
    <row r="138" spans="1:50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</row>
    <row r="139" spans="1:50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</row>
    <row r="140" spans="1:50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</row>
    <row r="141" spans="1:50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</row>
    <row r="142" spans="1:50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</row>
    <row r="143" spans="1:50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</row>
    <row r="144" spans="1:50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</row>
    <row r="145" spans="1:50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</row>
    <row r="146" spans="1:50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</row>
    <row r="147" spans="1:50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</row>
    <row r="148" spans="1:50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</row>
    <row r="149" spans="1:50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</row>
    <row r="150" spans="1:50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</row>
    <row r="151" spans="1:50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</row>
    <row r="152" spans="1:50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</row>
    <row r="153" spans="1:50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</row>
    <row r="154" spans="1:50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</row>
    <row r="155" spans="1:50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</row>
    <row r="156" spans="1:50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</row>
    <row r="157" spans="1:50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</row>
    <row r="158" spans="1:50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</row>
    <row r="159" spans="1:50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</row>
    <row r="160" spans="1:50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</row>
    <row r="161" spans="1:50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</row>
    <row r="162" spans="1:50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</row>
    <row r="163" spans="1:50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</row>
    <row r="164" spans="1:50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</row>
    <row r="165" spans="1:50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</row>
    <row r="166" spans="1:50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</row>
    <row r="167" spans="1:50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</row>
    <row r="168" spans="1:50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</row>
    <row r="169" spans="1:50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</row>
    <row r="170" spans="1:50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</row>
    <row r="171" spans="1:50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</row>
    <row r="172" spans="1:50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</row>
    <row r="173" spans="1:50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</row>
    <row r="174" spans="1:50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</row>
    <row r="175" spans="1:50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</row>
    <row r="176" spans="1:50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</row>
    <row r="177" spans="1:50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</row>
    <row r="178" spans="1:50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</row>
    <row r="179" spans="1:50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</row>
    <row r="180" spans="1:50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</row>
    <row r="181" spans="1:50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</row>
    <row r="182" spans="1:50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</row>
    <row r="183" spans="1:50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</row>
    <row r="184" spans="1:50" x14ac:dyDescent="0.25">
      <c r="A184" s="2"/>
      <c r="B184" s="2"/>
      <c r="C184" s="2"/>
      <c r="D184" s="2"/>
      <c r="E184" s="2"/>
      <c r="F184" s="2"/>
      <c r="G184" s="2"/>
      <c r="H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</row>
    <row r="185" spans="1:50" x14ac:dyDescent="0.25">
      <c r="A185" s="2"/>
      <c r="B185" s="2"/>
      <c r="C185" s="2"/>
      <c r="D185" s="2"/>
      <c r="E185" s="2"/>
      <c r="F185" s="2"/>
      <c r="G185" s="2"/>
      <c r="H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</row>
    <row r="186" spans="1:50" x14ac:dyDescent="0.25"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</row>
    <row r="187" spans="1:50" x14ac:dyDescent="0.25"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</row>
    <row r="188" spans="1:50" x14ac:dyDescent="0.25"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</row>
    <row r="189" spans="1:50" x14ac:dyDescent="0.25"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</row>
    <row r="190" spans="1:50" x14ac:dyDescent="0.25"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</row>
    <row r="191" spans="1:50" x14ac:dyDescent="0.25"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</row>
    <row r="192" spans="1:50" x14ac:dyDescent="0.25"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</row>
    <row r="193" spans="16:50" x14ac:dyDescent="0.25"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</row>
    <row r="194" spans="16:50" x14ac:dyDescent="0.25"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</row>
    <row r="195" spans="16:50" x14ac:dyDescent="0.25"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</row>
    <row r="196" spans="16:50" x14ac:dyDescent="0.25"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</row>
    <row r="197" spans="16:50" x14ac:dyDescent="0.25"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</row>
    <row r="198" spans="16:50" x14ac:dyDescent="0.25"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</row>
    <row r="199" spans="16:50" x14ac:dyDescent="0.25"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</row>
    <row r="200" spans="16:50" x14ac:dyDescent="0.25"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</row>
    <row r="201" spans="16:50" x14ac:dyDescent="0.25"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</row>
    <row r="202" spans="16:50" x14ac:dyDescent="0.25"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</row>
    <row r="203" spans="16:50" x14ac:dyDescent="0.25"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</row>
    <row r="204" spans="16:50" x14ac:dyDescent="0.25"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</row>
    <row r="205" spans="16:50" x14ac:dyDescent="0.25"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</row>
    <row r="206" spans="16:50" x14ac:dyDescent="0.25"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</row>
    <row r="207" spans="16:50" x14ac:dyDescent="0.25"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</row>
    <row r="208" spans="16:50" x14ac:dyDescent="0.25"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</row>
    <row r="209" spans="16:50" x14ac:dyDescent="0.25"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</row>
    <row r="210" spans="16:50" x14ac:dyDescent="0.25"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</row>
    <row r="211" spans="16:50" x14ac:dyDescent="0.25"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</row>
    <row r="212" spans="16:50" x14ac:dyDescent="0.25"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</row>
    <row r="213" spans="16:50" x14ac:dyDescent="0.25"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</row>
    <row r="214" spans="16:50" x14ac:dyDescent="0.25"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</row>
    <row r="215" spans="16:50" x14ac:dyDescent="0.25"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</row>
    <row r="216" spans="16:50" x14ac:dyDescent="0.25"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</row>
    <row r="217" spans="16:50" x14ac:dyDescent="0.25"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</row>
    <row r="218" spans="16:50" x14ac:dyDescent="0.25"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</row>
    <row r="219" spans="16:50" x14ac:dyDescent="0.25"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</row>
    <row r="220" spans="16:50" x14ac:dyDescent="0.25"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</row>
    <row r="221" spans="16:50" x14ac:dyDescent="0.25"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</row>
    <row r="222" spans="16:50" x14ac:dyDescent="0.25"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</row>
    <row r="223" spans="16:50" x14ac:dyDescent="0.25"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</row>
    <row r="224" spans="16:50" x14ac:dyDescent="0.25"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</row>
    <row r="225" spans="16:50" x14ac:dyDescent="0.25"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</row>
    <row r="226" spans="16:50" x14ac:dyDescent="0.25"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</row>
    <row r="227" spans="16:50" x14ac:dyDescent="0.25"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</row>
    <row r="228" spans="16:50" x14ac:dyDescent="0.25"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</row>
    <row r="229" spans="16:50" x14ac:dyDescent="0.25"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</row>
    <row r="230" spans="16:50" x14ac:dyDescent="0.25"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</row>
    <row r="231" spans="16:50" x14ac:dyDescent="0.25"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</row>
    <row r="232" spans="16:50" x14ac:dyDescent="0.25"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</row>
    <row r="233" spans="16:50" x14ac:dyDescent="0.25"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</row>
    <row r="234" spans="16:50" x14ac:dyDescent="0.25"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</row>
    <row r="235" spans="16:50" x14ac:dyDescent="0.25"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</row>
    <row r="236" spans="16:50" x14ac:dyDescent="0.25"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</row>
    <row r="237" spans="16:50" x14ac:dyDescent="0.25"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</row>
    <row r="238" spans="16:50" x14ac:dyDescent="0.25"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</row>
    <row r="239" spans="16:50" x14ac:dyDescent="0.25"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</row>
    <row r="240" spans="16:50" x14ac:dyDescent="0.25"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</row>
    <row r="241" spans="16:50" x14ac:dyDescent="0.25"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</row>
    <row r="242" spans="16:50" x14ac:dyDescent="0.25"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</row>
    <row r="243" spans="16:50" x14ac:dyDescent="0.25"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</row>
    <row r="244" spans="16:50" x14ac:dyDescent="0.25"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</row>
    <row r="245" spans="16:50" x14ac:dyDescent="0.25"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</row>
    <row r="246" spans="16:50" x14ac:dyDescent="0.25"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</row>
    <row r="247" spans="16:50" x14ac:dyDescent="0.25"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</row>
    <row r="248" spans="16:50" x14ac:dyDescent="0.25"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</row>
    <row r="249" spans="16:50" x14ac:dyDescent="0.25"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</row>
    <row r="250" spans="16:50" x14ac:dyDescent="0.25"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</row>
    <row r="251" spans="16:50" x14ac:dyDescent="0.25"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</row>
    <row r="252" spans="16:50" x14ac:dyDescent="0.25"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</row>
    <row r="253" spans="16:50" x14ac:dyDescent="0.25"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</row>
    <row r="254" spans="16:50" x14ac:dyDescent="0.25"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</row>
    <row r="255" spans="16:50" x14ac:dyDescent="0.25"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</row>
    <row r="256" spans="16:50" x14ac:dyDescent="0.25"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</row>
    <row r="257" spans="16:50" x14ac:dyDescent="0.25"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</row>
    <row r="258" spans="16:50" x14ac:dyDescent="0.25"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</row>
    <row r="259" spans="16:50" x14ac:dyDescent="0.25"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</row>
    <row r="260" spans="16:50" x14ac:dyDescent="0.25"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</row>
    <row r="261" spans="16:50" x14ac:dyDescent="0.25"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</row>
    <row r="262" spans="16:50" x14ac:dyDescent="0.25"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</row>
    <row r="263" spans="16:50" x14ac:dyDescent="0.25"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</row>
    <row r="264" spans="16:50" x14ac:dyDescent="0.25"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</row>
    <row r="265" spans="16:50" x14ac:dyDescent="0.25"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</row>
    <row r="266" spans="16:50" x14ac:dyDescent="0.25"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</row>
    <row r="267" spans="16:50" x14ac:dyDescent="0.25"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</row>
    <row r="268" spans="16:50" x14ac:dyDescent="0.25"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</row>
    <row r="269" spans="16:50" x14ac:dyDescent="0.25"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</row>
    <row r="270" spans="16:50" x14ac:dyDescent="0.25"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</row>
    <row r="271" spans="16:50" x14ac:dyDescent="0.25"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</row>
    <row r="272" spans="16:50" x14ac:dyDescent="0.25"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</row>
    <row r="273" spans="16:50" x14ac:dyDescent="0.25"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</row>
    <row r="274" spans="16:50" x14ac:dyDescent="0.25"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</row>
    <row r="275" spans="16:50" x14ac:dyDescent="0.25"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</row>
    <row r="276" spans="16:50" x14ac:dyDescent="0.25"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</row>
    <row r="277" spans="16:50" x14ac:dyDescent="0.25"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</row>
    <row r="278" spans="16:50" x14ac:dyDescent="0.25"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</row>
    <row r="279" spans="16:50" x14ac:dyDescent="0.25"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</row>
    <row r="280" spans="16:50" x14ac:dyDescent="0.25"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</row>
    <row r="281" spans="16:50" x14ac:dyDescent="0.25"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</row>
    <row r="282" spans="16:50" x14ac:dyDescent="0.25"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</row>
    <row r="283" spans="16:50" x14ac:dyDescent="0.25"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</row>
    <row r="284" spans="16:50" x14ac:dyDescent="0.25"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</row>
    <row r="285" spans="16:50" x14ac:dyDescent="0.25"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</row>
    <row r="286" spans="16:50" x14ac:dyDescent="0.25"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</row>
    <row r="287" spans="16:50" x14ac:dyDescent="0.25"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</row>
    <row r="288" spans="16:50" x14ac:dyDescent="0.25"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</row>
    <row r="289" spans="16:50" x14ac:dyDescent="0.25"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</row>
    <row r="290" spans="16:50" x14ac:dyDescent="0.25"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</row>
    <row r="291" spans="16:50" x14ac:dyDescent="0.25"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</row>
    <row r="292" spans="16:50" x14ac:dyDescent="0.25"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</row>
    <row r="293" spans="16:50" x14ac:dyDescent="0.25"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</row>
    <row r="294" spans="16:50" x14ac:dyDescent="0.25"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</row>
    <row r="295" spans="16:50" x14ac:dyDescent="0.25"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</row>
    <row r="296" spans="16:50" x14ac:dyDescent="0.25"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</row>
    <row r="297" spans="16:50" x14ac:dyDescent="0.25"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</row>
    <row r="298" spans="16:50" x14ac:dyDescent="0.25"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</row>
    <row r="299" spans="16:50" x14ac:dyDescent="0.25"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</row>
    <row r="300" spans="16:50" x14ac:dyDescent="0.25"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</row>
    <row r="301" spans="16:50" x14ac:dyDescent="0.25"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</row>
    <row r="302" spans="16:50" x14ac:dyDescent="0.25"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</row>
    <row r="303" spans="16:50" x14ac:dyDescent="0.25"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</row>
    <row r="304" spans="16:50" x14ac:dyDescent="0.25"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</row>
    <row r="305" spans="16:50" x14ac:dyDescent="0.25"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</row>
    <row r="306" spans="16:50" x14ac:dyDescent="0.25"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</row>
    <row r="307" spans="16:50" x14ac:dyDescent="0.25"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</row>
    <row r="308" spans="16:50" x14ac:dyDescent="0.25"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</row>
    <row r="309" spans="16:50" x14ac:dyDescent="0.25"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</row>
    <row r="310" spans="16:50" x14ac:dyDescent="0.25"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</row>
    <row r="311" spans="16:50" x14ac:dyDescent="0.25"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</row>
    <row r="312" spans="16:50" x14ac:dyDescent="0.25"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</row>
    <row r="313" spans="16:50" x14ac:dyDescent="0.25"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</row>
    <row r="314" spans="16:50" x14ac:dyDescent="0.25"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</row>
    <row r="315" spans="16:50" x14ac:dyDescent="0.25"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</row>
    <row r="316" spans="16:50" x14ac:dyDescent="0.25"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</row>
    <row r="317" spans="16:50" x14ac:dyDescent="0.25"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</row>
    <row r="318" spans="16:50" x14ac:dyDescent="0.25"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</row>
    <row r="319" spans="16:50" x14ac:dyDescent="0.25"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</row>
    <row r="320" spans="16:50" x14ac:dyDescent="0.25"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</row>
    <row r="321" spans="16:50" x14ac:dyDescent="0.25"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</row>
    <row r="322" spans="16:50" x14ac:dyDescent="0.25"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</row>
    <row r="323" spans="16:50" x14ac:dyDescent="0.25"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</row>
    <row r="324" spans="16:50" x14ac:dyDescent="0.25"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</row>
    <row r="325" spans="16:50" x14ac:dyDescent="0.25"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</row>
    <row r="326" spans="16:50" x14ac:dyDescent="0.25"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</row>
    <row r="327" spans="16:50" x14ac:dyDescent="0.25"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</row>
    <row r="328" spans="16:50" x14ac:dyDescent="0.25"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</row>
    <row r="329" spans="16:50" x14ac:dyDescent="0.25"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</row>
    <row r="330" spans="16:50" x14ac:dyDescent="0.25"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</row>
    <row r="331" spans="16:50" x14ac:dyDescent="0.25"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</row>
    <row r="332" spans="16:50" x14ac:dyDescent="0.25"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</row>
    <row r="333" spans="16:50" x14ac:dyDescent="0.25"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</row>
    <row r="334" spans="16:50" x14ac:dyDescent="0.25"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</row>
    <row r="335" spans="16:50" x14ac:dyDescent="0.25"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</row>
    <row r="336" spans="16:50" x14ac:dyDescent="0.25"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</row>
    <row r="337" spans="16:50" x14ac:dyDescent="0.25"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</row>
    <row r="338" spans="16:50" x14ac:dyDescent="0.25"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</row>
    <row r="339" spans="16:50" x14ac:dyDescent="0.25"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</row>
    <row r="340" spans="16:50" x14ac:dyDescent="0.25"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</row>
    <row r="341" spans="16:50" x14ac:dyDescent="0.25"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</row>
    <row r="342" spans="16:50" x14ac:dyDescent="0.25"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</row>
    <row r="343" spans="16:50" x14ac:dyDescent="0.25"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</row>
    <row r="344" spans="16:50" x14ac:dyDescent="0.25"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</row>
    <row r="345" spans="16:50" x14ac:dyDescent="0.25"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</row>
    <row r="346" spans="16:50" x14ac:dyDescent="0.25"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</row>
    <row r="347" spans="16:50" x14ac:dyDescent="0.25"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</row>
    <row r="348" spans="16:50" x14ac:dyDescent="0.25"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</row>
    <row r="349" spans="16:50" x14ac:dyDescent="0.25"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</row>
    <row r="350" spans="16:50" x14ac:dyDescent="0.25"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</row>
    <row r="351" spans="16:50" x14ac:dyDescent="0.25"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</row>
    <row r="352" spans="16:50" x14ac:dyDescent="0.25"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</row>
    <row r="353" spans="16:50" x14ac:dyDescent="0.25"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</row>
    <row r="354" spans="16:50" x14ac:dyDescent="0.25"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</row>
    <row r="355" spans="16:50" x14ac:dyDescent="0.25"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</row>
    <row r="356" spans="16:50" x14ac:dyDescent="0.25"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</row>
    <row r="357" spans="16:50" x14ac:dyDescent="0.25"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</row>
    <row r="358" spans="16:50" x14ac:dyDescent="0.25"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</row>
    <row r="359" spans="16:50" x14ac:dyDescent="0.25"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</row>
    <row r="360" spans="16:50" x14ac:dyDescent="0.25"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</row>
    <row r="361" spans="16:50" x14ac:dyDescent="0.25"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</row>
    <row r="362" spans="16:50" x14ac:dyDescent="0.25"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</row>
    <row r="363" spans="16:50" x14ac:dyDescent="0.25"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</row>
    <row r="364" spans="16:50" x14ac:dyDescent="0.25"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</row>
    <row r="365" spans="16:50" x14ac:dyDescent="0.25"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</row>
    <row r="366" spans="16:50" x14ac:dyDescent="0.25"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</row>
    <row r="367" spans="16:50" x14ac:dyDescent="0.25"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</row>
    <row r="368" spans="16:50" x14ac:dyDescent="0.25"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</row>
    <row r="369" spans="16:50" x14ac:dyDescent="0.25"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</row>
    <row r="370" spans="16:50" x14ac:dyDescent="0.25"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</row>
    <row r="371" spans="16:50" x14ac:dyDescent="0.25"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</row>
    <row r="372" spans="16:50" x14ac:dyDescent="0.25"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</row>
    <row r="373" spans="16:50" x14ac:dyDescent="0.25"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</row>
    <row r="374" spans="16:50" x14ac:dyDescent="0.25"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</row>
    <row r="375" spans="16:50" x14ac:dyDescent="0.25"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</row>
    <row r="376" spans="16:50" x14ac:dyDescent="0.25"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</row>
    <row r="377" spans="16:50" x14ac:dyDescent="0.25"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</row>
    <row r="378" spans="16:50" x14ac:dyDescent="0.25"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</row>
    <row r="379" spans="16:50" x14ac:dyDescent="0.25"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</row>
    <row r="380" spans="16:50" x14ac:dyDescent="0.25"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</row>
    <row r="381" spans="16:50" x14ac:dyDescent="0.25"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</row>
    <row r="382" spans="16:50" x14ac:dyDescent="0.25"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</row>
    <row r="383" spans="16:50" x14ac:dyDescent="0.25"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</row>
    <row r="384" spans="16:50" x14ac:dyDescent="0.25"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</row>
    <row r="385" spans="16:50" x14ac:dyDescent="0.25"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</row>
    <row r="386" spans="16:50" x14ac:dyDescent="0.25"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</row>
    <row r="387" spans="16:50" x14ac:dyDescent="0.25"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</row>
    <row r="388" spans="16:50" x14ac:dyDescent="0.25"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</row>
    <row r="389" spans="16:50" x14ac:dyDescent="0.25"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</row>
    <row r="390" spans="16:50" x14ac:dyDescent="0.25"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</row>
    <row r="391" spans="16:50" x14ac:dyDescent="0.25"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</row>
    <row r="392" spans="16:50" x14ac:dyDescent="0.25"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</row>
    <row r="393" spans="16:50" x14ac:dyDescent="0.25"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</row>
    <row r="394" spans="16:50" x14ac:dyDescent="0.25"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</row>
  </sheetData>
  <mergeCells count="2">
    <mergeCell ref="I25:O25"/>
    <mergeCell ref="P2:P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26"/>
  <sheetViews>
    <sheetView zoomScale="85" zoomScaleNormal="85" workbookViewId="0">
      <selection activeCell="G21" sqref="G21"/>
    </sheetView>
  </sheetViews>
  <sheetFormatPr defaultRowHeight="15" x14ac:dyDescent="0.25"/>
  <cols>
    <col min="1" max="1" width="23" bestFit="1" customWidth="1"/>
    <col min="2" max="6" width="9.140625" customWidth="1"/>
    <col min="8" max="8" width="43.7109375" bestFit="1" customWidth="1"/>
    <col min="9" max="9" width="10.5703125" bestFit="1" customWidth="1"/>
  </cols>
  <sheetData>
    <row r="2" spans="1:12" x14ac:dyDescent="0.25">
      <c r="B2" s="117" t="s">
        <v>53</v>
      </c>
      <c r="C2" s="117" t="s">
        <v>54</v>
      </c>
      <c r="D2" s="117" t="s">
        <v>55</v>
      </c>
      <c r="E2" s="117" t="s">
        <v>56</v>
      </c>
      <c r="F2" s="130"/>
      <c r="I2" s="127" t="s">
        <v>53</v>
      </c>
      <c r="J2" s="127" t="s">
        <v>54</v>
      </c>
      <c r="K2" s="127" t="s">
        <v>55</v>
      </c>
      <c r="L2" s="127" t="s">
        <v>56</v>
      </c>
    </row>
    <row r="3" spans="1:12" x14ac:dyDescent="0.25">
      <c r="A3" s="7" t="s">
        <v>256</v>
      </c>
      <c r="B3" s="118">
        <v>170000</v>
      </c>
      <c r="C3" s="118">
        <v>170000</v>
      </c>
      <c r="D3" s="118">
        <v>180000</v>
      </c>
      <c r="E3" s="118">
        <v>185000</v>
      </c>
      <c r="F3" s="131"/>
      <c r="H3" s="7" t="s">
        <v>70</v>
      </c>
      <c r="I3" s="20">
        <v>0.54100000000000004</v>
      </c>
      <c r="J3" s="20">
        <v>0.54100000000000004</v>
      </c>
      <c r="K3" s="20">
        <v>0.53900000000000003</v>
      </c>
      <c r="L3" s="20">
        <v>0.54100000000000004</v>
      </c>
    </row>
    <row r="4" spans="1:12" x14ac:dyDescent="0.25">
      <c r="H4" s="7" t="s">
        <v>71</v>
      </c>
      <c r="I4" s="20">
        <v>0.45900000000000002</v>
      </c>
      <c r="J4" s="20">
        <v>0.45900000000000002</v>
      </c>
      <c r="K4" s="20">
        <v>0.46100000000000002</v>
      </c>
      <c r="L4" s="20">
        <v>0.45900000000000002</v>
      </c>
    </row>
    <row r="5" spans="1:12" x14ac:dyDescent="0.25">
      <c r="A5" s="7" t="s">
        <v>257</v>
      </c>
      <c r="B5" s="80">
        <v>2.65</v>
      </c>
      <c r="C5" s="126" t="s">
        <v>258</v>
      </c>
    </row>
    <row r="6" spans="1:12" x14ac:dyDescent="0.25">
      <c r="A6" s="7" t="s">
        <v>259</v>
      </c>
      <c r="H6" s="7" t="s">
        <v>73</v>
      </c>
      <c r="I6" s="28">
        <v>0.41799999999999998</v>
      </c>
    </row>
    <row r="7" spans="1:12" x14ac:dyDescent="0.25">
      <c r="H7" s="7" t="s">
        <v>74</v>
      </c>
      <c r="I7" s="28">
        <v>0.83599999999999997</v>
      </c>
    </row>
    <row r="8" spans="1:12" x14ac:dyDescent="0.25">
      <c r="B8" s="117" t="s">
        <v>53</v>
      </c>
      <c r="C8" s="117" t="s">
        <v>54</v>
      </c>
      <c r="D8" s="218" t="s">
        <v>236</v>
      </c>
      <c r="E8" s="218"/>
      <c r="F8" s="130"/>
      <c r="H8" s="7" t="s">
        <v>75</v>
      </c>
      <c r="I8" s="28">
        <v>2.7416</v>
      </c>
    </row>
    <row r="9" spans="1:12" x14ac:dyDescent="0.25">
      <c r="A9" s="7" t="s">
        <v>62</v>
      </c>
      <c r="B9" s="79">
        <v>0.17411764705882352</v>
      </c>
      <c r="C9" s="79">
        <f>B9</f>
        <v>0.17411764705882352</v>
      </c>
      <c r="D9" s="51">
        <v>0.17</v>
      </c>
      <c r="H9" s="7" t="s">
        <v>262</v>
      </c>
      <c r="I9" s="28">
        <v>0.13589999999999999</v>
      </c>
    </row>
    <row r="10" spans="1:12" x14ac:dyDescent="0.25">
      <c r="H10" s="7" t="s">
        <v>263</v>
      </c>
      <c r="I10" s="28">
        <v>0.2412</v>
      </c>
    </row>
    <row r="11" spans="1:12" x14ac:dyDescent="0.25">
      <c r="A11" s="7" t="s">
        <v>63</v>
      </c>
      <c r="B11" s="133">
        <v>0.129</v>
      </c>
      <c r="C11" s="101" t="s">
        <v>237</v>
      </c>
      <c r="D11" s="101"/>
      <c r="E11" s="101"/>
      <c r="F11" s="129"/>
      <c r="H11" s="7" t="s">
        <v>264</v>
      </c>
      <c r="I11" s="28">
        <v>0.30830000000000002</v>
      </c>
    </row>
    <row r="13" spans="1:12" x14ac:dyDescent="0.25">
      <c r="A13" s="7" t="s">
        <v>260</v>
      </c>
      <c r="B13" s="133">
        <v>6.3E-2</v>
      </c>
      <c r="C13" s="196">
        <v>0.1</v>
      </c>
      <c r="D13" t="s">
        <v>316</v>
      </c>
      <c r="H13" s="7" t="s">
        <v>265</v>
      </c>
    </row>
    <row r="14" spans="1:12" x14ac:dyDescent="0.25">
      <c r="B14" s="33">
        <v>0.9</v>
      </c>
      <c r="C14" s="101" t="s">
        <v>261</v>
      </c>
      <c r="D14" s="101"/>
      <c r="E14" s="128"/>
      <c r="F14" s="129"/>
      <c r="G14" s="129"/>
      <c r="H14" s="7" t="s">
        <v>82</v>
      </c>
      <c r="I14" s="37">
        <v>1700</v>
      </c>
    </row>
    <row r="15" spans="1:12" x14ac:dyDescent="0.25">
      <c r="H15" s="7" t="s">
        <v>266</v>
      </c>
      <c r="I15" s="36">
        <v>420</v>
      </c>
    </row>
    <row r="16" spans="1:12" x14ac:dyDescent="0.25">
      <c r="A16" s="7" t="s">
        <v>67</v>
      </c>
      <c r="B16" s="33">
        <v>6.3829779411764695E-2</v>
      </c>
    </row>
    <row r="17" spans="1:9" x14ac:dyDescent="0.25">
      <c r="H17" s="7" t="s">
        <v>267</v>
      </c>
    </row>
    <row r="18" spans="1:9" x14ac:dyDescent="0.25">
      <c r="B18" s="132" t="s">
        <v>53</v>
      </c>
      <c r="C18" s="132" t="s">
        <v>54</v>
      </c>
      <c r="D18" s="132" t="s">
        <v>55</v>
      </c>
      <c r="E18" s="132" t="s">
        <v>56</v>
      </c>
      <c r="F18" s="132" t="s">
        <v>57</v>
      </c>
    </row>
    <row r="19" spans="1:9" x14ac:dyDescent="0.25">
      <c r="A19" s="7" t="s">
        <v>245</v>
      </c>
      <c r="B19" s="30">
        <v>23</v>
      </c>
      <c r="C19" s="30">
        <v>23</v>
      </c>
      <c r="D19" s="30">
        <v>20</v>
      </c>
      <c r="E19" s="30">
        <v>20</v>
      </c>
      <c r="F19" s="30">
        <v>20</v>
      </c>
      <c r="H19" s="7" t="s">
        <v>271</v>
      </c>
      <c r="I19" s="33">
        <v>0.25</v>
      </c>
    </row>
    <row r="20" spans="1:9" x14ac:dyDescent="0.25">
      <c r="A20" s="7" t="s">
        <v>268</v>
      </c>
      <c r="B20" s="30">
        <v>26</v>
      </c>
      <c r="C20" s="30">
        <v>26</v>
      </c>
      <c r="D20" s="30">
        <v>24</v>
      </c>
      <c r="E20" s="30">
        <v>24</v>
      </c>
      <c r="F20" s="30">
        <v>24</v>
      </c>
    </row>
    <row r="21" spans="1:9" x14ac:dyDescent="0.25">
      <c r="A21" s="7" t="s">
        <v>269</v>
      </c>
      <c r="B21" s="30">
        <v>43</v>
      </c>
      <c r="C21" s="30">
        <v>43</v>
      </c>
      <c r="D21" s="30">
        <v>58</v>
      </c>
      <c r="E21" s="30">
        <v>58</v>
      </c>
      <c r="F21" s="30">
        <v>58</v>
      </c>
      <c r="H21" s="7" t="s">
        <v>97</v>
      </c>
      <c r="I21" s="34">
        <v>2.9499999999999998E-2</v>
      </c>
    </row>
    <row r="22" spans="1:9" x14ac:dyDescent="0.25">
      <c r="A22" s="7" t="s">
        <v>270</v>
      </c>
      <c r="B22" s="30">
        <v>32</v>
      </c>
      <c r="C22" s="30">
        <v>32</v>
      </c>
      <c r="D22" s="30">
        <v>24</v>
      </c>
      <c r="E22" s="30">
        <v>24</v>
      </c>
      <c r="F22" s="30">
        <v>24</v>
      </c>
      <c r="H22" s="7" t="s">
        <v>98</v>
      </c>
      <c r="I22" s="34">
        <v>0.03</v>
      </c>
    </row>
    <row r="23" spans="1:9" x14ac:dyDescent="0.25">
      <c r="H23" s="7" t="s">
        <v>99</v>
      </c>
      <c r="I23" s="34">
        <v>5.5E-2</v>
      </c>
    </row>
    <row r="24" spans="1:9" x14ac:dyDescent="0.25">
      <c r="B24" s="218" t="s">
        <v>86</v>
      </c>
      <c r="C24" s="218"/>
      <c r="D24" s="218"/>
      <c r="E24" s="218"/>
      <c r="F24" s="218"/>
      <c r="H24" s="7" t="s">
        <v>100</v>
      </c>
      <c r="I24" s="35">
        <v>1.1000000000000001</v>
      </c>
    </row>
    <row r="25" spans="1:9" x14ac:dyDescent="0.25">
      <c r="B25" s="117" t="s">
        <v>53</v>
      </c>
      <c r="C25" s="117" t="s">
        <v>54</v>
      </c>
      <c r="D25" s="117" t="s">
        <v>55</v>
      </c>
      <c r="E25" s="117" t="s">
        <v>56</v>
      </c>
      <c r="F25" s="117" t="s">
        <v>57</v>
      </c>
    </row>
    <row r="26" spans="1:9" x14ac:dyDescent="0.25">
      <c r="B26" s="11">
        <v>22450</v>
      </c>
      <c r="C26" s="11">
        <v>23348</v>
      </c>
      <c r="D26" s="11">
        <v>24282</v>
      </c>
      <c r="E26" s="11">
        <v>2250</v>
      </c>
      <c r="F26" s="11">
        <v>0</v>
      </c>
      <c r="H26" s="7" t="s">
        <v>317</v>
      </c>
      <c r="I26" s="33">
        <v>0.34</v>
      </c>
    </row>
  </sheetData>
  <mergeCells count="2">
    <mergeCell ref="D8:E8"/>
    <mergeCell ref="B24:F24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Premissas SaintL</vt:lpstr>
      <vt:lpstr>Rec-Desp-Fin</vt:lpstr>
      <vt:lpstr>DFC-DRE</vt:lpstr>
      <vt:lpstr>BP-WACC-Valuation</vt:lpstr>
      <vt:lpstr>Premissa FrangoB</vt:lpstr>
      <vt:lpstr>Rec-Desp-Fin (2)</vt:lpstr>
      <vt:lpstr>DFC-DRE2</vt:lpstr>
      <vt:lpstr>BP-WACC-Val2</vt:lpstr>
      <vt:lpstr>Premissa EmpComb</vt:lpstr>
      <vt:lpstr>BP-DREComb</vt:lpstr>
      <vt:lpstr>Rec-Desp-FinComb</vt:lpstr>
      <vt:lpstr>DFC-DRE-BPComb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Luiza</dc:creator>
  <cp:lastModifiedBy>Ana Luiza</cp:lastModifiedBy>
  <dcterms:created xsi:type="dcterms:W3CDTF">2015-05-16T13:28:30Z</dcterms:created>
  <dcterms:modified xsi:type="dcterms:W3CDTF">2015-08-25T19:00:43Z</dcterms:modified>
</cp:coreProperties>
</file>