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Premissas" sheetId="2" r:id="rId1"/>
    <sheet name="Demonstrativos" sheetId="1" r:id="rId2"/>
    <sheet name="Plan3" sheetId="3" r:id="rId3"/>
  </sheets>
  <calcPr calcId="144525" concurrentCalc="0"/>
</workbook>
</file>

<file path=xl/calcChain.xml><?xml version="1.0" encoding="utf-8"?>
<calcChain xmlns="http://schemas.openxmlformats.org/spreadsheetml/2006/main">
  <c r="D10" i="1" l="1"/>
  <c r="E9" i="2"/>
  <c r="D9" i="2"/>
  <c r="D4" i="2"/>
  <c r="D6" i="2"/>
  <c r="C26" i="2"/>
  <c r="D26" i="2"/>
  <c r="D5" i="2"/>
  <c r="D3" i="2"/>
  <c r="D6" i="1"/>
  <c r="D7" i="2"/>
  <c r="E2" i="2"/>
  <c r="E26" i="2"/>
  <c r="E5" i="2"/>
  <c r="E6" i="2"/>
  <c r="E6" i="1"/>
  <c r="E7" i="2"/>
  <c r="E25" i="1"/>
  <c r="E26" i="1"/>
  <c r="E29" i="1"/>
  <c r="D25" i="1"/>
  <c r="D26" i="1"/>
  <c r="D29" i="1"/>
  <c r="D36" i="1"/>
  <c r="D38" i="1"/>
  <c r="D32" i="1"/>
  <c r="D33" i="1"/>
  <c r="D14" i="1"/>
  <c r="D34" i="1"/>
  <c r="D17" i="1"/>
  <c r="D15" i="1"/>
  <c r="D39" i="1"/>
  <c r="D40" i="1"/>
  <c r="D49" i="1"/>
  <c r="D50" i="1"/>
  <c r="D51" i="1"/>
  <c r="D53" i="1"/>
  <c r="D13" i="1"/>
  <c r="E30" i="1"/>
  <c r="E32" i="1"/>
  <c r="E33" i="1"/>
  <c r="E14" i="1"/>
  <c r="E34" i="1"/>
  <c r="E17" i="1"/>
  <c r="E15" i="1"/>
  <c r="E39" i="1"/>
  <c r="E35" i="1"/>
  <c r="D35" i="1"/>
  <c r="C35" i="1"/>
  <c r="E31" i="1"/>
  <c r="E52" i="1"/>
  <c r="D44" i="1"/>
  <c r="D48" i="1"/>
  <c r="C12" i="1"/>
  <c r="C31" i="2"/>
  <c r="D31" i="2"/>
  <c r="C30" i="2"/>
  <c r="E30" i="2"/>
  <c r="D30" i="1"/>
  <c r="D41" i="1"/>
  <c r="C27" i="2"/>
  <c r="E27" i="2"/>
  <c r="C29" i="2"/>
  <c r="E29" i="2"/>
  <c r="C6" i="2"/>
  <c r="E31" i="2"/>
  <c r="D28" i="1"/>
  <c r="E28" i="1"/>
  <c r="E4" i="2"/>
  <c r="C9" i="2"/>
  <c r="E8" i="2"/>
  <c r="D8" i="2"/>
  <c r="E10" i="2"/>
  <c r="E21" i="2"/>
  <c r="D10" i="2"/>
  <c r="D21" i="2"/>
  <c r="C10" i="2"/>
  <c r="C21" i="2"/>
  <c r="C25" i="2"/>
  <c r="E25" i="2"/>
  <c r="D22" i="1"/>
  <c r="E21" i="1"/>
  <c r="D27" i="2"/>
  <c r="D27" i="1"/>
  <c r="D30" i="2"/>
  <c r="D29" i="2"/>
  <c r="D5" i="1"/>
  <c r="E22" i="1"/>
  <c r="E5" i="1"/>
  <c r="D25" i="2"/>
  <c r="D23" i="1"/>
  <c r="D24" i="1"/>
  <c r="E20" i="2"/>
  <c r="D20" i="2"/>
  <c r="E19" i="2"/>
  <c r="D19" i="2"/>
  <c r="D21" i="1"/>
  <c r="C24" i="1"/>
  <c r="C21" i="1"/>
  <c r="C18" i="1"/>
  <c r="C11" i="1"/>
  <c r="C8" i="1"/>
  <c r="C7" i="1"/>
  <c r="D37" i="1"/>
  <c r="E27" i="1"/>
  <c r="D16" i="1"/>
  <c r="D9" i="1"/>
  <c r="E3" i="2"/>
  <c r="E37" i="1"/>
  <c r="E23" i="1"/>
  <c r="D8" i="1"/>
  <c r="D7" i="1"/>
  <c r="D42" i="1"/>
  <c r="E24" i="1"/>
  <c r="E16" i="1"/>
  <c r="E10" i="1"/>
  <c r="E9" i="1"/>
  <c r="C7" i="2"/>
  <c r="D2" i="2"/>
  <c r="C4" i="1"/>
  <c r="E8" i="1"/>
  <c r="E7" i="1"/>
  <c r="E42" i="1"/>
  <c r="C3" i="1"/>
  <c r="C2" i="1"/>
  <c r="D31" i="1"/>
  <c r="D52" i="1"/>
  <c r="C25" i="1"/>
  <c r="C26" i="1"/>
  <c r="C29" i="1"/>
  <c r="C28" i="2"/>
  <c r="C32" i="1"/>
  <c r="C33" i="1"/>
  <c r="D28" i="2"/>
  <c r="E28" i="2"/>
  <c r="D3" i="1"/>
  <c r="C34" i="1"/>
  <c r="E36" i="1"/>
  <c r="E48" i="1"/>
  <c r="E44" i="1"/>
  <c r="E41" i="1"/>
  <c r="D12" i="1"/>
  <c r="E50" i="1"/>
  <c r="E38" i="1"/>
  <c r="D2" i="1"/>
  <c r="D20" i="1"/>
  <c r="D18" i="1"/>
  <c r="D11" i="1"/>
  <c r="E40" i="1"/>
  <c r="E49" i="1"/>
  <c r="E51" i="1"/>
  <c r="E53" i="1"/>
  <c r="E3" i="1"/>
  <c r="E2" i="1"/>
  <c r="E13" i="1"/>
  <c r="E12" i="1"/>
  <c r="E20" i="1"/>
  <c r="E18" i="1"/>
  <c r="E11" i="1"/>
</calcChain>
</file>

<file path=xl/sharedStrings.xml><?xml version="1.0" encoding="utf-8"?>
<sst xmlns="http://schemas.openxmlformats.org/spreadsheetml/2006/main" count="115" uniqueCount="100">
  <si>
    <t>Ativo Circulante</t>
  </si>
  <si>
    <t>Aplicações financeiras</t>
  </si>
  <si>
    <t>Duplicatas a receber</t>
  </si>
  <si>
    <t>Estoques</t>
  </si>
  <si>
    <t>20X0</t>
  </si>
  <si>
    <t>Ativo Não-Circulante</t>
  </si>
  <si>
    <t>Custo</t>
  </si>
  <si>
    <t>-Depreciação acumulada</t>
  </si>
  <si>
    <t>Ativo Total</t>
  </si>
  <si>
    <t>Passivo Total</t>
  </si>
  <si>
    <t>Passivo Circulante</t>
  </si>
  <si>
    <t>Emprestimos (curto prazo)</t>
  </si>
  <si>
    <t>IR</t>
  </si>
  <si>
    <t>Fornecedores</t>
  </si>
  <si>
    <t>Obrigações fiscais</t>
  </si>
  <si>
    <t>Dividendos</t>
  </si>
  <si>
    <t>Passivo Não-Circulante</t>
  </si>
  <si>
    <t>Financiamentos</t>
  </si>
  <si>
    <t>Vendas brutas</t>
  </si>
  <si>
    <t>-Encargos sobre vendas</t>
  </si>
  <si>
    <t>Vendas líquidas</t>
  </si>
  <si>
    <t>-CPV</t>
  </si>
  <si>
    <t>Lucro Bruto</t>
  </si>
  <si>
    <t>-Despesas comerciais</t>
  </si>
  <si>
    <t>-Despesas administrativas</t>
  </si>
  <si>
    <t>Lucro da Atividade</t>
  </si>
  <si>
    <t>-Despesas financeiras</t>
  </si>
  <si>
    <t>+Receitas financeiras</t>
  </si>
  <si>
    <t>Lucro antes do IR</t>
  </si>
  <si>
    <t>- Imposto de renda</t>
  </si>
  <si>
    <t>Lucro líquido</t>
  </si>
  <si>
    <t>20X1</t>
  </si>
  <si>
    <t>Estoque inicial de produtos acabados</t>
  </si>
  <si>
    <t>Depreciação</t>
  </si>
  <si>
    <t>Outros custos fixos</t>
  </si>
  <si>
    <t>Custos variáveis</t>
  </si>
  <si>
    <t>Estoque final de produtos acabados</t>
  </si>
  <si>
    <t>Premissas de produção</t>
  </si>
  <si>
    <t>Balanço Patrimonial (em R$ mil)</t>
  </si>
  <si>
    <t>DRE (em R$ mil)</t>
  </si>
  <si>
    <t>Taxa de depreciação</t>
  </si>
  <si>
    <t>aa</t>
  </si>
  <si>
    <t>R$ mil</t>
  </si>
  <si>
    <t>lançada no CPV</t>
  </si>
  <si>
    <t>Taxa empréstimos de curto prazo</t>
  </si>
  <si>
    <t>sobre o CDI</t>
  </si>
  <si>
    <t>Taxa de aplicações financeiras</t>
  </si>
  <si>
    <t>Crescimento do PIB</t>
  </si>
  <si>
    <t>20x1</t>
  </si>
  <si>
    <t>20x2</t>
  </si>
  <si>
    <t>Inflação brasileira</t>
  </si>
  <si>
    <t>Inflação americana</t>
  </si>
  <si>
    <t>Taxa CDI</t>
  </si>
  <si>
    <t>Taxa TJLP</t>
  </si>
  <si>
    <t>Taxa de câmbio R$/US$</t>
  </si>
  <si>
    <t>Taxa emréstimos curto prazo</t>
  </si>
  <si>
    <t>R$/US$</t>
  </si>
  <si>
    <t>Taxa aplicação financeira</t>
  </si>
  <si>
    <t>20x0</t>
  </si>
  <si>
    <t>Macroeconômicas</t>
  </si>
  <si>
    <t>Gerais</t>
  </si>
  <si>
    <t>Crescimento das vendas</t>
  </si>
  <si>
    <t>Alíquota de I.R/CSLL</t>
  </si>
  <si>
    <t>Pago no trimestre subsequente (O IR de um ano é 25% do ano anteriore e 75% do atual)</t>
  </si>
  <si>
    <t>Parcela de dividendos</t>
  </si>
  <si>
    <t>Pagos sempre no ano seguinte</t>
  </si>
  <si>
    <t>20X2</t>
  </si>
  <si>
    <t>Encargos sobre vendas</t>
  </si>
  <si>
    <t>Imobilizado líquido</t>
  </si>
  <si>
    <t>Capital (imobilizado bruto)</t>
  </si>
  <si>
    <t>Prazo médio de estocagem</t>
  </si>
  <si>
    <t>Prazo médio do contas a receber</t>
  </si>
  <si>
    <t>Prazo médio do contas a pagar</t>
  </si>
  <si>
    <t>Prazo médio de recolhimento das obrigações fiscais</t>
  </si>
  <si>
    <t>Estoque de produtos acabados</t>
  </si>
  <si>
    <t>Percentual do estoque total</t>
  </si>
  <si>
    <t>A empresa reinveste o equivalente à depreciação para garantir a continuidade do processo produtivo</t>
  </si>
  <si>
    <t>Custos variáveis/vendas brutas</t>
  </si>
  <si>
    <t>Custos de produção total</t>
  </si>
  <si>
    <t>dias</t>
  </si>
  <si>
    <t>Despesas comerciais/vendas brutas</t>
  </si>
  <si>
    <t>EBITDA</t>
  </si>
  <si>
    <t>+ depreciação</t>
  </si>
  <si>
    <t>Fluxo de Caixa Operacional</t>
  </si>
  <si>
    <t>-Pagamento de juros</t>
  </si>
  <si>
    <t>-Novas imobilizações</t>
  </si>
  <si>
    <t>+Resgates de aplicações</t>
  </si>
  <si>
    <t>+Novos financiamentos</t>
  </si>
  <si>
    <t>+Integralização de capital</t>
  </si>
  <si>
    <t>+Vendas de ativos</t>
  </si>
  <si>
    <t>-Pagamentos de dividendos</t>
  </si>
  <si>
    <t>Fluxo antes do IR e do CSLL</t>
  </si>
  <si>
    <t>-Pagamento do IR e CSLL</t>
  </si>
  <si>
    <t>Fluxo de Caixa Gerado</t>
  </si>
  <si>
    <t>+Baixa aplicações financeira</t>
  </si>
  <si>
    <t>+Novos empréstimos c.p.</t>
  </si>
  <si>
    <t>Demonstração de Fluxo de Caixa</t>
  </si>
  <si>
    <t>- Pagamento de principal</t>
  </si>
  <si>
    <t>Patrimômio Líquido</t>
  </si>
  <si>
    <r>
      <t xml:space="preserve">- </t>
    </r>
    <r>
      <rPr>
        <sz val="11"/>
        <color theme="1"/>
        <rFont val="Calibri"/>
        <family val="2"/>
      </rPr>
      <t>ΔNCG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</si>
</sst>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 applyAlignment="1">
      <alignment horizontal="left" indent="1"/>
    </xf>
    <xf numFmtId="0" fontId="0" fillId="3" borderId="2" xfId="0" quotePrefix="1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2" xfId="0" applyFill="1" applyBorder="1"/>
    <xf numFmtId="0" fontId="0" fillId="3" borderId="3" xfId="0" applyFill="1" applyBorder="1"/>
    <xf numFmtId="1" fontId="0" fillId="3" borderId="0" xfId="0" applyNumberFormat="1" applyFill="1"/>
    <xf numFmtId="1" fontId="0" fillId="3" borderId="2" xfId="0" applyNumberFormat="1" applyFill="1" applyBorder="1"/>
    <xf numFmtId="1" fontId="1" fillId="3" borderId="1" xfId="0" applyNumberFormat="1" applyFont="1" applyFill="1" applyBorder="1"/>
    <xf numFmtId="2" fontId="0" fillId="3" borderId="0" xfId="0" applyNumberFormat="1" applyFill="1"/>
    <xf numFmtId="10" fontId="0" fillId="3" borderId="0" xfId="2" applyNumberFormat="1" applyFont="1" applyFill="1"/>
    <xf numFmtId="1" fontId="1" fillId="3" borderId="2" xfId="0" applyNumberFormat="1" applyFont="1" applyFill="1" applyBorder="1"/>
    <xf numFmtId="1" fontId="0" fillId="3" borderId="0" xfId="0" applyNumberFormat="1" applyFill="1" applyBorder="1"/>
    <xf numFmtId="1" fontId="0" fillId="3" borderId="1" xfId="0" applyNumberFormat="1" applyFill="1" applyBorder="1"/>
    <xf numFmtId="0" fontId="0" fillId="3" borderId="0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0" fillId="3" borderId="3" xfId="0" applyNumberFormat="1" applyFill="1" applyBorder="1"/>
    <xf numFmtId="0" fontId="0" fillId="3" borderId="8" xfId="0" applyFill="1" applyBorder="1"/>
    <xf numFmtId="1" fontId="0" fillId="3" borderId="9" xfId="0" applyNumberFormat="1" applyFill="1" applyBorder="1"/>
    <xf numFmtId="1" fontId="0" fillId="3" borderId="10" xfId="0" applyNumberFormat="1" applyFill="1" applyBorder="1"/>
    <xf numFmtId="1" fontId="0" fillId="3" borderId="11" xfId="0" applyNumberFormat="1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13" xfId="0" applyFill="1" applyBorder="1"/>
    <xf numFmtId="1" fontId="0" fillId="3" borderId="14" xfId="0" applyNumberFormat="1" applyFill="1" applyBorder="1"/>
    <xf numFmtId="1" fontId="1" fillId="3" borderId="0" xfId="0" applyNumberFormat="1" applyFont="1" applyFill="1" applyBorder="1"/>
    <xf numFmtId="1" fontId="1" fillId="3" borderId="11" xfId="0" applyNumberFormat="1" applyFont="1" applyFill="1" applyBorder="1"/>
    <xf numFmtId="0" fontId="1" fillId="3" borderId="0" xfId="0" applyFont="1" applyFill="1" applyBorder="1"/>
    <xf numFmtId="0" fontId="1" fillId="4" borderId="1" xfId="0" applyFont="1" applyFill="1" applyBorder="1"/>
    <xf numFmtId="0" fontId="0" fillId="3" borderId="15" xfId="0" applyFill="1" applyBorder="1"/>
    <xf numFmtId="0" fontId="0" fillId="3" borderId="2" xfId="0" quotePrefix="1" applyFill="1" applyBorder="1"/>
    <xf numFmtId="0" fontId="0" fillId="3" borderId="3" xfId="0" quotePrefix="1" applyFill="1" applyBorder="1"/>
    <xf numFmtId="1" fontId="0" fillId="3" borderId="15" xfId="0" applyNumberFormat="1" applyFill="1" applyBorder="1"/>
    <xf numFmtId="9" fontId="0" fillId="3" borderId="10" xfId="0" applyNumberFormat="1" applyFill="1" applyBorder="1"/>
    <xf numFmtId="9" fontId="0" fillId="3" borderId="11" xfId="0" applyNumberFormat="1" applyFill="1" applyBorder="1"/>
    <xf numFmtId="9" fontId="0" fillId="3" borderId="4" xfId="2" applyFont="1" applyFill="1" applyBorder="1"/>
    <xf numFmtId="9" fontId="0" fillId="3" borderId="4" xfId="2" applyNumberFormat="1" applyFont="1" applyFill="1" applyBorder="1"/>
    <xf numFmtId="164" fontId="0" fillId="3" borderId="4" xfId="2" applyNumberFormat="1" applyFont="1" applyFill="1" applyBorder="1"/>
    <xf numFmtId="164" fontId="0" fillId="3" borderId="11" xfId="0" applyNumberFormat="1" applyFill="1" applyBorder="1"/>
    <xf numFmtId="1" fontId="0" fillId="3" borderId="4" xfId="0" applyNumberFormat="1" applyFill="1" applyBorder="1"/>
    <xf numFmtId="9" fontId="0" fillId="3" borderId="12" xfId="0" applyNumberFormat="1" applyFill="1" applyBorder="1"/>
    <xf numFmtId="9" fontId="0" fillId="3" borderId="14" xfId="0" applyNumberFormat="1" applyFill="1" applyBorder="1"/>
    <xf numFmtId="9" fontId="0" fillId="3" borderId="15" xfId="0" applyNumberFormat="1" applyFill="1" applyBorder="1"/>
    <xf numFmtId="9" fontId="0" fillId="3" borderId="2" xfId="0" applyNumberFormat="1" applyFill="1" applyBorder="1"/>
    <xf numFmtId="164" fontId="0" fillId="3" borderId="2" xfId="0" applyNumberFormat="1" applyFill="1" applyBorder="1"/>
    <xf numFmtId="9" fontId="0" fillId="3" borderId="3" xfId="0" applyNumberFormat="1" applyFill="1" applyBorder="1"/>
    <xf numFmtId="165" fontId="0" fillId="3" borderId="3" xfId="1" applyNumberFormat="1" applyFon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0" fontId="1" fillId="2" borderId="5" xfId="0" applyFont="1" applyFill="1" applyBorder="1"/>
    <xf numFmtId="9" fontId="1" fillId="2" borderId="6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16" workbookViewId="0">
      <selection activeCell="C31" sqref="C31"/>
    </sheetView>
  </sheetViews>
  <sheetFormatPr defaultRowHeight="15" x14ac:dyDescent="0.25"/>
  <cols>
    <col min="1" max="1" width="4.7109375" style="1" customWidth="1"/>
    <col min="2" max="2" width="47.7109375" style="1" bestFit="1" customWidth="1"/>
    <col min="3" max="3" width="10.5703125" style="1" bestFit="1" customWidth="1"/>
    <col min="4" max="5" width="8" style="1" bestFit="1" customWidth="1"/>
    <col min="6" max="8" width="9.140625" style="1"/>
    <col min="9" max="9" width="23.7109375" style="1" bestFit="1" customWidth="1"/>
    <col min="10" max="16384" width="9.140625" style="1"/>
  </cols>
  <sheetData>
    <row r="1" spans="2:7" x14ac:dyDescent="0.25">
      <c r="B1" s="53" t="s">
        <v>37</v>
      </c>
      <c r="C1" s="54" t="s">
        <v>58</v>
      </c>
      <c r="D1" s="54" t="s">
        <v>48</v>
      </c>
      <c r="E1" s="55" t="s">
        <v>49</v>
      </c>
    </row>
    <row r="2" spans="2:7" x14ac:dyDescent="0.25">
      <c r="B2" s="33" t="s">
        <v>32</v>
      </c>
      <c r="C2" s="33">
        <v>401</v>
      </c>
      <c r="D2" s="36">
        <f>C7</f>
        <v>406.8</v>
      </c>
      <c r="E2" s="33">
        <f>D7</f>
        <v>441.25371153565698</v>
      </c>
      <c r="F2" s="1" t="s">
        <v>42</v>
      </c>
    </row>
    <row r="3" spans="2:7" x14ac:dyDescent="0.25">
      <c r="B3" s="7" t="s">
        <v>33</v>
      </c>
      <c r="C3" s="7">
        <v>793</v>
      </c>
      <c r="D3" s="51">
        <f>D8*C9</f>
        <v>1033.3799999999999</v>
      </c>
      <c r="E3" s="51">
        <f>E8*D9</f>
        <v>1095.3828000000001</v>
      </c>
      <c r="F3" s="1" t="s">
        <v>42</v>
      </c>
    </row>
    <row r="4" spans="2:7" x14ac:dyDescent="0.25">
      <c r="B4" s="7" t="s">
        <v>34</v>
      </c>
      <c r="C4" s="7">
        <v>2300</v>
      </c>
      <c r="D4" s="7">
        <f>C4*(1+D14)</f>
        <v>2392</v>
      </c>
      <c r="E4" s="10">
        <f>D4*(1+E14)</f>
        <v>2463.7600000000002</v>
      </c>
      <c r="F4" s="1" t="s">
        <v>42</v>
      </c>
    </row>
    <row r="5" spans="2:7" x14ac:dyDescent="0.25">
      <c r="B5" s="7" t="s">
        <v>35</v>
      </c>
      <c r="C5" s="7">
        <v>1027</v>
      </c>
      <c r="D5" s="10">
        <f>D26*Demonstrativos!D22</f>
        <v>1037.27</v>
      </c>
      <c r="E5" s="10">
        <f>E26*Demonstrativos!E22</f>
        <v>1078.7607999999998</v>
      </c>
      <c r="F5" s="1" t="s">
        <v>42</v>
      </c>
    </row>
    <row r="6" spans="2:7" x14ac:dyDescent="0.25">
      <c r="B6" s="7" t="s">
        <v>78</v>
      </c>
      <c r="C6" s="7">
        <f>SUM(C3:C5)</f>
        <v>4120</v>
      </c>
      <c r="D6" s="10">
        <f>SUM(D3:D5)</f>
        <v>4462.6499999999996</v>
      </c>
      <c r="E6" s="10">
        <f>SUM(E3:E5)</f>
        <v>4637.9036000000006</v>
      </c>
      <c r="F6" s="1" t="s">
        <v>42</v>
      </c>
    </row>
    <row r="7" spans="2:7" x14ac:dyDescent="0.25">
      <c r="B7" s="7" t="s">
        <v>36</v>
      </c>
      <c r="C7" s="10">
        <f>C32*Demonstrativos!C6</f>
        <v>406.8</v>
      </c>
      <c r="D7" s="10">
        <f>D32*Demonstrativos!D6</f>
        <v>441.25371153565698</v>
      </c>
      <c r="E7" s="10">
        <f>E32*Demonstrativos!E6</f>
        <v>458.58227224733855</v>
      </c>
      <c r="F7" s="1" t="s">
        <v>42</v>
      </c>
    </row>
    <row r="8" spans="2:7" x14ac:dyDescent="0.25">
      <c r="B8" s="7" t="s">
        <v>40</v>
      </c>
      <c r="C8" s="47">
        <v>0.06</v>
      </c>
      <c r="D8" s="47">
        <f>C8</f>
        <v>0.06</v>
      </c>
      <c r="E8" s="47">
        <f>C8</f>
        <v>0.06</v>
      </c>
      <c r="F8" s="1" t="s">
        <v>41</v>
      </c>
      <c r="G8" s="1" t="s">
        <v>43</v>
      </c>
    </row>
    <row r="9" spans="2:7" x14ac:dyDescent="0.25">
      <c r="B9" s="8" t="s">
        <v>69</v>
      </c>
      <c r="C9" s="50">
        <f>Demonstrativos!C9</f>
        <v>17223</v>
      </c>
      <c r="D9" s="52">
        <f>C9+D3</f>
        <v>18256.38</v>
      </c>
      <c r="E9" s="52">
        <f>D9+E3</f>
        <v>19351.7628</v>
      </c>
      <c r="F9" s="1" t="s">
        <v>76</v>
      </c>
    </row>
    <row r="10" spans="2:7" x14ac:dyDescent="0.25">
      <c r="B10" s="53" t="s">
        <v>59</v>
      </c>
      <c r="C10" s="54" t="str">
        <f>C1</f>
        <v>20x0</v>
      </c>
      <c r="D10" s="54" t="str">
        <f>D1</f>
        <v>20x1</v>
      </c>
      <c r="E10" s="55" t="str">
        <f>E1</f>
        <v>20x2</v>
      </c>
    </row>
    <row r="11" spans="2:7" x14ac:dyDescent="0.25">
      <c r="B11" s="33" t="s">
        <v>44</v>
      </c>
      <c r="C11" s="33"/>
      <c r="D11" s="56">
        <v>1.45</v>
      </c>
      <c r="E11" s="57"/>
      <c r="F11" s="1" t="s">
        <v>45</v>
      </c>
    </row>
    <row r="12" spans="2:7" x14ac:dyDescent="0.25">
      <c r="B12" s="7" t="s">
        <v>46</v>
      </c>
      <c r="C12" s="7"/>
      <c r="D12" s="58">
        <v>1.01</v>
      </c>
      <c r="E12" s="59"/>
      <c r="F12" s="1" t="s">
        <v>45</v>
      </c>
    </row>
    <row r="13" spans="2:7" x14ac:dyDescent="0.25">
      <c r="B13" s="7" t="s">
        <v>47</v>
      </c>
      <c r="C13" s="7"/>
      <c r="D13" s="46">
        <v>0.02</v>
      </c>
      <c r="E13" s="46">
        <v>0.04</v>
      </c>
      <c r="F13" s="1" t="s">
        <v>41</v>
      </c>
    </row>
    <row r="14" spans="2:7" x14ac:dyDescent="0.25">
      <c r="B14" s="7" t="s">
        <v>50</v>
      </c>
      <c r="C14" s="7"/>
      <c r="D14" s="47">
        <v>0.04</v>
      </c>
      <c r="E14" s="47">
        <v>0.03</v>
      </c>
      <c r="F14" s="1" t="s">
        <v>41</v>
      </c>
    </row>
    <row r="15" spans="2:7" x14ac:dyDescent="0.25">
      <c r="B15" s="7" t="s">
        <v>51</v>
      </c>
      <c r="C15" s="7"/>
      <c r="D15" s="47">
        <v>0.02</v>
      </c>
      <c r="E15" s="47">
        <v>0.02</v>
      </c>
      <c r="F15" s="1" t="s">
        <v>41</v>
      </c>
    </row>
    <row r="16" spans="2:7" x14ac:dyDescent="0.25">
      <c r="B16" s="7" t="s">
        <v>52</v>
      </c>
      <c r="C16" s="7"/>
      <c r="D16" s="47">
        <v>0.15</v>
      </c>
      <c r="E16" s="47">
        <v>0.14000000000000001</v>
      </c>
      <c r="F16" s="1" t="s">
        <v>41</v>
      </c>
    </row>
    <row r="17" spans="2:6" x14ac:dyDescent="0.25">
      <c r="B17" s="7" t="s">
        <v>53</v>
      </c>
      <c r="C17" s="7"/>
      <c r="D17" s="47">
        <v>0.06</v>
      </c>
      <c r="E17" s="47">
        <v>0.06</v>
      </c>
      <c r="F17" s="1" t="s">
        <v>41</v>
      </c>
    </row>
    <row r="18" spans="2:6" x14ac:dyDescent="0.25">
      <c r="B18" s="7" t="s">
        <v>54</v>
      </c>
      <c r="C18" s="7">
        <v>2.2999999999999998</v>
      </c>
      <c r="D18" s="7">
        <v>2.35</v>
      </c>
      <c r="E18" s="7">
        <v>2.37</v>
      </c>
      <c r="F18" s="1" t="s">
        <v>56</v>
      </c>
    </row>
    <row r="19" spans="2:6" x14ac:dyDescent="0.25">
      <c r="B19" s="7" t="s">
        <v>55</v>
      </c>
      <c r="C19" s="7"/>
      <c r="D19" s="48">
        <f>D11*D16</f>
        <v>0.2175</v>
      </c>
      <c r="E19" s="48">
        <f>D11*E16</f>
        <v>0.20300000000000001</v>
      </c>
      <c r="F19" s="1" t="s">
        <v>41</v>
      </c>
    </row>
    <row r="20" spans="2:6" x14ac:dyDescent="0.25">
      <c r="B20" s="8" t="s">
        <v>57</v>
      </c>
      <c r="C20" s="8"/>
      <c r="D20" s="49">
        <f>$D$12*D16</f>
        <v>0.1515</v>
      </c>
      <c r="E20" s="49">
        <f>$D$12*E16</f>
        <v>0.14140000000000003</v>
      </c>
      <c r="F20" s="1" t="s">
        <v>41</v>
      </c>
    </row>
    <row r="21" spans="2:6" x14ac:dyDescent="0.25">
      <c r="B21" s="53" t="s">
        <v>60</v>
      </c>
      <c r="C21" s="54" t="str">
        <f>C10</f>
        <v>20x0</v>
      </c>
      <c r="D21" s="54" t="str">
        <f>D10</f>
        <v>20x1</v>
      </c>
      <c r="E21" s="55" t="str">
        <f>E10</f>
        <v>20x2</v>
      </c>
    </row>
    <row r="22" spans="2:6" x14ac:dyDescent="0.25">
      <c r="B22" s="33" t="s">
        <v>62</v>
      </c>
      <c r="C22" s="60">
        <v>0.34</v>
      </c>
      <c r="D22" s="61"/>
      <c r="E22" s="62"/>
      <c r="F22" s="1" t="s">
        <v>63</v>
      </c>
    </row>
    <row r="23" spans="2:6" x14ac:dyDescent="0.25">
      <c r="B23" s="7" t="s">
        <v>61</v>
      </c>
      <c r="C23" s="21"/>
      <c r="D23" s="46">
        <v>0.01</v>
      </c>
      <c r="E23" s="37">
        <v>0.04</v>
      </c>
    </row>
    <row r="24" spans="2:6" x14ac:dyDescent="0.25">
      <c r="B24" s="7" t="s">
        <v>64</v>
      </c>
      <c r="C24" s="25"/>
      <c r="D24" s="47">
        <v>0.25</v>
      </c>
      <c r="E24" s="38">
        <v>0.25</v>
      </c>
      <c r="F24" s="1" t="s">
        <v>65</v>
      </c>
    </row>
    <row r="25" spans="2:6" x14ac:dyDescent="0.25">
      <c r="B25" s="7" t="s">
        <v>67</v>
      </c>
      <c r="C25" s="39">
        <f>-Demonstrativos!C23/Demonstrativos!C22</f>
        <v>0.16003596313778376</v>
      </c>
      <c r="D25" s="47">
        <f>C25</f>
        <v>0.16003596313778376</v>
      </c>
      <c r="E25" s="38">
        <f>C25</f>
        <v>0.16003596313778376</v>
      </c>
    </row>
    <row r="26" spans="2:6" x14ac:dyDescent="0.25">
      <c r="B26" s="7" t="s">
        <v>77</v>
      </c>
      <c r="C26" s="40">
        <f>C5/Demonstrativos!C22</f>
        <v>0.11541919532479208</v>
      </c>
      <c r="D26" s="47">
        <f>C26</f>
        <v>0.11541919532479208</v>
      </c>
      <c r="E26" s="38">
        <f>C26</f>
        <v>0.11541919532479208</v>
      </c>
    </row>
    <row r="27" spans="2:6" x14ac:dyDescent="0.25">
      <c r="B27" s="7" t="s">
        <v>80</v>
      </c>
      <c r="C27" s="41">
        <f>-Demonstrativos!C27/Demonstrativos!C22</f>
        <v>3.6862216228365927E-2</v>
      </c>
      <c r="D27" s="48">
        <f>C27</f>
        <v>3.6862216228365927E-2</v>
      </c>
      <c r="E27" s="42">
        <f>C27</f>
        <v>3.6862216228365927E-2</v>
      </c>
    </row>
    <row r="28" spans="2:6" x14ac:dyDescent="0.25">
      <c r="B28" s="7" t="s">
        <v>70</v>
      </c>
      <c r="C28" s="43">
        <f>-(Demonstrativos!C6*360)/Demonstrativos!C25</f>
        <v>59.326235963249239</v>
      </c>
      <c r="D28" s="10">
        <f>C28</f>
        <v>59.326235963249239</v>
      </c>
      <c r="E28" s="24">
        <f>C28</f>
        <v>59.326235963249239</v>
      </c>
      <c r="F28" s="1" t="s">
        <v>79</v>
      </c>
    </row>
    <row r="29" spans="2:6" x14ac:dyDescent="0.25">
      <c r="B29" s="7" t="s">
        <v>71</v>
      </c>
      <c r="C29" s="43">
        <f>(Demonstrativos!C5*360)/Demonstrativos!C22</f>
        <v>29.73701955495617</v>
      </c>
      <c r="D29" s="10">
        <f t="shared" ref="D29:D31" si="0">C29</f>
        <v>29.73701955495617</v>
      </c>
      <c r="E29" s="24">
        <f t="shared" ref="E29:E30" si="1">C29</f>
        <v>29.73701955495617</v>
      </c>
      <c r="F29" s="1" t="s">
        <v>79</v>
      </c>
    </row>
    <row r="30" spans="2:6" x14ac:dyDescent="0.25">
      <c r="B30" s="7" t="s">
        <v>72</v>
      </c>
      <c r="C30" s="43">
        <f>Demonstrativos!C15/Premissas!C5*360</f>
        <v>32.249269717624152</v>
      </c>
      <c r="D30" s="10">
        <f t="shared" si="0"/>
        <v>32.249269717624152</v>
      </c>
      <c r="E30" s="24">
        <f t="shared" si="1"/>
        <v>32.249269717624152</v>
      </c>
    </row>
    <row r="31" spans="2:6" x14ac:dyDescent="0.25">
      <c r="B31" s="7" t="s">
        <v>73</v>
      </c>
      <c r="C31" s="43">
        <f>-Demonstrativos!C16/Demonstrativos!C23*360</f>
        <v>18.45505617977528</v>
      </c>
      <c r="D31" s="10">
        <f t="shared" si="0"/>
        <v>18.45505617977528</v>
      </c>
      <c r="E31" s="24">
        <f t="shared" ref="E31" si="2">C31</f>
        <v>18.45505617977528</v>
      </c>
    </row>
    <row r="32" spans="2:6" x14ac:dyDescent="0.25">
      <c r="B32" s="8" t="s">
        <v>74</v>
      </c>
      <c r="C32" s="44">
        <v>0.6</v>
      </c>
      <c r="D32" s="49">
        <v>0.6</v>
      </c>
      <c r="E32" s="45">
        <v>0.6</v>
      </c>
      <c r="F32" s="1" t="s">
        <v>75</v>
      </c>
    </row>
    <row r="37" spans="3:3" x14ac:dyDescent="0.25">
      <c r="C37" s="9"/>
    </row>
    <row r="38" spans="3:3" x14ac:dyDescent="0.25">
      <c r="C38" s="9"/>
    </row>
  </sheetData>
  <mergeCells count="3">
    <mergeCell ref="D11:E11"/>
    <mergeCell ref="D12:E12"/>
    <mergeCell ref="C22:E22"/>
  </mergeCells>
  <pageMargins left="0.7" right="0.7" top="0.75" bottom="0.75" header="0.3" footer="0.3"/>
  <ignoredErrors>
    <ignoredError sqref="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C16" sqref="C16"/>
    </sheetView>
  </sheetViews>
  <sheetFormatPr defaultRowHeight="15" x14ac:dyDescent="0.25"/>
  <cols>
    <col min="1" max="1" width="9.140625" style="1"/>
    <col min="2" max="2" width="30.28515625" style="1" bestFit="1" customWidth="1"/>
    <col min="3" max="5" width="11.5703125" style="1" bestFit="1" customWidth="1"/>
    <col min="6" max="16384" width="9.140625" style="1"/>
  </cols>
  <sheetData>
    <row r="1" spans="1:11" x14ac:dyDescent="0.25">
      <c r="B1" s="32" t="s">
        <v>38</v>
      </c>
      <c r="C1" s="18" t="s">
        <v>4</v>
      </c>
      <c r="D1" s="18" t="s">
        <v>31</v>
      </c>
      <c r="E1" s="19" t="s">
        <v>66</v>
      </c>
    </row>
    <row r="2" spans="1:11" x14ac:dyDescent="0.25">
      <c r="B2" s="2" t="s">
        <v>8</v>
      </c>
      <c r="C2" s="11">
        <f>C3+C7</f>
        <v>15563</v>
      </c>
      <c r="D2" s="11">
        <f>D3+D7</f>
        <v>15577.772852559428</v>
      </c>
      <c r="E2" s="11">
        <f>E3+E7</f>
        <v>15636.347787078897</v>
      </c>
    </row>
    <row r="3" spans="1:11" x14ac:dyDescent="0.25">
      <c r="B3" s="3" t="s">
        <v>0</v>
      </c>
      <c r="C3" s="14">
        <f>SUM(C4:C6)</f>
        <v>1463</v>
      </c>
      <c r="D3" s="14">
        <f>SUM(D4:D6)</f>
        <v>1477.7728525594284</v>
      </c>
      <c r="E3" s="14">
        <f>SUM(E4:E6)</f>
        <v>1536.3477870788975</v>
      </c>
    </row>
    <row r="4" spans="1:11" x14ac:dyDescent="0.25">
      <c r="A4" s="12"/>
      <c r="B4" s="4" t="s">
        <v>1</v>
      </c>
      <c r="C4" s="7">
        <f>C11-C7-SUM(C5:C6)</f>
        <v>50</v>
      </c>
      <c r="D4" s="10">
        <v>0</v>
      </c>
      <c r="E4" s="10">
        <v>0</v>
      </c>
    </row>
    <row r="5" spans="1:11" x14ac:dyDescent="0.25">
      <c r="B5" s="4" t="s">
        <v>2</v>
      </c>
      <c r="C5" s="7">
        <v>735</v>
      </c>
      <c r="D5" s="10">
        <f>(Premissas!D29*Demonstrativos!D22)/360</f>
        <v>742.35</v>
      </c>
      <c r="E5" s="10">
        <f>(Premissas!E29*Demonstrativos!E22)/360</f>
        <v>772.04399999999987</v>
      </c>
      <c r="G5" s="9"/>
      <c r="I5" s="9"/>
      <c r="K5" s="9"/>
    </row>
    <row r="6" spans="1:11" x14ac:dyDescent="0.25">
      <c r="B6" s="4" t="s">
        <v>3</v>
      </c>
      <c r="C6" s="7">
        <v>678</v>
      </c>
      <c r="D6" s="10">
        <f>(Premissas!D28*Premissas!D6)/360</f>
        <v>735.42285255942829</v>
      </c>
      <c r="E6" s="10">
        <f>(Premissas!E28*Premissas!E6)/360</f>
        <v>764.30378707889759</v>
      </c>
      <c r="G6" s="9"/>
      <c r="K6" s="9"/>
    </row>
    <row r="7" spans="1:11" x14ac:dyDescent="0.25">
      <c r="B7" s="3" t="s">
        <v>5</v>
      </c>
      <c r="C7" s="3">
        <f>C8</f>
        <v>14100</v>
      </c>
      <c r="D7" s="3">
        <f>D8</f>
        <v>14100</v>
      </c>
      <c r="E7" s="3">
        <f>E8</f>
        <v>14100</v>
      </c>
      <c r="K7" s="9"/>
    </row>
    <row r="8" spans="1:11" x14ac:dyDescent="0.25">
      <c r="B8" s="4" t="s">
        <v>68</v>
      </c>
      <c r="C8" s="7">
        <f>SUM(C9:C10)</f>
        <v>14100</v>
      </c>
      <c r="D8" s="7">
        <f>SUM(D9:D10)</f>
        <v>14100</v>
      </c>
      <c r="E8" s="7">
        <f>SUM(E9:E10)</f>
        <v>14100</v>
      </c>
      <c r="J8" s="9"/>
      <c r="K8" s="9"/>
    </row>
    <row r="9" spans="1:11" x14ac:dyDescent="0.25">
      <c r="B9" s="4" t="s">
        <v>6</v>
      </c>
      <c r="C9" s="7">
        <v>17223</v>
      </c>
      <c r="D9" s="10">
        <f>Premissas!D9</f>
        <v>18256.38</v>
      </c>
      <c r="E9" s="10">
        <f>Premissas!E9</f>
        <v>19351.7628</v>
      </c>
    </row>
    <row r="10" spans="1:11" x14ac:dyDescent="0.25">
      <c r="B10" s="5" t="s">
        <v>7</v>
      </c>
      <c r="C10" s="7">
        <v>-3123</v>
      </c>
      <c r="D10" s="10">
        <f>C10-Premissas!D3</f>
        <v>-4156.38</v>
      </c>
      <c r="E10" s="10">
        <f>D10-Premissas!E3</f>
        <v>-5251.7628000000004</v>
      </c>
      <c r="K10" s="9"/>
    </row>
    <row r="11" spans="1:11" x14ac:dyDescent="0.25">
      <c r="B11" s="2" t="s">
        <v>9</v>
      </c>
      <c r="C11" s="2">
        <f>C12+C18</f>
        <v>15563</v>
      </c>
      <c r="D11" s="11">
        <f>D12+D18</f>
        <v>15577.772852559428</v>
      </c>
      <c r="E11" s="11">
        <f>E12+E18</f>
        <v>15636.347787078897</v>
      </c>
    </row>
    <row r="12" spans="1:11" x14ac:dyDescent="0.25">
      <c r="B12" s="3" t="s">
        <v>10</v>
      </c>
      <c r="C12" s="3">
        <f>SUM(C13:C17)</f>
        <v>8154</v>
      </c>
      <c r="D12" s="14">
        <f>SUM(D13:D17)</f>
        <v>7764.9062565043032</v>
      </c>
      <c r="E12" s="14">
        <f>SUM(E13:E17)</f>
        <v>7272.058057932154</v>
      </c>
      <c r="F12" s="9"/>
    </row>
    <row r="13" spans="1:11" x14ac:dyDescent="0.25">
      <c r="B13" s="4" t="s">
        <v>11</v>
      </c>
      <c r="C13" s="7">
        <v>7906</v>
      </c>
      <c r="D13" s="10">
        <f>-D53</f>
        <v>7449.8353286203892</v>
      </c>
      <c r="E13" s="10">
        <f>-E53</f>
        <v>6879.9523606817193</v>
      </c>
      <c r="F13" s="9"/>
    </row>
    <row r="14" spans="1:11" x14ac:dyDescent="0.25">
      <c r="B14" s="4" t="s">
        <v>12</v>
      </c>
      <c r="C14" s="7">
        <v>28</v>
      </c>
      <c r="D14" s="10">
        <f>-Demonstrativos!D33*25%</f>
        <v>50.463115480530888</v>
      </c>
      <c r="E14" s="10">
        <f>-Demonstrativos!E33*25%</f>
        <v>74.388497065148016</v>
      </c>
      <c r="G14" s="9"/>
    </row>
    <row r="15" spans="1:11" x14ac:dyDescent="0.25">
      <c r="B15" s="4" t="s">
        <v>13</v>
      </c>
      <c r="C15" s="7">
        <v>92</v>
      </c>
      <c r="D15" s="10">
        <f>Premissas!D30*Premissas!D5/360</f>
        <v>92.920000000000016</v>
      </c>
      <c r="E15" s="10">
        <f>Premissas!E30*Premissas!E5/360</f>
        <v>96.636799999999994</v>
      </c>
      <c r="F15" s="9"/>
      <c r="G15" s="9"/>
    </row>
    <row r="16" spans="1:11" x14ac:dyDescent="0.25">
      <c r="B16" s="4" t="s">
        <v>14</v>
      </c>
      <c r="C16" s="7">
        <v>73</v>
      </c>
      <c r="D16" s="10">
        <f>-Premissas!D31*D23/360</f>
        <v>73.72999999999999</v>
      </c>
      <c r="E16" s="10">
        <f>-Premissas!E31*E23/360</f>
        <v>76.67919999999998</v>
      </c>
      <c r="G16" s="9"/>
    </row>
    <row r="17" spans="2:7" x14ac:dyDescent="0.25">
      <c r="B17" s="4" t="s">
        <v>15</v>
      </c>
      <c r="C17" s="7">
        <v>55</v>
      </c>
      <c r="D17" s="10">
        <f>Premissas!D24*Demonstrativos!D34</f>
        <v>97.957812403383485</v>
      </c>
      <c r="E17" s="10">
        <f>Premissas!E24*Demonstrativos!E34</f>
        <v>144.40120018528731</v>
      </c>
      <c r="G17" s="9"/>
    </row>
    <row r="18" spans="2:7" x14ac:dyDescent="0.25">
      <c r="B18" s="2" t="s">
        <v>16</v>
      </c>
      <c r="C18" s="2">
        <f>C19+C20</f>
        <v>7409</v>
      </c>
      <c r="D18" s="11">
        <f t="shared" ref="D18:E18" si="0">D19+D20</f>
        <v>7812.8665960551252</v>
      </c>
      <c r="E18" s="11">
        <f t="shared" si="0"/>
        <v>8364.2897291467434</v>
      </c>
    </row>
    <row r="19" spans="2:7" x14ac:dyDescent="0.25">
      <c r="B19" s="4" t="s">
        <v>17</v>
      </c>
      <c r="C19" s="7">
        <v>0</v>
      </c>
      <c r="D19" s="7">
        <v>0</v>
      </c>
      <c r="E19" s="7">
        <v>0</v>
      </c>
    </row>
    <row r="20" spans="2:7" x14ac:dyDescent="0.25">
      <c r="B20" s="6" t="s">
        <v>98</v>
      </c>
      <c r="C20" s="8">
        <v>7409</v>
      </c>
      <c r="D20" s="20">
        <f>D2-D12</f>
        <v>7812.8665960551252</v>
      </c>
      <c r="E20" s="20">
        <f>E2-E12</f>
        <v>8364.2897291467434</v>
      </c>
    </row>
    <row r="21" spans="2:7" x14ac:dyDescent="0.25">
      <c r="B21" s="32" t="s">
        <v>39</v>
      </c>
      <c r="C21" s="18" t="str">
        <f>C1</f>
        <v>20X0</v>
      </c>
      <c r="D21" s="18" t="str">
        <f>D1</f>
        <v>20X1</v>
      </c>
      <c r="E21" s="19" t="str">
        <f>E1</f>
        <v>20X2</v>
      </c>
    </row>
    <row r="22" spans="2:7" x14ac:dyDescent="0.25">
      <c r="B22" s="2" t="s">
        <v>18</v>
      </c>
      <c r="C22" s="11">
        <v>8898</v>
      </c>
      <c r="D22" s="11">
        <f>C22*(1+Premissas!D23)</f>
        <v>8986.98</v>
      </c>
      <c r="E22" s="11">
        <f>D22*(1+Premissas!E23)</f>
        <v>9346.4591999999993</v>
      </c>
    </row>
    <row r="23" spans="2:7" x14ac:dyDescent="0.25">
      <c r="B23" s="5" t="s">
        <v>19</v>
      </c>
      <c r="C23" s="10">
        <v>-1424</v>
      </c>
      <c r="D23" s="10">
        <f>-Premissas!C25*Demonstrativos!D22</f>
        <v>-1438.2399999999998</v>
      </c>
      <c r="E23" s="10">
        <f>-Premissas!D25*Demonstrativos!E22</f>
        <v>-1495.7695999999999</v>
      </c>
    </row>
    <row r="24" spans="2:7" x14ac:dyDescent="0.25">
      <c r="B24" s="2" t="s">
        <v>20</v>
      </c>
      <c r="C24" s="11">
        <f>SUM(C22:C23)</f>
        <v>7474</v>
      </c>
      <c r="D24" s="11">
        <f t="shared" ref="D24:E24" si="1">SUM(D22:D23)</f>
        <v>7548.74</v>
      </c>
      <c r="E24" s="11">
        <f t="shared" si="1"/>
        <v>7850.6895999999997</v>
      </c>
    </row>
    <row r="25" spans="2:7" x14ac:dyDescent="0.25">
      <c r="B25" s="5" t="s">
        <v>21</v>
      </c>
      <c r="C25" s="10">
        <f>-(Premissas!C2+Premissas!C6-Premissas!C7)</f>
        <v>-4114.2</v>
      </c>
      <c r="D25" s="10">
        <f>-(Premissas!D2+Premissas!D6-Premissas!D7)</f>
        <v>-4428.1962884643426</v>
      </c>
      <c r="E25" s="16">
        <f>-(Premissas!E2+Premissas!E6-Premissas!E7)</f>
        <v>-4620.5750392883192</v>
      </c>
      <c r="F25" s="15"/>
    </row>
    <row r="26" spans="2:7" x14ac:dyDescent="0.25">
      <c r="B26" s="2" t="s">
        <v>22</v>
      </c>
      <c r="C26" s="11">
        <f>SUM(C24:C25)</f>
        <v>3359.8</v>
      </c>
      <c r="D26" s="11">
        <f t="shared" ref="D26:E26" si="2">SUM(D24:D25)</f>
        <v>3120.5437115356572</v>
      </c>
      <c r="E26" s="11">
        <f t="shared" si="2"/>
        <v>3230.1145607116805</v>
      </c>
    </row>
    <row r="27" spans="2:7" x14ac:dyDescent="0.25">
      <c r="B27" s="5" t="s">
        <v>23</v>
      </c>
      <c r="C27" s="10">
        <v>-328</v>
      </c>
      <c r="D27" s="10">
        <f>-Premissas!D27*Demonstrativos!D22</f>
        <v>-331.28</v>
      </c>
      <c r="E27" s="10">
        <f>-Premissas!E27*Demonstrativos!E22</f>
        <v>-344.53120000000001</v>
      </c>
      <c r="G27" s="13"/>
    </row>
    <row r="28" spans="2:7" x14ac:dyDescent="0.25">
      <c r="B28" s="5" t="s">
        <v>24</v>
      </c>
      <c r="C28" s="10">
        <v>-465</v>
      </c>
      <c r="D28" s="10">
        <f>C28*(1+Premissas!D14)</f>
        <v>-483.6</v>
      </c>
      <c r="E28" s="10">
        <f>D28*(1+Premissas!E14)</f>
        <v>-498.10800000000006</v>
      </c>
    </row>
    <row r="29" spans="2:7" x14ac:dyDescent="0.25">
      <c r="B29" s="2" t="s">
        <v>25</v>
      </c>
      <c r="C29" s="11">
        <f>SUM(C26:C28)</f>
        <v>2566.8000000000002</v>
      </c>
      <c r="D29" s="11">
        <f t="shared" ref="D29:E29" si="3">SUM(D26:D28)</f>
        <v>2305.6637115356575</v>
      </c>
      <c r="E29" s="11">
        <f t="shared" si="3"/>
        <v>2387.4753607116804</v>
      </c>
    </row>
    <row r="30" spans="2:7" x14ac:dyDescent="0.25">
      <c r="B30" s="5" t="s">
        <v>26</v>
      </c>
      <c r="C30" s="10">
        <v>-2242</v>
      </c>
      <c r="D30" s="10">
        <f>-Premissas!D19*Demonstrativos!C13</f>
        <v>-1719.5550000000001</v>
      </c>
      <c r="E30" s="10">
        <f>-Premissas!E19*Demonstrativos!D13</f>
        <v>-1512.3165717099391</v>
      </c>
    </row>
    <row r="31" spans="2:7" x14ac:dyDescent="0.25">
      <c r="B31" s="5" t="s">
        <v>27</v>
      </c>
      <c r="C31" s="10">
        <v>6</v>
      </c>
      <c r="D31" s="10">
        <f>Premissas!D20*Demonstrativos!C4</f>
        <v>7.5750000000000002</v>
      </c>
      <c r="E31" s="10">
        <f>Premissas!E20*Demonstrativos!D4</f>
        <v>0</v>
      </c>
    </row>
    <row r="32" spans="2:7" x14ac:dyDescent="0.25">
      <c r="B32" s="2" t="s">
        <v>28</v>
      </c>
      <c r="C32" s="11">
        <f>SUM(C29:C31)</f>
        <v>330.80000000000018</v>
      </c>
      <c r="D32" s="11">
        <f>SUM(D29:D31)</f>
        <v>593.68371153565749</v>
      </c>
      <c r="E32" s="11">
        <f>SUM(E29:E31)</f>
        <v>875.1587890017413</v>
      </c>
    </row>
    <row r="33" spans="2:5" x14ac:dyDescent="0.25">
      <c r="B33" s="5" t="s">
        <v>29</v>
      </c>
      <c r="C33" s="10">
        <f>-Premissas!$C$22*C32</f>
        <v>-112.47200000000007</v>
      </c>
      <c r="D33" s="10">
        <f>-Premissas!$C$22*D32</f>
        <v>-201.85246192212355</v>
      </c>
      <c r="E33" s="10">
        <f>-Premissas!$C$22*E32</f>
        <v>-297.55398826059206</v>
      </c>
    </row>
    <row r="34" spans="2:5" x14ac:dyDescent="0.25">
      <c r="B34" s="2" t="s">
        <v>30</v>
      </c>
      <c r="C34" s="11">
        <f>SUM(C32:C33)</f>
        <v>218.32800000000012</v>
      </c>
      <c r="D34" s="11">
        <f>SUM(D32:D33)</f>
        <v>391.83124961353394</v>
      </c>
      <c r="E34" s="11">
        <f>SUM(E32:E33)</f>
        <v>577.60480074114923</v>
      </c>
    </row>
    <row r="35" spans="2:5" x14ac:dyDescent="0.25">
      <c r="B35" s="32" t="s">
        <v>96</v>
      </c>
      <c r="C35" s="18" t="str">
        <f>C21</f>
        <v>20X0</v>
      </c>
      <c r="D35" s="18" t="str">
        <f>D21</f>
        <v>20X1</v>
      </c>
      <c r="E35" s="19" t="str">
        <f>E21</f>
        <v>20X2</v>
      </c>
    </row>
    <row r="36" spans="2:5" x14ac:dyDescent="0.25">
      <c r="B36" s="33" t="s">
        <v>25</v>
      </c>
      <c r="C36" s="22"/>
      <c r="D36" s="36">
        <f>D29</f>
        <v>2305.6637115356575</v>
      </c>
      <c r="E36" s="23">
        <f>E29</f>
        <v>2387.4753607116804</v>
      </c>
    </row>
    <row r="37" spans="2:5" x14ac:dyDescent="0.25">
      <c r="B37" s="34" t="s">
        <v>82</v>
      </c>
      <c r="C37" s="15"/>
      <c r="D37" s="10">
        <f>Premissas!D3</f>
        <v>1033.3799999999999</v>
      </c>
      <c r="E37" s="24">
        <f>Premissas!E3</f>
        <v>1095.3828000000001</v>
      </c>
    </row>
    <row r="38" spans="2:5" x14ac:dyDescent="0.25">
      <c r="B38" s="3" t="s">
        <v>81</v>
      </c>
      <c r="C38" s="29"/>
      <c r="D38" s="14">
        <f>D37+D36</f>
        <v>3339.0437115356572</v>
      </c>
      <c r="E38" s="30">
        <f>E37+E36</f>
        <v>3482.8581607116803</v>
      </c>
    </row>
    <row r="39" spans="2:5" x14ac:dyDescent="0.25">
      <c r="B39" s="34" t="s">
        <v>99</v>
      </c>
      <c r="C39" s="17"/>
      <c r="D39" s="10">
        <f>-(SUM(D5:D6)-SUM(C5:C6))+(SUM(D14:D17)-SUM(C14:C17))</f>
        <v>2.2980753244859216</v>
      </c>
      <c r="E39" s="24">
        <f>-(SUM(E5:E6)-SUM(D5:D6))+(SUM(E14:E17)-SUM(D14:D17))</f>
        <v>18.459834847051923</v>
      </c>
    </row>
    <row r="40" spans="2:5" x14ac:dyDescent="0.25">
      <c r="B40" s="3" t="s">
        <v>83</v>
      </c>
      <c r="C40" s="31"/>
      <c r="D40" s="14">
        <f>D38+D39</f>
        <v>3341.3417868601432</v>
      </c>
      <c r="E40" s="30">
        <f>E38+E39</f>
        <v>3501.317995558732</v>
      </c>
    </row>
    <row r="41" spans="2:5" x14ac:dyDescent="0.25">
      <c r="B41" s="34" t="s">
        <v>84</v>
      </c>
      <c r="C41" s="17"/>
      <c r="D41" s="10">
        <f>D30</f>
        <v>-1719.5550000000001</v>
      </c>
      <c r="E41" s="24">
        <f>E30</f>
        <v>-1512.3165717099391</v>
      </c>
    </row>
    <row r="42" spans="2:5" x14ac:dyDescent="0.25">
      <c r="B42" s="34" t="s">
        <v>85</v>
      </c>
      <c r="C42" s="17"/>
      <c r="D42" s="10">
        <f>-(D9-C9)</f>
        <v>-1033.380000000001</v>
      </c>
      <c r="E42" s="24">
        <f>-(E9-D9)</f>
        <v>-1095.3827999999994</v>
      </c>
    </row>
    <row r="43" spans="2:5" x14ac:dyDescent="0.25">
      <c r="B43" s="34" t="s">
        <v>86</v>
      </c>
      <c r="C43" s="17"/>
      <c r="D43" s="7">
        <v>0</v>
      </c>
      <c r="E43" s="26">
        <v>0</v>
      </c>
    </row>
    <row r="44" spans="2:5" x14ac:dyDescent="0.25">
      <c r="B44" s="34" t="s">
        <v>97</v>
      </c>
      <c r="C44" s="17"/>
      <c r="D44" s="7">
        <f>-C13</f>
        <v>-7906</v>
      </c>
      <c r="E44" s="24">
        <f>-D13</f>
        <v>-7449.8353286203892</v>
      </c>
    </row>
    <row r="45" spans="2:5" x14ac:dyDescent="0.25">
      <c r="B45" s="34" t="s">
        <v>87</v>
      </c>
      <c r="C45" s="17"/>
      <c r="D45" s="7">
        <v>0</v>
      </c>
      <c r="E45" s="26">
        <v>0</v>
      </c>
    </row>
    <row r="46" spans="2:5" x14ac:dyDescent="0.25">
      <c r="B46" s="34" t="s">
        <v>88</v>
      </c>
      <c r="C46" s="17"/>
      <c r="D46" s="7">
        <v>0</v>
      </c>
      <c r="E46" s="26">
        <v>0</v>
      </c>
    </row>
    <row r="47" spans="2:5" x14ac:dyDescent="0.25">
      <c r="B47" s="34" t="s">
        <v>89</v>
      </c>
      <c r="C47" s="17"/>
      <c r="D47" s="7">
        <v>0</v>
      </c>
      <c r="E47" s="26">
        <v>0</v>
      </c>
    </row>
    <row r="48" spans="2:5" x14ac:dyDescent="0.25">
      <c r="B48" s="34" t="s">
        <v>90</v>
      </c>
      <c r="C48" s="17"/>
      <c r="D48" s="7">
        <f>-C17</f>
        <v>-55</v>
      </c>
      <c r="E48" s="24">
        <f>-D17</f>
        <v>-97.957812403383485</v>
      </c>
    </row>
    <row r="49" spans="2:5" x14ac:dyDescent="0.25">
      <c r="B49" s="3" t="s">
        <v>91</v>
      </c>
      <c r="C49" s="31"/>
      <c r="D49" s="14">
        <f>SUM(D40:D48)</f>
        <v>-7372.5932131398577</v>
      </c>
      <c r="E49" s="30">
        <f>SUM(E40:E48)</f>
        <v>-6654.174517174979</v>
      </c>
    </row>
    <row r="50" spans="2:5" x14ac:dyDescent="0.25">
      <c r="B50" s="34" t="s">
        <v>92</v>
      </c>
      <c r="C50" s="17"/>
      <c r="D50" s="10">
        <f>75%*C33+25%*D33</f>
        <v>-134.81711548053093</v>
      </c>
      <c r="E50" s="24">
        <f>75%*D33+25%*E33</f>
        <v>-225.77784350674068</v>
      </c>
    </row>
    <row r="51" spans="2:5" x14ac:dyDescent="0.25">
      <c r="B51" s="7" t="s">
        <v>93</v>
      </c>
      <c r="C51" s="17"/>
      <c r="D51" s="10">
        <f>D49+D50</f>
        <v>-7507.410328620389</v>
      </c>
      <c r="E51" s="24">
        <f>E49+E50</f>
        <v>-6879.9523606817193</v>
      </c>
    </row>
    <row r="52" spans="2:5" x14ac:dyDescent="0.25">
      <c r="B52" s="34" t="s">
        <v>94</v>
      </c>
      <c r="C52" s="17"/>
      <c r="D52" s="10">
        <f>C4+D31</f>
        <v>57.575000000000003</v>
      </c>
      <c r="E52" s="24">
        <f>D4+E31</f>
        <v>0</v>
      </c>
    </row>
    <row r="53" spans="2:5" x14ac:dyDescent="0.25">
      <c r="B53" s="35" t="s">
        <v>95</v>
      </c>
      <c r="C53" s="27"/>
      <c r="D53" s="20">
        <f>D51+D52</f>
        <v>-7449.8353286203892</v>
      </c>
      <c r="E53" s="28">
        <f>E51+E52</f>
        <v>-6879.9523606817193</v>
      </c>
    </row>
  </sheetData>
  <pageMargins left="0.7" right="0.7" top="0.75" bottom="0.75" header="0.3" footer="0.3"/>
  <ignoredErrors>
    <ignoredError sqref="C25:E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Premissas</vt:lpstr>
      <vt:lpstr>Demonstrativos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2014-07-02T16:26:42Z</dcterms:modified>
</cp:coreProperties>
</file>