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<sst xmlns="http://schemas.openxmlformats.org/spreadsheetml/2006/main" count="165" uniqueCount="119">
  <si>
    <t xml:space="preserve">91689991-B </t>
  </si>
  <si>
    <t xml:space="preserve">Patrícia Jesus de Lima </t>
  </si>
  <si>
    <t xml:space="preserve">91701800-E </t>
  </si>
  <si>
    <t>José Roberto Machado</t>
  </si>
  <si>
    <t xml:space="preserve">91708180-G </t>
  </si>
  <si>
    <t>José Onofre de Souza</t>
  </si>
  <si>
    <t>Diego Marcelo dos Santos</t>
  </si>
  <si>
    <t>Pr/h2</t>
  </si>
  <si>
    <r>
      <t>Cocroft-Gault</t>
    </r>
    <r>
      <rPr>
        <sz val="8"/>
        <color indexed="10"/>
        <rFont val="Calibri"/>
        <family val="2"/>
      </rPr>
      <t>((140-id)*(bw))/(72*Scr)*1H_*0,85F</t>
    </r>
  </si>
  <si>
    <t>1,05-1,11</t>
  </si>
  <si>
    <t>0,62-0,66</t>
  </si>
  <si>
    <t>12,0-12,6</t>
  </si>
  <si>
    <t>9,2-10,3</t>
  </si>
  <si>
    <t>(h-100)*Fg</t>
  </si>
  <si>
    <t>SC</t>
  </si>
  <si>
    <t>(167,2*raiz peso*raiz altura)/10000</t>
  </si>
  <si>
    <t>peso ideal</t>
  </si>
  <si>
    <t>Swartz</t>
  </si>
  <si>
    <t>Cob1</t>
  </si>
  <si>
    <t>Cob2</t>
  </si>
  <si>
    <t>C1/Exp(kel*T1)</t>
  </si>
  <si>
    <t xml:space="preserve">Jaruratanasirikul 2003 </t>
  </si>
  <si>
    <t>pediátrico</t>
  </si>
  <si>
    <r>
      <t>abs</t>
    </r>
    <r>
      <rPr>
        <sz val="11"/>
        <color indexed="10"/>
        <rFont val="Calibri"/>
        <family val="2"/>
      </rPr>
      <t>(</t>
    </r>
    <r>
      <rPr>
        <sz val="11"/>
        <color indexed="19"/>
        <rFont val="Calibri"/>
        <family val="2"/>
      </rPr>
      <t>(</t>
    </r>
    <r>
      <rPr>
        <sz val="11"/>
        <color indexed="12"/>
        <rFont val="Calibri"/>
        <family val="2"/>
      </rPr>
      <t>(</t>
    </r>
    <r>
      <rPr>
        <sz val="11"/>
        <color indexed="10"/>
        <rFont val="Calibri"/>
        <family val="2"/>
      </rPr>
      <t>(</t>
    </r>
    <r>
      <rPr>
        <sz val="11"/>
        <rFont val="Calibri"/>
        <family val="2"/>
      </rPr>
      <t>(ln(mic)-ln(vale)</t>
    </r>
    <r>
      <rPr>
        <sz val="11"/>
        <color indexed="10"/>
        <rFont val="Calibri"/>
        <family val="2"/>
      </rPr>
      <t>)</t>
    </r>
    <r>
      <rPr>
        <sz val="11"/>
        <rFont val="Calibri"/>
        <family val="2"/>
      </rPr>
      <t>/Kel</t>
    </r>
    <r>
      <rPr>
        <sz val="11"/>
        <color indexed="12"/>
        <rFont val="Calibri"/>
        <family val="2"/>
      </rPr>
      <t>)-</t>
    </r>
    <r>
      <rPr>
        <sz val="11"/>
        <rFont val="Calibri"/>
        <family val="2"/>
      </rPr>
      <t>Tau</t>
    </r>
    <r>
      <rPr>
        <sz val="11"/>
        <color indexed="19"/>
        <rFont val="Calibri"/>
        <family val="2"/>
      </rPr>
      <t>)</t>
    </r>
    <r>
      <rPr>
        <sz val="11"/>
        <rFont val="Calibri"/>
        <family val="2"/>
      </rPr>
      <t>*100/tau</t>
    </r>
    <r>
      <rPr>
        <sz val="11"/>
        <color indexed="10"/>
        <rFont val="Calibri"/>
        <family val="2"/>
      </rPr>
      <t>)</t>
    </r>
  </si>
  <si>
    <t>AMs assoc</t>
  </si>
  <si>
    <t>SAPS3*</t>
  </si>
  <si>
    <t>genero</t>
  </si>
  <si>
    <t>idade</t>
  </si>
  <si>
    <t>Peso real</t>
  </si>
  <si>
    <t xml:space="preserve">altura </t>
  </si>
  <si>
    <t>IMC</t>
  </si>
  <si>
    <t>Scr</t>
  </si>
  <si>
    <t>CLCr mL/min</t>
  </si>
  <si>
    <t xml:space="preserve"> dose/dia</t>
  </si>
  <si>
    <t>dose/dia</t>
  </si>
  <si>
    <t>dose tau</t>
  </si>
  <si>
    <t>Tinf</t>
  </si>
  <si>
    <t>C1</t>
  </si>
  <si>
    <t>C2</t>
  </si>
  <si>
    <t>Kel</t>
  </si>
  <si>
    <t>V/EXP(-X*3)</t>
  </si>
  <si>
    <t>Prev pico</t>
  </si>
  <si>
    <t>Prev vale</t>
  </si>
  <si>
    <t>Pico 3ah</t>
  </si>
  <si>
    <t>kel h-1</t>
  </si>
  <si>
    <r>
      <t>t(1/2)</t>
    </r>
    <r>
      <rPr>
        <b/>
        <sz val="9"/>
        <color indexed="12"/>
        <rFont val="Symbol"/>
        <family val="1"/>
      </rPr>
      <t>b</t>
    </r>
  </si>
  <si>
    <t>ASCtau</t>
  </si>
  <si>
    <t>CL</t>
  </si>
  <si>
    <t>Vd</t>
  </si>
  <si>
    <t>AUC0-24</t>
  </si>
  <si>
    <t>mg/L</t>
  </si>
  <si>
    <t>PT</t>
  </si>
  <si>
    <t>REG HC</t>
  </si>
  <si>
    <t>alocação</t>
  </si>
  <si>
    <t>Nome</t>
  </si>
  <si>
    <t>data coleta</t>
  </si>
  <si>
    <t>anos</t>
  </si>
  <si>
    <t>kg</t>
  </si>
  <si>
    <t>cm</t>
  </si>
  <si>
    <t>m2</t>
  </si>
  <si>
    <t>mg/dL</t>
  </si>
  <si>
    <t>adulto</t>
  </si>
  <si>
    <t>(HxK)/Scr</t>
  </si>
  <si>
    <t>mg</t>
  </si>
  <si>
    <t>mg/kg ideal</t>
  </si>
  <si>
    <t>tau (h)</t>
  </si>
  <si>
    <t>(h)</t>
  </si>
  <si>
    <t>3a h</t>
  </si>
  <si>
    <t>5ah</t>
  </si>
  <si>
    <t>C1:T1 C2:T2</t>
  </si>
  <si>
    <t>C0  mg/L</t>
  </si>
  <si>
    <t xml:space="preserve"> mg/L</t>
  </si>
  <si>
    <t>h-1</t>
  </si>
  <si>
    <t>horas</t>
  </si>
  <si>
    <t>mg*h/L</t>
  </si>
  <si>
    <t>L/h</t>
  </si>
  <si>
    <t>L</t>
  </si>
  <si>
    <t>mL/min</t>
  </si>
  <si>
    <t>mL/min kg</t>
  </si>
  <si>
    <t>L/kg</t>
  </si>
  <si>
    <t>S1</t>
  </si>
  <si>
    <t>S2</t>
  </si>
  <si>
    <t>MODELO</t>
  </si>
  <si>
    <t>kg/m2</t>
  </si>
  <si>
    <t>Mero</t>
  </si>
  <si>
    <t>Calculo intermediário</t>
  </si>
  <si>
    <t>2,7-4,3</t>
  </si>
  <si>
    <t>NAP</t>
  </si>
  <si>
    <t xml:space="preserve">Isolados </t>
  </si>
  <si>
    <t>até 4mg/L</t>
  </si>
  <si>
    <t>0,15-0,17</t>
  </si>
  <si>
    <t>ALVO PK/PD           Mero 100% T&gt;CIM</t>
  </si>
  <si>
    <t>alta</t>
  </si>
  <si>
    <t>obito</t>
  </si>
  <si>
    <t>V-M S3 cvvh</t>
  </si>
  <si>
    <t>cvvh1</t>
  </si>
  <si>
    <t>cvvh2</t>
  </si>
  <si>
    <t>Prescrição diálise</t>
  </si>
  <si>
    <t xml:space="preserve">Vale </t>
  </si>
  <si>
    <t>C=C0.e-kel*t</t>
  </si>
  <si>
    <t>Pt1</t>
  </si>
  <si>
    <t>Pt2</t>
  </si>
  <si>
    <t>Pt3</t>
  </si>
  <si>
    <t>Pt4</t>
  </si>
  <si>
    <t>#369</t>
  </si>
  <si>
    <t>até 8mg/L</t>
  </si>
  <si>
    <t>S3</t>
  </si>
  <si>
    <t>S4</t>
  </si>
  <si>
    <t>V-M S4  cvvh</t>
  </si>
  <si>
    <t xml:space="preserve"> evoluindo IRA</t>
  </si>
  <si>
    <t>#370</t>
  </si>
  <si>
    <t>#371</t>
  </si>
  <si>
    <t>#372</t>
  </si>
  <si>
    <t>Meropenem infusão 3 horas</t>
  </si>
  <si>
    <t>M:1 F:0,85</t>
  </si>
  <si>
    <t>Laboratório Bioanalítico</t>
  </si>
  <si>
    <t>Simulação</t>
  </si>
  <si>
    <t>1000mg q24h</t>
  </si>
  <si>
    <t>500mg q12h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</si>
</sst>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</numFmts>
  <fonts count="80">
    <font>
      <sz val="10"/>
      <name val="Arial"/>
      <family val="0"/>
    </font>
    <font>
      <b/>
      <sz val="11"/>
      <color indexed="17"/>
      <name val="Calibri"/>
      <family val="2"/>
    </font>
    <font>
      <sz val="8"/>
      <name val="Calibri"/>
      <family val="2"/>
    </font>
    <font>
      <b/>
      <sz val="9"/>
      <color indexed="12"/>
      <name val="Calibri"/>
      <family val="2"/>
    </font>
    <font>
      <b/>
      <sz val="8"/>
      <color indexed="12"/>
      <name val="Calibri"/>
      <family val="2"/>
    </font>
    <font>
      <b/>
      <sz val="8"/>
      <color indexed="12"/>
      <name val="Arial"/>
      <family val="2"/>
    </font>
    <font>
      <sz val="8"/>
      <name val="Arial"/>
      <family val="0"/>
    </font>
    <font>
      <sz val="9"/>
      <color indexed="12"/>
      <name val="Calibri"/>
      <family val="2"/>
    </font>
    <font>
      <b/>
      <sz val="8"/>
      <color indexed="9"/>
      <name val="Calibri"/>
      <family val="2"/>
    </font>
    <font>
      <sz val="10"/>
      <color indexed="12"/>
      <name val="Arial"/>
      <family val="2"/>
    </font>
    <font>
      <b/>
      <sz val="9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color indexed="12"/>
      <name val="Arial"/>
      <family val="0"/>
    </font>
    <font>
      <b/>
      <sz val="8"/>
      <name val="Calibri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2"/>
      <color indexed="12"/>
      <name val="Calibri"/>
      <family val="2"/>
    </font>
    <font>
      <b/>
      <sz val="8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b/>
      <sz val="10"/>
      <color indexed="12"/>
      <name val="Calibri"/>
      <family val="2"/>
    </font>
    <font>
      <sz val="11"/>
      <color indexed="19"/>
      <name val="Calibri"/>
      <family val="2"/>
    </font>
    <font>
      <sz val="11"/>
      <color indexed="12"/>
      <name val="Calibri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9"/>
      <color indexed="12"/>
      <name val="Symbol"/>
      <family val="1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7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Calibri"/>
      <family val="2"/>
    </font>
    <font>
      <b/>
      <sz val="8"/>
      <color indexed="17"/>
      <name val="Arial"/>
      <family val="2"/>
    </font>
    <font>
      <sz val="10"/>
      <color indexed="17"/>
      <name val="Arial"/>
      <family val="0"/>
    </font>
    <font>
      <b/>
      <sz val="9"/>
      <color indexed="17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8" fillId="32" borderId="0" applyNumberFormat="0" applyBorder="0" applyAlignment="0" applyProtection="0"/>
    <xf numFmtId="0" fontId="69" fillId="21" borderId="5" applyNumberFormat="0" applyAlignment="0" applyProtection="0"/>
    <xf numFmtId="16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6" fillId="35" borderId="0" xfId="0" applyFont="1" applyFill="1" applyAlignment="1">
      <alignment horizontal="right"/>
    </xf>
    <xf numFmtId="172" fontId="7" fillId="36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" fontId="8" fillId="37" borderId="0" xfId="0" applyNumberFormat="1" applyFont="1" applyFill="1" applyBorder="1" applyAlignment="1">
      <alignment horizontal="center"/>
    </xf>
    <xf numFmtId="172" fontId="5" fillId="36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1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172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2" fontId="20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3" fillId="38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72" fontId="2" fillId="0" borderId="0" xfId="0" applyNumberFormat="1" applyFont="1" applyAlignment="1">
      <alignment horizontal="left"/>
    </xf>
    <xf numFmtId="172" fontId="13" fillId="36" borderId="10" xfId="0" applyNumberFormat="1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13" fillId="36" borderId="12" xfId="0" applyFont="1" applyFill="1" applyBorder="1" applyAlignment="1">
      <alignment/>
    </xf>
    <xf numFmtId="0" fontId="13" fillId="36" borderId="13" xfId="0" applyFont="1" applyFill="1" applyBorder="1" applyAlignment="1">
      <alignment/>
    </xf>
    <xf numFmtId="172" fontId="23" fillId="0" borderId="0" xfId="0" applyNumberFormat="1" applyFont="1" applyBorder="1" applyAlignment="1">
      <alignment/>
    </xf>
    <xf numFmtId="172" fontId="22" fillId="0" borderId="0" xfId="0" applyNumberFormat="1" applyFont="1" applyAlignment="1">
      <alignment horizontal="right"/>
    </xf>
    <xf numFmtId="172" fontId="24" fillId="0" borderId="0" xfId="0" applyNumberFormat="1" applyFont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18" fillId="39" borderId="0" xfId="0" applyFont="1" applyFill="1" applyAlignment="1">
      <alignment/>
    </xf>
    <xf numFmtId="172" fontId="26" fillId="36" borderId="14" xfId="0" applyNumberFormat="1" applyFont="1" applyFill="1" applyBorder="1" applyAlignment="1">
      <alignment/>
    </xf>
    <xf numFmtId="1" fontId="13" fillId="36" borderId="15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8" fillId="35" borderId="0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" fontId="25" fillId="0" borderId="17" xfId="0" applyNumberFormat="1" applyFont="1" applyFill="1" applyBorder="1" applyAlignment="1">
      <alignment horizontal="center"/>
    </xf>
    <xf numFmtId="0" fontId="29" fillId="0" borderId="16" xfId="0" applyFont="1" applyBorder="1" applyAlignment="1">
      <alignment/>
    </xf>
    <xf numFmtId="0" fontId="14" fillId="0" borderId="16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172" fontId="3" fillId="0" borderId="16" xfId="0" applyNumberFormat="1" applyFont="1" applyFill="1" applyBorder="1" applyAlignment="1">
      <alignment horizontal="center"/>
    </xf>
    <xf numFmtId="172" fontId="26" fillId="0" borderId="16" xfId="0" applyNumberFormat="1" applyFont="1" applyFill="1" applyBorder="1" applyAlignment="1">
      <alignment horizontal="center"/>
    </xf>
    <xf numFmtId="172" fontId="31" fillId="37" borderId="16" xfId="0" applyNumberFormat="1" applyFont="1" applyFill="1" applyBorder="1" applyAlignment="1">
      <alignment horizontal="center"/>
    </xf>
    <xf numFmtId="172" fontId="32" fillId="39" borderId="16" xfId="0" applyNumberFormat="1" applyFont="1" applyFill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36" borderId="0" xfId="0" applyNumberFormat="1" applyFont="1" applyFill="1" applyBorder="1" applyAlignment="1">
      <alignment horizontal="center"/>
    </xf>
    <xf numFmtId="172" fontId="3" fillId="40" borderId="0" xfId="0" applyNumberFormat="1" applyFont="1" applyFill="1" applyBorder="1" applyAlignment="1">
      <alignment horizontal="center"/>
    </xf>
    <xf numFmtId="172" fontId="3" fillId="36" borderId="16" xfId="0" applyNumberFormat="1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0" fillId="0" borderId="19" xfId="0" applyBorder="1" applyAlignment="1">
      <alignment/>
    </xf>
    <xf numFmtId="172" fontId="3" fillId="0" borderId="19" xfId="0" applyNumberFormat="1" applyFont="1" applyFill="1" applyBorder="1" applyAlignment="1">
      <alignment horizontal="center"/>
    </xf>
    <xf numFmtId="172" fontId="26" fillId="0" borderId="19" xfId="0" applyNumberFormat="1" applyFont="1" applyFill="1" applyBorder="1" applyAlignment="1">
      <alignment horizontal="center"/>
    </xf>
    <xf numFmtId="0" fontId="34" fillId="37" borderId="19" xfId="0" applyFont="1" applyFill="1" applyBorder="1" applyAlignment="1">
      <alignment horizontal="center"/>
    </xf>
    <xf numFmtId="0" fontId="35" fillId="39" borderId="19" xfId="0" applyFont="1" applyFill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36" borderId="19" xfId="0" applyNumberFormat="1" applyFont="1" applyFill="1" applyBorder="1" applyAlignment="1">
      <alignment horizontal="center"/>
    </xf>
    <xf numFmtId="172" fontId="3" fillId="40" borderId="19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2" fontId="26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25" fillId="41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top" wrapText="1"/>
    </xf>
    <xf numFmtId="0" fontId="13" fillId="36" borderId="0" xfId="0" applyFont="1" applyFill="1" applyBorder="1" applyAlignment="1">
      <alignment/>
    </xf>
    <xf numFmtId="1" fontId="1" fillId="36" borderId="0" xfId="0" applyNumberFormat="1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4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1" fontId="5" fillId="36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2" fontId="4" fillId="36" borderId="0" xfId="0" applyNumberFormat="1" applyFont="1" applyFill="1" applyBorder="1" applyAlignment="1">
      <alignment horizontal="center"/>
    </xf>
    <xf numFmtId="172" fontId="4" fillId="36" borderId="0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172" fontId="6" fillId="36" borderId="0" xfId="0" applyNumberFormat="1" applyFont="1" applyFill="1" applyBorder="1" applyAlignment="1">
      <alignment horizontal="center"/>
    </xf>
    <xf numFmtId="2" fontId="5" fillId="36" borderId="0" xfId="0" applyNumberFormat="1" applyFont="1" applyFill="1" applyBorder="1" applyAlignment="1">
      <alignment horizontal="center"/>
    </xf>
    <xf numFmtId="1" fontId="11" fillId="36" borderId="0" xfId="0" applyNumberFormat="1" applyFont="1" applyFill="1" applyBorder="1" applyAlignment="1">
      <alignment horizontal="center"/>
    </xf>
    <xf numFmtId="2" fontId="5" fillId="36" borderId="0" xfId="0" applyNumberFormat="1" applyFont="1" applyFill="1" applyBorder="1" applyAlignment="1">
      <alignment/>
    </xf>
    <xf numFmtId="172" fontId="5" fillId="36" borderId="20" xfId="0" applyNumberFormat="1" applyFont="1" applyFill="1" applyBorder="1" applyAlignment="1">
      <alignment horizontal="right"/>
    </xf>
    <xf numFmtId="1" fontId="13" fillId="36" borderId="21" xfId="0" applyNumberFormat="1" applyFont="1" applyFill="1" applyBorder="1" applyAlignment="1">
      <alignment horizontal="center"/>
    </xf>
    <xf numFmtId="1" fontId="13" fillId="36" borderId="0" xfId="0" applyNumberFormat="1" applyFont="1" applyFill="1" applyBorder="1" applyAlignment="1">
      <alignment horizontal="center"/>
    </xf>
    <xf numFmtId="1" fontId="18" fillId="36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41" borderId="0" xfId="0" applyFill="1" applyBorder="1" applyAlignment="1">
      <alignment horizontal="center"/>
    </xf>
    <xf numFmtId="0" fontId="0" fillId="0" borderId="21" xfId="0" applyFill="1" applyBorder="1" applyAlignment="1">
      <alignment/>
    </xf>
    <xf numFmtId="173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72" fontId="5" fillId="0" borderId="2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3" fillId="35" borderId="16" xfId="0" applyNumberFormat="1" applyFont="1" applyFill="1" applyBorder="1" applyAlignment="1">
      <alignment horizontal="center"/>
    </xf>
    <xf numFmtId="172" fontId="3" fillId="35" borderId="19" xfId="0" applyNumberFormat="1" applyFont="1" applyFill="1" applyBorder="1" applyAlignment="1">
      <alignment horizontal="center"/>
    </xf>
    <xf numFmtId="0" fontId="37" fillId="42" borderId="0" xfId="0" applyFont="1" applyFill="1" applyBorder="1" applyAlignment="1">
      <alignment/>
    </xf>
    <xf numFmtId="0" fontId="15" fillId="42" borderId="0" xfId="0" applyFont="1" applyFill="1" applyBorder="1" applyAlignment="1">
      <alignment/>
    </xf>
    <xf numFmtId="1" fontId="13" fillId="0" borderId="21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4" fillId="43" borderId="0" xfId="0" applyNumberFormat="1" applyFont="1" applyFill="1" applyBorder="1" applyAlignment="1">
      <alignment horizontal="center"/>
    </xf>
    <xf numFmtId="1" fontId="5" fillId="40" borderId="0" xfId="0" applyNumberFormat="1" applyFont="1" applyFill="1" applyBorder="1" applyAlignment="1">
      <alignment horizontal="center"/>
    </xf>
    <xf numFmtId="172" fontId="5" fillId="40" borderId="0" xfId="0" applyNumberFormat="1" applyFont="1" applyFill="1" applyBorder="1" applyAlignment="1">
      <alignment horizontal="center"/>
    </xf>
    <xf numFmtId="172" fontId="5" fillId="40" borderId="0" xfId="0" applyNumberFormat="1" applyFont="1" applyFill="1" applyAlignment="1">
      <alignment horizontal="center"/>
    </xf>
    <xf numFmtId="0" fontId="0" fillId="40" borderId="0" xfId="0" applyFill="1" applyAlignment="1">
      <alignment/>
    </xf>
    <xf numFmtId="172" fontId="10" fillId="40" borderId="19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172" fontId="41" fillId="0" borderId="0" xfId="0" applyNumberFormat="1" applyFont="1" applyFill="1" applyBorder="1" applyAlignment="1">
      <alignment horizontal="center"/>
    </xf>
    <xf numFmtId="172" fontId="41" fillId="0" borderId="19" xfId="0" applyNumberFormat="1" applyFont="1" applyFill="1" applyBorder="1" applyAlignment="1">
      <alignment horizontal="center"/>
    </xf>
    <xf numFmtId="172" fontId="39" fillId="36" borderId="0" xfId="0" applyNumberFormat="1" applyFont="1" applyFill="1" applyAlignment="1">
      <alignment horizontal="center"/>
    </xf>
    <xf numFmtId="173" fontId="39" fillId="36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42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Border="1" applyAlignment="1" quotePrefix="1">
      <alignment horizontal="center"/>
    </xf>
    <xf numFmtId="172" fontId="38" fillId="0" borderId="0" xfId="0" applyNumberFormat="1" applyFont="1" applyFill="1" applyBorder="1" applyAlignment="1">
      <alignment horizontal="center"/>
    </xf>
    <xf numFmtId="0" fontId="4" fillId="43" borderId="0" xfId="0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Alignment="1">
      <alignment horizontal="right"/>
    </xf>
    <xf numFmtId="1" fontId="22" fillId="0" borderId="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4" fillId="36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3" fillId="43" borderId="0" xfId="0" applyFont="1" applyFill="1" applyAlignment="1">
      <alignment/>
    </xf>
    <xf numFmtId="173" fontId="77" fillId="36" borderId="0" xfId="0" applyNumberFormat="1" applyFont="1" applyFill="1" applyBorder="1" applyAlignment="1">
      <alignment horizontal="center"/>
    </xf>
    <xf numFmtId="1" fontId="78" fillId="0" borderId="0" xfId="0" applyNumberFormat="1" applyFont="1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  <xf numFmtId="172" fontId="4" fillId="44" borderId="0" xfId="0" applyNumberFormat="1" applyFont="1" applyFill="1" applyBorder="1" applyAlignment="1">
      <alignment horizontal="center"/>
    </xf>
    <xf numFmtId="0" fontId="26" fillId="44" borderId="0" xfId="0" applyFont="1" applyFill="1" applyBorder="1" applyAlignment="1">
      <alignment horizontal="center"/>
    </xf>
    <xf numFmtId="2" fontId="4" fillId="44" borderId="0" xfId="0" applyNumberFormat="1" applyFont="1" applyFill="1" applyBorder="1" applyAlignment="1">
      <alignment horizontal="center"/>
    </xf>
    <xf numFmtId="172" fontId="3" fillId="44" borderId="0" xfId="0" applyNumberFormat="1" applyFont="1" applyFill="1" applyBorder="1" applyAlignment="1">
      <alignment horizontal="center"/>
    </xf>
    <xf numFmtId="172" fontId="38" fillId="44" borderId="0" xfId="0" applyNumberFormat="1" applyFont="1" applyFill="1" applyAlignment="1">
      <alignment horizontal="center"/>
    </xf>
    <xf numFmtId="173" fontId="39" fillId="44" borderId="0" xfId="0" applyNumberFormat="1" applyFont="1" applyFill="1" applyBorder="1" applyAlignment="1">
      <alignment horizontal="center"/>
    </xf>
    <xf numFmtId="1" fontId="5" fillId="44" borderId="0" xfId="0" applyNumberFormat="1" applyFont="1" applyFill="1" applyBorder="1" applyAlignment="1">
      <alignment horizontal="center"/>
    </xf>
    <xf numFmtId="172" fontId="5" fillId="44" borderId="0" xfId="0" applyNumberFormat="1" applyFont="1" applyFill="1" applyBorder="1" applyAlignment="1">
      <alignment horizontal="center"/>
    </xf>
    <xf numFmtId="172" fontId="5" fillId="44" borderId="0" xfId="0" applyNumberFormat="1" applyFont="1" applyFill="1" applyAlignment="1">
      <alignment horizontal="center"/>
    </xf>
    <xf numFmtId="172" fontId="77" fillId="44" borderId="0" xfId="0" applyNumberFormat="1" applyFont="1" applyFill="1" applyBorder="1" applyAlignment="1">
      <alignment horizontal="center"/>
    </xf>
    <xf numFmtId="173" fontId="77" fillId="44" borderId="0" xfId="0" applyNumberFormat="1" applyFont="1" applyFill="1" applyBorder="1" applyAlignment="1">
      <alignment horizontal="center"/>
    </xf>
    <xf numFmtId="1" fontId="11" fillId="44" borderId="0" xfId="0" applyNumberFormat="1" applyFont="1" applyFill="1" applyBorder="1" applyAlignment="1">
      <alignment horizontal="center"/>
    </xf>
    <xf numFmtId="2" fontId="5" fillId="44" borderId="0" xfId="0" applyNumberFormat="1" applyFont="1" applyFill="1" applyBorder="1" applyAlignment="1">
      <alignment/>
    </xf>
    <xf numFmtId="172" fontId="5" fillId="44" borderId="20" xfId="0" applyNumberFormat="1" applyFont="1" applyFill="1" applyBorder="1" applyAlignment="1">
      <alignment horizontal="right"/>
    </xf>
    <xf numFmtId="2" fontId="4" fillId="45" borderId="0" xfId="0" applyNumberFormat="1" applyFont="1" applyFill="1" applyBorder="1" applyAlignment="1">
      <alignment horizontal="center"/>
    </xf>
    <xf numFmtId="172" fontId="4" fillId="45" borderId="0" xfId="0" applyNumberFormat="1" applyFont="1" applyFill="1" applyBorder="1" applyAlignment="1">
      <alignment horizontal="center"/>
    </xf>
    <xf numFmtId="2" fontId="79" fillId="0" borderId="0" xfId="0" applyNumberFormat="1" applyFont="1" applyFill="1" applyBorder="1" applyAlignment="1">
      <alignment horizontal="center"/>
    </xf>
    <xf numFmtId="0" fontId="43" fillId="45" borderId="0" xfId="0" applyFont="1" applyFill="1" applyAlignment="1">
      <alignment/>
    </xf>
    <xf numFmtId="173" fontId="2" fillId="45" borderId="0" xfId="0" applyNumberFormat="1" applyFont="1" applyFill="1" applyBorder="1" applyAlignment="1">
      <alignment horizontal="center"/>
    </xf>
    <xf numFmtId="172" fontId="18" fillId="45" borderId="0" xfId="0" applyNumberFormat="1" applyFont="1" applyFill="1" applyBorder="1" applyAlignment="1">
      <alignment horizontal="center"/>
    </xf>
    <xf numFmtId="1" fontId="2" fillId="45" borderId="0" xfId="0" applyNumberFormat="1" applyFont="1" applyFill="1" applyBorder="1" applyAlignment="1">
      <alignment horizontal="center"/>
    </xf>
    <xf numFmtId="2" fontId="18" fillId="45" borderId="0" xfId="0" applyNumberFormat="1" applyFont="1" applyFill="1" applyBorder="1" applyAlignment="1">
      <alignment/>
    </xf>
    <xf numFmtId="172" fontId="18" fillId="45" borderId="20" xfId="0" applyNumberFormat="1" applyFont="1" applyFill="1" applyBorder="1" applyAlignment="1">
      <alignment horizontal="right"/>
    </xf>
    <xf numFmtId="1" fontId="4" fillId="45" borderId="0" xfId="0" applyNumberFormat="1" applyFont="1" applyFill="1" applyBorder="1" applyAlignment="1">
      <alignment horizontal="center"/>
    </xf>
    <xf numFmtId="172" fontId="4" fillId="45" borderId="0" xfId="0" applyNumberFormat="1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2"/>
  <sheetViews>
    <sheetView tabSelected="1" zoomScalePageLayoutView="0" workbookViewId="0" topLeftCell="AA1">
      <selection activeCell="AS1" sqref="AS1"/>
    </sheetView>
  </sheetViews>
  <sheetFormatPr defaultColWidth="9.140625" defaultRowHeight="12.75"/>
  <cols>
    <col min="4" max="4" width="21.421875" style="0" customWidth="1"/>
    <col min="5" max="5" width="12.8515625" style="0" customWidth="1"/>
    <col min="26" max="26" width="11.140625" style="0" customWidth="1"/>
    <col min="27" max="27" width="11.8515625" style="0" customWidth="1"/>
    <col min="28" max="28" width="11.421875" style="0" customWidth="1"/>
    <col min="36" max="36" width="11.00390625" style="0" customWidth="1"/>
    <col min="44" max="44" width="15.140625" style="0" customWidth="1"/>
  </cols>
  <sheetData>
    <row r="1" spans="1:48" ht="15.75" thickBot="1">
      <c r="A1" s="40"/>
      <c r="B1" s="41"/>
      <c r="C1" s="42"/>
      <c r="D1" s="43"/>
      <c r="E1" s="44"/>
      <c r="F1" s="44"/>
      <c r="G1" s="44"/>
      <c r="H1" s="44"/>
      <c r="I1" s="44"/>
      <c r="J1" s="44"/>
      <c r="K1" s="44"/>
      <c r="L1" s="44"/>
      <c r="M1" s="42" t="s">
        <v>7</v>
      </c>
      <c r="O1" s="45" t="s">
        <v>8</v>
      </c>
      <c r="U1" s="42"/>
      <c r="V1" s="14"/>
      <c r="X1" s="14" t="s">
        <v>115</v>
      </c>
      <c r="Y1" s="14"/>
      <c r="Z1" s="14"/>
      <c r="AA1" s="14"/>
      <c r="AB1" s="14"/>
      <c r="AE1" s="46" t="s">
        <v>9</v>
      </c>
      <c r="AF1" s="47" t="s">
        <v>10</v>
      </c>
      <c r="AH1" s="47" t="s">
        <v>11</v>
      </c>
      <c r="AI1" s="48" t="s">
        <v>12</v>
      </c>
      <c r="AJ1" s="49"/>
      <c r="AK1" s="100" t="s">
        <v>86</v>
      </c>
      <c r="AL1" s="100" t="s">
        <v>90</v>
      </c>
      <c r="AM1" s="50"/>
      <c r="AN1" s="134" t="s">
        <v>91</v>
      </c>
      <c r="AO1" s="135"/>
      <c r="AP1" s="134"/>
      <c r="AQ1" s="135"/>
      <c r="AS1" s="42"/>
      <c r="AT1" s="42"/>
      <c r="AU1" s="42"/>
      <c r="AV1" s="42"/>
    </row>
    <row r="2" spans="1:48" ht="18.75" thickBot="1">
      <c r="A2" s="42"/>
      <c r="B2" s="42"/>
      <c r="C2" s="42"/>
      <c r="D2" s="42"/>
      <c r="E2" s="42"/>
      <c r="F2" s="42"/>
      <c r="G2" s="42"/>
      <c r="H2" s="42"/>
      <c r="I2" s="42" t="s">
        <v>13</v>
      </c>
      <c r="J2" s="42"/>
      <c r="K2" s="51" t="s">
        <v>14</v>
      </c>
      <c r="L2" s="52"/>
      <c r="M2" s="53" t="s">
        <v>15</v>
      </c>
      <c r="N2" s="52"/>
      <c r="O2" s="54" t="s">
        <v>16</v>
      </c>
      <c r="P2" s="55" t="s">
        <v>17</v>
      </c>
      <c r="Q2" s="42"/>
      <c r="R2" s="42"/>
      <c r="S2" s="42"/>
      <c r="T2" s="42"/>
      <c r="U2" s="42"/>
      <c r="V2" s="56"/>
      <c r="W2" s="144" t="s">
        <v>18</v>
      </c>
      <c r="X2" s="144" t="s">
        <v>19</v>
      </c>
      <c r="Y2" s="145"/>
      <c r="Z2" s="167" t="s">
        <v>20</v>
      </c>
      <c r="AA2" s="145" t="s">
        <v>99</v>
      </c>
      <c r="AB2" s="145" t="s">
        <v>99</v>
      </c>
      <c r="AD2" s="57"/>
      <c r="AE2" s="58" t="s">
        <v>21</v>
      </c>
      <c r="AF2" s="59"/>
      <c r="AH2" s="60"/>
      <c r="AI2" s="60"/>
      <c r="AJ2" s="99" t="s">
        <v>85</v>
      </c>
      <c r="AK2" s="61" t="s">
        <v>22</v>
      </c>
      <c r="AL2" s="61" t="s">
        <v>22</v>
      </c>
      <c r="AM2" s="42"/>
      <c r="AN2" s="62" t="s">
        <v>23</v>
      </c>
      <c r="AO2" s="62"/>
      <c r="AP2" s="63"/>
      <c r="AQ2" s="64"/>
      <c r="AS2" s="42"/>
      <c r="AT2" s="42"/>
      <c r="AU2" s="42"/>
      <c r="AV2" s="42"/>
    </row>
    <row r="3" spans="1:48" ht="15">
      <c r="A3" s="65"/>
      <c r="B3" s="66" t="s">
        <v>113</v>
      </c>
      <c r="C3" s="67"/>
      <c r="D3" s="68"/>
      <c r="E3" s="69" t="s">
        <v>24</v>
      </c>
      <c r="F3" s="69" t="s">
        <v>25</v>
      </c>
      <c r="G3" s="70" t="s">
        <v>26</v>
      </c>
      <c r="H3" s="70" t="s">
        <v>27</v>
      </c>
      <c r="I3" s="70" t="s">
        <v>16</v>
      </c>
      <c r="J3" s="70" t="s">
        <v>28</v>
      </c>
      <c r="K3" s="70" t="s">
        <v>29</v>
      </c>
      <c r="L3" s="71" t="s">
        <v>14</v>
      </c>
      <c r="M3" s="71" t="s">
        <v>30</v>
      </c>
      <c r="N3" s="71" t="s">
        <v>31</v>
      </c>
      <c r="O3" s="72" t="s">
        <v>32</v>
      </c>
      <c r="P3" s="73" t="s">
        <v>22</v>
      </c>
      <c r="Q3" s="74" t="s">
        <v>33</v>
      </c>
      <c r="R3" s="74" t="s">
        <v>34</v>
      </c>
      <c r="S3" s="74" t="s">
        <v>35</v>
      </c>
      <c r="T3" s="74" t="s">
        <v>35</v>
      </c>
      <c r="U3" s="70"/>
      <c r="V3" s="10" t="s">
        <v>36</v>
      </c>
      <c r="W3" s="146" t="s">
        <v>37</v>
      </c>
      <c r="X3" s="146" t="s">
        <v>38</v>
      </c>
      <c r="Y3" s="146" t="s">
        <v>39</v>
      </c>
      <c r="Z3" s="142" t="s">
        <v>40</v>
      </c>
      <c r="AA3" s="76" t="s">
        <v>41</v>
      </c>
      <c r="AB3" s="76" t="s">
        <v>42</v>
      </c>
      <c r="AC3" s="70" t="s">
        <v>43</v>
      </c>
      <c r="AD3" s="70" t="s">
        <v>98</v>
      </c>
      <c r="AE3" s="77" t="s">
        <v>44</v>
      </c>
      <c r="AF3" s="77" t="s">
        <v>45</v>
      </c>
      <c r="AG3" s="77" t="s">
        <v>46</v>
      </c>
      <c r="AH3" s="77" t="s">
        <v>47</v>
      </c>
      <c r="AI3" s="77" t="s">
        <v>48</v>
      </c>
      <c r="AJ3" s="70" t="s">
        <v>47</v>
      </c>
      <c r="AK3" s="132" t="s">
        <v>47</v>
      </c>
      <c r="AL3" s="132" t="s">
        <v>48</v>
      </c>
      <c r="AM3" s="78" t="s">
        <v>49</v>
      </c>
      <c r="AN3" s="93" t="s">
        <v>50</v>
      </c>
      <c r="AO3" s="93" t="s">
        <v>50</v>
      </c>
      <c r="AP3" s="93" t="s">
        <v>50</v>
      </c>
      <c r="AQ3" s="93" t="s">
        <v>50</v>
      </c>
      <c r="AR3" s="79"/>
      <c r="AS3" s="124"/>
      <c r="AT3" s="42"/>
      <c r="AU3" s="42"/>
      <c r="AV3" s="42"/>
    </row>
    <row r="4" spans="1:48" ht="15.75" thickBot="1">
      <c r="A4" s="80" t="s">
        <v>51</v>
      </c>
      <c r="B4" s="81" t="s">
        <v>52</v>
      </c>
      <c r="C4" s="82" t="s">
        <v>53</v>
      </c>
      <c r="D4" s="82" t="s">
        <v>54</v>
      </c>
      <c r="E4" s="82" t="s">
        <v>55</v>
      </c>
      <c r="F4" s="82"/>
      <c r="G4" s="83" t="s">
        <v>114</v>
      </c>
      <c r="H4" s="83" t="s">
        <v>56</v>
      </c>
      <c r="I4" s="83" t="s">
        <v>57</v>
      </c>
      <c r="J4" s="83" t="s">
        <v>57</v>
      </c>
      <c r="K4" s="83" t="s">
        <v>58</v>
      </c>
      <c r="L4" s="84" t="s">
        <v>59</v>
      </c>
      <c r="M4" s="84" t="s">
        <v>83</v>
      </c>
      <c r="N4" s="84" t="s">
        <v>60</v>
      </c>
      <c r="O4" s="85" t="s">
        <v>61</v>
      </c>
      <c r="P4" s="86" t="s">
        <v>62</v>
      </c>
      <c r="Q4" s="87" t="s">
        <v>63</v>
      </c>
      <c r="R4" s="87" t="s">
        <v>64</v>
      </c>
      <c r="S4" s="87" t="s">
        <v>63</v>
      </c>
      <c r="T4" s="87" t="s">
        <v>64</v>
      </c>
      <c r="U4" s="87" t="s">
        <v>65</v>
      </c>
      <c r="V4" s="83" t="s">
        <v>66</v>
      </c>
      <c r="W4" s="147" t="s">
        <v>67</v>
      </c>
      <c r="X4" s="147" t="s">
        <v>68</v>
      </c>
      <c r="Y4" s="147" t="s">
        <v>69</v>
      </c>
      <c r="Z4" s="143" t="s">
        <v>70</v>
      </c>
      <c r="AA4" s="89" t="s">
        <v>71</v>
      </c>
      <c r="AB4" s="89" t="s">
        <v>71</v>
      </c>
      <c r="AC4" s="10" t="s">
        <v>71</v>
      </c>
      <c r="AD4" s="10" t="s">
        <v>50</v>
      </c>
      <c r="AE4" s="88" t="s">
        <v>72</v>
      </c>
      <c r="AF4" s="88" t="s">
        <v>73</v>
      </c>
      <c r="AG4" s="88" t="s">
        <v>74</v>
      </c>
      <c r="AH4" s="88" t="s">
        <v>75</v>
      </c>
      <c r="AI4" s="88" t="s">
        <v>76</v>
      </c>
      <c r="AJ4" s="83" t="s">
        <v>77</v>
      </c>
      <c r="AK4" s="133" t="s">
        <v>78</v>
      </c>
      <c r="AL4" s="133" t="s">
        <v>79</v>
      </c>
      <c r="AM4" s="83" t="s">
        <v>74</v>
      </c>
      <c r="AN4" s="125">
        <v>1</v>
      </c>
      <c r="AO4" s="125">
        <v>2</v>
      </c>
      <c r="AP4" s="93">
        <v>4</v>
      </c>
      <c r="AQ4" s="93">
        <v>8</v>
      </c>
      <c r="AR4" s="122" t="s">
        <v>88</v>
      </c>
      <c r="AS4" s="122"/>
      <c r="AT4" s="122"/>
      <c r="AU4" s="122"/>
      <c r="AV4" s="42"/>
    </row>
    <row r="5" spans="1:49" ht="15">
      <c r="A5" s="101" t="s">
        <v>82</v>
      </c>
      <c r="B5" s="102"/>
      <c r="C5" s="103"/>
      <c r="D5" s="103"/>
      <c r="E5" s="104" t="s">
        <v>84</v>
      </c>
      <c r="F5" s="105">
        <v>64</v>
      </c>
      <c r="G5" s="97">
        <v>0.85</v>
      </c>
      <c r="H5" s="106">
        <v>57</v>
      </c>
      <c r="I5" s="5">
        <f>(K5-100)*G5</f>
        <v>51</v>
      </c>
      <c r="J5" s="105">
        <v>70</v>
      </c>
      <c r="K5" s="107">
        <v>160</v>
      </c>
      <c r="L5" s="108">
        <f>(167.2*SQRT(J5)*SQRT(K5))/10000</f>
        <v>1.7694784768399983</v>
      </c>
      <c r="M5" s="109">
        <f>J5/((K5/100)^2)</f>
        <v>27.343749999999996</v>
      </c>
      <c r="N5" s="108">
        <v>0.55</v>
      </c>
      <c r="O5" s="119">
        <f>(((140-H5)*I5)/(72*N5))*G5</f>
        <v>90.85984848484848</v>
      </c>
      <c r="P5" s="169" t="s">
        <v>87</v>
      </c>
      <c r="Q5" s="110">
        <f>S5*24/U5</f>
        <v>3000</v>
      </c>
      <c r="R5" s="9">
        <f>Q5/I5</f>
        <v>58.8235294117647</v>
      </c>
      <c r="S5" s="111">
        <v>1000</v>
      </c>
      <c r="T5" s="112">
        <f>S5/I5</f>
        <v>19.607843137254903</v>
      </c>
      <c r="U5" s="113">
        <v>8</v>
      </c>
      <c r="V5" s="75">
        <v>3</v>
      </c>
      <c r="W5" s="148">
        <v>39</v>
      </c>
      <c r="X5" s="148">
        <v>20</v>
      </c>
      <c r="Y5" s="149">
        <f>(LN(W5)-LN(X5))/(2)</f>
        <v>0.3339146862878277</v>
      </c>
      <c r="Z5" s="139">
        <f>W5/EXP(-Y5*V5)</f>
        <v>106.19804553286279</v>
      </c>
      <c r="AA5" s="140">
        <f>Z5*EXP(-Y5*V5)</f>
        <v>39</v>
      </c>
      <c r="AB5" s="141">
        <f>Z5*EXP(-Y5*U5)</f>
        <v>7.344767938865977</v>
      </c>
      <c r="AC5" s="11">
        <f>AA5</f>
        <v>39</v>
      </c>
      <c r="AD5" s="11">
        <f>AB5</f>
        <v>7.344767938865977</v>
      </c>
      <c r="AE5" s="173">
        <f>(LN(AC5)-LN(AD5))/(U5-V5)</f>
        <v>0.3339146862878277</v>
      </c>
      <c r="AF5" s="9">
        <f>0.693/AE5</f>
        <v>2.075380414393178</v>
      </c>
      <c r="AG5" s="114">
        <f>(((AD5+AC5)/2)*V5)+(((AC5+AD5)/2)*(U5-V5))</f>
        <v>185.3790717554639</v>
      </c>
      <c r="AH5" s="115">
        <f>S5/AG5</f>
        <v>5.394352180806655</v>
      </c>
      <c r="AI5" s="116">
        <f>AH5/AE5</f>
        <v>16.154881478189406</v>
      </c>
      <c r="AJ5" s="131">
        <f>AH5*1000/60</f>
        <v>89.90586968011091</v>
      </c>
      <c r="AK5" s="29">
        <f>AJ5/J5</f>
        <v>1.2843695668587274</v>
      </c>
      <c r="AL5" s="29">
        <f>AI5/J5</f>
        <v>0.2307840211169915</v>
      </c>
      <c r="AM5" s="26">
        <f>AG5*24/U5</f>
        <v>556.1372152663918</v>
      </c>
      <c r="AN5" s="117">
        <f>ABS((((LN($AN$4)-LN(AD5))/AE5)-U5)*100/U5)</f>
        <v>174.6443738690386</v>
      </c>
      <c r="AO5" s="118">
        <f>ABS((((LN($AO$4)-LN(AD5))/AE5)-U5)*100/U5)</f>
        <v>148.69660902730047</v>
      </c>
      <c r="AP5" s="118">
        <f>ABS((((LN($AP$4)-LN(AD5))/AE5)-U5)*100/U5)</f>
        <v>122.7488441855623</v>
      </c>
      <c r="AQ5" s="118">
        <f>ABS((((LN($AQ$4)-LN(AD5))/AE5)-U5)*100/U5)</f>
        <v>96.80107934382418</v>
      </c>
      <c r="AR5" s="120" t="s">
        <v>89</v>
      </c>
      <c r="AS5" s="120"/>
      <c r="AT5" s="120"/>
      <c r="AU5" s="12"/>
      <c r="AV5" s="13"/>
      <c r="AW5" s="14"/>
    </row>
    <row r="6" spans="1:47" ht="15">
      <c r="A6" s="39"/>
      <c r="B6" s="90"/>
      <c r="C6" s="42"/>
      <c r="D6" s="42"/>
      <c r="E6" s="42"/>
      <c r="F6" s="42"/>
      <c r="G6" s="10"/>
      <c r="H6" s="10"/>
      <c r="I6" s="36"/>
      <c r="J6" s="10"/>
      <c r="K6" s="10"/>
      <c r="L6" s="91"/>
      <c r="M6" s="91"/>
      <c r="N6" s="91"/>
      <c r="O6" s="98"/>
      <c r="P6" s="170"/>
      <c r="Q6" s="87"/>
      <c r="R6" s="87"/>
      <c r="S6" s="87"/>
      <c r="T6" s="87"/>
      <c r="U6" s="87"/>
      <c r="V6" s="10"/>
      <c r="W6" s="10"/>
      <c r="X6" s="10"/>
      <c r="Y6" s="10"/>
      <c r="Z6" s="92"/>
      <c r="AA6" s="10"/>
      <c r="AB6" s="10"/>
      <c r="AC6" s="10"/>
      <c r="AD6" s="10"/>
      <c r="AE6" s="127"/>
      <c r="AF6" s="11"/>
      <c r="AG6" s="128"/>
      <c r="AH6" s="129"/>
      <c r="AI6" s="130"/>
      <c r="AJ6" s="131"/>
      <c r="AK6" s="10"/>
      <c r="AL6" s="10"/>
      <c r="AM6" s="10"/>
      <c r="AN6" s="126"/>
      <c r="AO6" s="56"/>
      <c r="AP6" s="122"/>
      <c r="AQ6" s="122"/>
      <c r="AR6" s="121"/>
      <c r="AS6" s="121"/>
      <c r="AT6" s="122"/>
      <c r="AU6" s="122"/>
    </row>
    <row r="7" spans="1:47" ht="15">
      <c r="A7" s="39"/>
      <c r="B7" s="90"/>
      <c r="C7" s="95" t="s">
        <v>100</v>
      </c>
      <c r="D7" s="42"/>
      <c r="E7" s="42"/>
      <c r="F7" s="42"/>
      <c r="G7" s="10"/>
      <c r="H7" s="10"/>
      <c r="I7" s="36"/>
      <c r="J7" s="10"/>
      <c r="K7" s="10"/>
      <c r="L7" s="91"/>
      <c r="M7" s="91"/>
      <c r="N7" s="91"/>
      <c r="O7" s="98"/>
      <c r="P7" s="170"/>
      <c r="Q7" s="87"/>
      <c r="R7" s="87"/>
      <c r="S7" s="87"/>
      <c r="T7" s="87"/>
      <c r="U7" s="87"/>
      <c r="V7" s="10"/>
      <c r="W7" s="10"/>
      <c r="X7" s="10"/>
      <c r="Y7" s="10"/>
      <c r="Z7" s="92"/>
      <c r="AA7" s="10"/>
      <c r="AB7" s="10"/>
      <c r="AC7" s="10"/>
      <c r="AD7" s="10"/>
      <c r="AE7" s="127"/>
      <c r="AF7" s="11"/>
      <c r="AG7" s="128"/>
      <c r="AH7" s="129"/>
      <c r="AI7" s="130"/>
      <c r="AJ7" s="131"/>
      <c r="AK7" s="10"/>
      <c r="AL7" s="10"/>
      <c r="AM7" s="10"/>
      <c r="AN7" s="126"/>
      <c r="AO7" s="56"/>
      <c r="AP7" s="122"/>
      <c r="AQ7" s="122"/>
      <c r="AR7" s="121"/>
      <c r="AS7" s="121"/>
      <c r="AT7" s="122"/>
      <c r="AU7" s="122"/>
    </row>
    <row r="8" spans="2:50" ht="15">
      <c r="B8" s="1" t="s">
        <v>0</v>
      </c>
      <c r="C8" s="2" t="s">
        <v>104</v>
      </c>
      <c r="D8" t="s">
        <v>1</v>
      </c>
      <c r="E8" s="39" t="s">
        <v>80</v>
      </c>
      <c r="F8" s="3">
        <v>48</v>
      </c>
      <c r="G8" s="4">
        <v>0.85</v>
      </c>
      <c r="H8" s="35">
        <v>47</v>
      </c>
      <c r="I8" s="36">
        <f aca="true" t="shared" si="0" ref="I8:I21">(K8-100)*G8</f>
        <v>51</v>
      </c>
      <c r="J8" s="33">
        <v>75</v>
      </c>
      <c r="K8" s="37">
        <v>160</v>
      </c>
      <c r="L8" s="190">
        <f>(167.2*SQRT(J8)*SQRT(K8))/10000</f>
        <v>1.8315842322972755</v>
      </c>
      <c r="M8" s="191">
        <f>J8/((K8/100)^2)</f>
        <v>29.296874999999993</v>
      </c>
      <c r="N8" s="6">
        <v>0.88</v>
      </c>
      <c r="O8" s="8">
        <f>(((140-H8)*I8)/(72*N8))*G8</f>
        <v>63.62926136363636</v>
      </c>
      <c r="P8" s="171" t="s">
        <v>87</v>
      </c>
      <c r="Q8" s="150">
        <f>S8*24/U8</f>
        <v>3000</v>
      </c>
      <c r="R8" s="7">
        <f>Q8/I8</f>
        <v>58.8235294117647</v>
      </c>
      <c r="S8" s="151">
        <v>1000</v>
      </c>
      <c r="T8" s="7">
        <f>S8/I8</f>
        <v>19.607843137254903</v>
      </c>
      <c r="U8" s="6">
        <v>8</v>
      </c>
      <c r="V8" s="10">
        <v>3</v>
      </c>
      <c r="W8" s="152">
        <v>29</v>
      </c>
      <c r="X8" s="152">
        <v>20</v>
      </c>
      <c r="Y8" s="149">
        <f>(LN(W8)-LN(X8))/(2)</f>
        <v>0.18578177821624164</v>
      </c>
      <c r="Z8" s="139">
        <f>W8/EXP(-Y8*V8)</f>
        <v>50.634905203821624</v>
      </c>
      <c r="AA8" s="140">
        <f>Z8*EXP(-Y8*V8)</f>
        <v>29</v>
      </c>
      <c r="AB8" s="141">
        <f>Z8*EXP(-Y8*U8)</f>
        <v>11.454548945343436</v>
      </c>
      <c r="AC8" s="11">
        <f>AA8</f>
        <v>29</v>
      </c>
      <c r="AD8" s="11">
        <f>AB8</f>
        <v>11.454548945343436</v>
      </c>
      <c r="AE8" s="173">
        <f>(LN(AC8)-LN(AD8))/(U8-V8)</f>
        <v>0.18578177821624164</v>
      </c>
      <c r="AF8" s="9">
        <f>0.693/AE8</f>
        <v>3.7301828341495313</v>
      </c>
      <c r="AG8" s="114">
        <f>(((AD8+AC8)/2)*V8)+(((AC8+AD8)/2)*(U8-V8))</f>
        <v>161.81819578137373</v>
      </c>
      <c r="AH8" s="115">
        <f>S8/AG8</f>
        <v>6.179774747649894</v>
      </c>
      <c r="AI8" s="116">
        <f>AH8/AE8</f>
        <v>33.26362147560518</v>
      </c>
      <c r="AJ8" s="131">
        <f>AH8*1000/60</f>
        <v>102.9962457941649</v>
      </c>
      <c r="AK8" s="29">
        <f>AJ8/J8</f>
        <v>1.3732832772555321</v>
      </c>
      <c r="AL8" s="29">
        <f>AI8/J8</f>
        <v>0.44351495300806903</v>
      </c>
      <c r="AM8" s="26">
        <f>AG8*24/U8</f>
        <v>485.4545873441212</v>
      </c>
      <c r="AN8" s="117">
        <f>ABS((((LN($AN$4)-LN(AD8))/AE8)-U8)*100/U8)</f>
        <v>264.06257399925767</v>
      </c>
      <c r="AO8" s="118">
        <f>ABS((((LN($AO$4)-LN(AD8))/AE8)-U8)*100/U8)</f>
        <v>217.42538578742767</v>
      </c>
      <c r="AP8" s="118">
        <f>ABS((((LN($AP$4)-LN(AD8))/AE8)-U8)*100/U8)</f>
        <v>170.78819757559774</v>
      </c>
      <c r="AQ8" s="118">
        <f>ABS((((LN($AQ$4)-LN(AD8))/AE8)-U8)*100/U8)</f>
        <v>124.15100936376776</v>
      </c>
      <c r="AR8" s="120" t="s">
        <v>89</v>
      </c>
      <c r="AS8" s="120"/>
      <c r="AT8" s="120"/>
      <c r="AU8" s="12"/>
      <c r="AV8" s="13"/>
      <c r="AW8" s="164"/>
      <c r="AX8" s="165"/>
    </row>
    <row r="9" spans="2:100" s="14" customFormat="1" ht="15.75">
      <c r="B9" s="1" t="s">
        <v>92</v>
      </c>
      <c r="C9" s="2"/>
      <c r="D9" s="168" t="s">
        <v>109</v>
      </c>
      <c r="E9" s="39" t="s">
        <v>81</v>
      </c>
      <c r="F9" s="3">
        <v>48</v>
      </c>
      <c r="G9" s="4">
        <v>0.85</v>
      </c>
      <c r="H9" s="35">
        <v>47</v>
      </c>
      <c r="I9" s="36">
        <f t="shared" si="0"/>
        <v>51</v>
      </c>
      <c r="J9" s="33">
        <v>75</v>
      </c>
      <c r="K9" s="37">
        <v>160</v>
      </c>
      <c r="L9" s="190"/>
      <c r="M9" s="191"/>
      <c r="N9" s="137">
        <v>3.42</v>
      </c>
      <c r="O9" s="8">
        <f>(((140-H9)*I9)/(72*N9))*G9</f>
        <v>16.372441520467834</v>
      </c>
      <c r="P9" s="171" t="s">
        <v>87</v>
      </c>
      <c r="Q9" s="150">
        <f>S9*24/U9</f>
        <v>1000</v>
      </c>
      <c r="R9" s="7">
        <f>Q9/I9</f>
        <v>19.607843137254903</v>
      </c>
      <c r="S9" s="151">
        <v>1000</v>
      </c>
      <c r="T9" s="7">
        <f>S9/I9</f>
        <v>19.607843137254903</v>
      </c>
      <c r="U9" s="6">
        <v>24</v>
      </c>
      <c r="V9" s="10">
        <v>3</v>
      </c>
      <c r="W9" s="152">
        <v>49.2</v>
      </c>
      <c r="X9" s="152">
        <v>40.4</v>
      </c>
      <c r="Y9" s="149">
        <f>(LN(W9)-LN(X9))/(2)</f>
        <v>0.09853191926557892</v>
      </c>
      <c r="Z9" s="139">
        <f>W9/EXP(-Y9*V9)</f>
        <v>66.1211973344255</v>
      </c>
      <c r="AA9" s="140">
        <f>Z9*EXP(-Y9*V9)</f>
        <v>49.2</v>
      </c>
      <c r="AB9" s="141">
        <f>Z9*EXP(-Y9*U9)</f>
        <v>6.213493629035735</v>
      </c>
      <c r="AC9" s="11">
        <f>AA9</f>
        <v>49.2</v>
      </c>
      <c r="AD9" s="11">
        <f>AB9</f>
        <v>6.213493629035735</v>
      </c>
      <c r="AE9" s="173">
        <f>(LN(AC9)-LN(AD9))/(U9-V9)</f>
        <v>0.0985319192655789</v>
      </c>
      <c r="AF9" s="9">
        <f>0.693/AE9</f>
        <v>7.033253844696926</v>
      </c>
      <c r="AG9" s="114">
        <f>(((AD9+AC9)/2)*V9)+(((AC9+AD9)/2)*(U9-V9))</f>
        <v>664.9619235484289</v>
      </c>
      <c r="AH9" s="115">
        <f>S9/AG9</f>
        <v>1.503845505414372</v>
      </c>
      <c r="AI9" s="116">
        <f>AH9/AE9</f>
        <v>15.262521187281132</v>
      </c>
      <c r="AJ9" s="131">
        <f>AH9*1000/60</f>
        <v>25.064091756906198</v>
      </c>
      <c r="AK9" s="29">
        <f>AJ9/J9</f>
        <v>0.33418789009208266</v>
      </c>
      <c r="AL9" s="29">
        <f>AI9/J9</f>
        <v>0.20350028249708177</v>
      </c>
      <c r="AM9" s="26">
        <f>AG9*24/U9</f>
        <v>664.9619235484289</v>
      </c>
      <c r="AN9" s="117">
        <f>ABS((((LN($AN$4)-LN(AD9))/AE9)-U9)*100/U9)</f>
        <v>177.24752769359907</v>
      </c>
      <c r="AO9" s="118">
        <f>ABS((((LN($AO$4)-LN(AD9))/AE9)-U9)*100/U9)</f>
        <v>147.9360794455587</v>
      </c>
      <c r="AP9" s="118">
        <f>ABS((((LN($AP$4)-LN(AD9))/AE9)-U9)*100/U9)</f>
        <v>118.62463119751835</v>
      </c>
      <c r="AQ9" s="118">
        <f>ABS((((LN($AQ$4)-LN(AD9))/AE9)-U9)*100/U9)</f>
        <v>89.31318294947802</v>
      </c>
      <c r="AR9" s="174" t="s">
        <v>117</v>
      </c>
      <c r="AS9" s="120"/>
      <c r="AT9" s="120"/>
      <c r="AU9" s="12"/>
      <c r="AV9" s="13"/>
      <c r="AW9" s="164"/>
      <c r="AX9" s="12"/>
      <c r="AY9" s="12"/>
      <c r="AZ9" s="12"/>
      <c r="BA9" s="12"/>
      <c r="BB9" s="12"/>
      <c r="BC9" s="12"/>
      <c r="BF9" s="15"/>
      <c r="BG9" s="16"/>
      <c r="BH9" s="17"/>
      <c r="BI9" s="17"/>
      <c r="BJ9" s="18"/>
      <c r="BK9" s="18"/>
      <c r="BL9" s="19"/>
      <c r="BM9" s="19"/>
      <c r="BN9" s="19"/>
      <c r="BO9" s="20"/>
      <c r="BQ9" s="21"/>
      <c r="BR9" s="22"/>
      <c r="BT9" s="22"/>
      <c r="BU9" s="23"/>
      <c r="BY9" s="24"/>
      <c r="BZ9" s="25"/>
      <c r="CA9" s="26"/>
      <c r="CB9" s="27"/>
      <c r="CC9" s="28"/>
      <c r="CD9" s="29"/>
      <c r="CE9" s="30"/>
      <c r="CF9" s="26"/>
      <c r="CG9" s="31"/>
      <c r="CH9" s="31"/>
      <c r="CI9" s="31"/>
      <c r="CJ9" s="31"/>
      <c r="CK9" s="31"/>
      <c r="CL9" s="31"/>
      <c r="CM9" s="31"/>
      <c r="CN9" s="31"/>
      <c r="CO9" s="12"/>
      <c r="CP9" s="12"/>
      <c r="CQ9" s="12"/>
      <c r="CR9" s="12"/>
      <c r="CS9" s="12"/>
      <c r="CT9" s="12"/>
      <c r="CU9" s="12"/>
      <c r="CV9" s="32"/>
    </row>
    <row r="10" spans="1:100" s="14" customFormat="1" ht="15.75">
      <c r="A10" s="39"/>
      <c r="B10" s="94"/>
      <c r="C10" s="95" t="s">
        <v>101</v>
      </c>
      <c r="E10" s="96" t="s">
        <v>116</v>
      </c>
      <c r="F10" s="3">
        <v>48</v>
      </c>
      <c r="G10" s="4">
        <v>0.85</v>
      </c>
      <c r="H10" s="35">
        <v>47</v>
      </c>
      <c r="I10" s="36">
        <f>(K10-100)*G10</f>
        <v>51</v>
      </c>
      <c r="J10" s="33">
        <v>75</v>
      </c>
      <c r="K10" s="37">
        <v>160</v>
      </c>
      <c r="L10" s="190"/>
      <c r="M10" s="191"/>
      <c r="N10" s="137">
        <v>3.42</v>
      </c>
      <c r="O10" s="20"/>
      <c r="P10" s="171" t="s">
        <v>87</v>
      </c>
      <c r="Q10" s="175">
        <f>S10*24/U10</f>
        <v>1000</v>
      </c>
      <c r="R10" s="176">
        <f>Q10/I10</f>
        <v>19.607843137254903</v>
      </c>
      <c r="S10" s="177">
        <v>500</v>
      </c>
      <c r="T10" s="176">
        <f>S10/I10</f>
        <v>9.803921568627452</v>
      </c>
      <c r="U10" s="178">
        <v>12</v>
      </c>
      <c r="V10" s="179">
        <v>3</v>
      </c>
      <c r="W10" s="180">
        <v>25</v>
      </c>
      <c r="X10" s="180">
        <v>20.5</v>
      </c>
      <c r="Y10" s="181">
        <f>(LN(W10)-LN(X10))/(2)</f>
        <v>0.099225469361919</v>
      </c>
      <c r="Z10" s="182">
        <f>W10/EXP(-Y10*V10)</f>
        <v>33.66814819355076</v>
      </c>
      <c r="AA10" s="183">
        <f>Z10*EXP(-Y10*V10)</f>
        <v>25</v>
      </c>
      <c r="AB10" s="184">
        <f>Z10*EXP(-Y10*U10)</f>
        <v>10.235341665331342</v>
      </c>
      <c r="AC10" s="183">
        <f>AA10</f>
        <v>25</v>
      </c>
      <c r="AD10" s="185">
        <f>AB10</f>
        <v>10.235341665331342</v>
      </c>
      <c r="AE10" s="186">
        <f>(LN(AC10)-LN(AD10))/(U10-V10)</f>
        <v>0.09922546936191898</v>
      </c>
      <c r="AF10" s="183">
        <f>0.693/AE10</f>
        <v>6.984093947415092</v>
      </c>
      <c r="AG10" s="187">
        <f>(((AD10+AC10)/2)*V10)+(((AC10+AD10)/2)*(U10-V10))</f>
        <v>211.41204999198806</v>
      </c>
      <c r="AH10" s="188">
        <f>S10/AG10</f>
        <v>2.3650496744104634</v>
      </c>
      <c r="AI10" s="189">
        <f>AH10/AE10</f>
        <v>23.835106950052168</v>
      </c>
      <c r="AJ10" s="131">
        <f>AH10*1000/60</f>
        <v>39.417494573507724</v>
      </c>
      <c r="AK10" s="29">
        <f>AJ10/J10</f>
        <v>0.5255665943134363</v>
      </c>
      <c r="AL10" s="29">
        <f>AI10/J10</f>
        <v>0.31780142600069555</v>
      </c>
      <c r="AM10" s="26">
        <f>AG10*24/U10</f>
        <v>422.8240999839761</v>
      </c>
      <c r="AN10" s="117">
        <f>ABS((((LN($AN$4)-LN(AD10))/AE10)-U10)*100/U10)</f>
        <v>295.3334676039293</v>
      </c>
      <c r="AO10" s="118">
        <f>ABS((((LN($AO$4)-LN(AD10))/AE10)-U10)*100/U10)</f>
        <v>237.1203239240766</v>
      </c>
      <c r="AP10" s="118">
        <f>ABS((((LN($AP$4)-LN(AD10))/AE10)-U10)*100/U10)</f>
        <v>178.90718024422392</v>
      </c>
      <c r="AQ10" s="118">
        <f>ABS((((LN($AQ$4)-LN(AD10))/AE10)-U10)*100/U10)</f>
        <v>120.69403656437123</v>
      </c>
      <c r="AR10" s="174" t="s">
        <v>118</v>
      </c>
      <c r="AS10" s="120"/>
      <c r="AT10" s="120"/>
      <c r="AU10" s="12"/>
      <c r="AV10" s="13"/>
      <c r="AW10" s="164"/>
      <c r="AX10" s="12"/>
      <c r="AY10" s="12"/>
      <c r="AZ10" s="12"/>
      <c r="BA10" s="12"/>
      <c r="BB10" s="12"/>
      <c r="BC10" s="12"/>
      <c r="BF10" s="15"/>
      <c r="BG10" s="16"/>
      <c r="BH10" s="17"/>
      <c r="BI10" s="17"/>
      <c r="BJ10" s="18"/>
      <c r="BK10" s="18"/>
      <c r="BL10" s="19"/>
      <c r="BM10" s="19"/>
      <c r="BN10" s="19"/>
      <c r="BO10" s="20"/>
      <c r="BQ10" s="21"/>
      <c r="BR10" s="22"/>
      <c r="BT10" s="22"/>
      <c r="BU10" s="23"/>
      <c r="BY10" s="24"/>
      <c r="BZ10" s="25"/>
      <c r="CA10" s="26"/>
      <c r="CB10" s="27"/>
      <c r="CC10" s="28"/>
      <c r="CD10" s="29"/>
      <c r="CE10" s="30"/>
      <c r="CF10" s="26"/>
      <c r="CG10" s="31"/>
      <c r="CH10" s="31"/>
      <c r="CI10" s="31"/>
      <c r="CJ10" s="31"/>
      <c r="CK10" s="31"/>
      <c r="CL10" s="31"/>
      <c r="CM10" s="31"/>
      <c r="CN10" s="31"/>
      <c r="CO10" s="12"/>
      <c r="CP10" s="12"/>
      <c r="CQ10" s="12"/>
      <c r="CR10" s="12"/>
      <c r="CS10" s="12"/>
      <c r="CT10" s="12"/>
      <c r="CU10" s="12"/>
      <c r="CV10" s="32"/>
    </row>
    <row r="11" spans="1:100" s="14" customFormat="1" ht="15.75">
      <c r="A11" s="39">
        <v>1</v>
      </c>
      <c r="B11" s="1" t="s">
        <v>2</v>
      </c>
      <c r="C11" s="2" t="s">
        <v>110</v>
      </c>
      <c r="D11" s="168" t="s">
        <v>109</v>
      </c>
      <c r="E11" s="39" t="s">
        <v>80</v>
      </c>
      <c r="F11" s="33">
        <v>70</v>
      </c>
      <c r="G11" s="34">
        <v>1</v>
      </c>
      <c r="H11" s="35">
        <v>61</v>
      </c>
      <c r="I11" s="36">
        <f t="shared" si="0"/>
        <v>70</v>
      </c>
      <c r="J11" s="33">
        <v>85</v>
      </c>
      <c r="K11" s="37">
        <v>170</v>
      </c>
      <c r="L11" s="190">
        <f>(167.2*SQRT(J11)*SQRT(K11))/10000</f>
        <v>2.0098803148446427</v>
      </c>
      <c r="M11" s="191">
        <f>J11/((K11/100)^2)</f>
        <v>29.411764705882355</v>
      </c>
      <c r="N11" s="192">
        <v>1.85</v>
      </c>
      <c r="O11" s="8">
        <f>(((140-H11)*I11)/(72*N11))*G11</f>
        <v>41.51651651651651</v>
      </c>
      <c r="P11" s="171" t="s">
        <v>87</v>
      </c>
      <c r="Q11" s="154">
        <f>S11*24/U11</f>
        <v>2000</v>
      </c>
      <c r="R11" s="7">
        <f>Q11/I11</f>
        <v>28.571428571428573</v>
      </c>
      <c r="S11" s="151">
        <v>1000</v>
      </c>
      <c r="T11" s="7">
        <f>S11/I11</f>
        <v>14.285714285714286</v>
      </c>
      <c r="U11" s="6">
        <v>12</v>
      </c>
      <c r="V11" s="10">
        <v>3</v>
      </c>
      <c r="W11" s="152">
        <v>22</v>
      </c>
      <c r="X11" s="152">
        <v>18.5</v>
      </c>
      <c r="Y11" s="149">
        <f>(LN(W11)-LN(X11))/(2)</f>
        <v>0.08663586063701856</v>
      </c>
      <c r="Z11" s="139">
        <f>W11/EXP(-Y11*V11)</f>
        <v>28.529825112890286</v>
      </c>
      <c r="AA11" s="140">
        <f>Z11*EXP(-Y11*V11)</f>
        <v>22</v>
      </c>
      <c r="AB11" s="141">
        <f>Z11*EXP(-Y11*U11)</f>
        <v>10.08772872686143</v>
      </c>
      <c r="AC11" s="11">
        <f>AA11</f>
        <v>22</v>
      </c>
      <c r="AD11" s="11">
        <f>AB11</f>
        <v>10.08772872686143</v>
      </c>
      <c r="AE11" s="173">
        <f>(LN(AC11)-LN(AD11))/(U11-V11)</f>
        <v>0.08663586063701859</v>
      </c>
      <c r="AF11" s="183">
        <f>0.693/AE11</f>
        <v>7.998997123183058</v>
      </c>
      <c r="AG11" s="187">
        <f>(((AD11+AC11)/2)*V11)+(((AC11+AD11)/2)*(U11-V11))</f>
        <v>192.52637236116857</v>
      </c>
      <c r="AH11" s="188">
        <f>S11/AG11</f>
        <v>5.194093607726928</v>
      </c>
      <c r="AI11" s="189">
        <f>AH11/AE11</f>
        <v>59.953159921718914</v>
      </c>
      <c r="AJ11" s="131">
        <f>AH11*1000/60</f>
        <v>86.5682267954488</v>
      </c>
      <c r="AK11" s="29">
        <f>AJ11/J11</f>
        <v>1.01844972700528</v>
      </c>
      <c r="AL11" s="29">
        <f>AI11/J11</f>
        <v>0.7053312931966931</v>
      </c>
      <c r="AM11" s="26">
        <f>AG11*24/U11</f>
        <v>385.05274472233714</v>
      </c>
      <c r="AN11" s="117">
        <f>ABS((((LN($AN$4)-LN(AD11))/AE11)-U11)*100/U11)</f>
        <v>322.32130461820435</v>
      </c>
      <c r="AO11" s="118">
        <f>ABS((((LN($AO$4)-LN(AD11))/AE11)-U11)*100/U11)</f>
        <v>255.6488382492595</v>
      </c>
      <c r="AP11" s="118">
        <f>ABS((((LN($AP$4)-LN(AD11))/AE11)-U11)*100/U11)</f>
        <v>188.9763718803147</v>
      </c>
      <c r="AQ11" s="118">
        <f>ABS((((LN($AQ$4)-LN(AD11))/AE11)-U11)*100/U11)</f>
        <v>122.30390551136992</v>
      </c>
      <c r="AR11" s="120" t="s">
        <v>105</v>
      </c>
      <c r="AS11" s="120"/>
      <c r="AT11" s="120"/>
      <c r="AU11" s="12"/>
      <c r="AV11" s="13"/>
      <c r="AW11" s="164"/>
      <c r="AX11" s="12"/>
      <c r="AY11" s="12"/>
      <c r="AZ11" s="12"/>
      <c r="BA11" s="12"/>
      <c r="BB11" s="12"/>
      <c r="BC11" s="12"/>
      <c r="BF11" s="15"/>
      <c r="BG11" s="16"/>
      <c r="BH11" s="17"/>
      <c r="BI11" s="17"/>
      <c r="BJ11" s="18"/>
      <c r="BK11" s="18"/>
      <c r="BL11" s="19"/>
      <c r="BM11" s="19"/>
      <c r="BN11" s="19"/>
      <c r="BO11" s="20"/>
      <c r="BQ11" s="21"/>
      <c r="BR11" s="22"/>
      <c r="BT11" s="22"/>
      <c r="BU11" s="23"/>
      <c r="BY11" s="24"/>
      <c r="BZ11" s="25"/>
      <c r="CA11" s="26"/>
      <c r="CB11" s="27"/>
      <c r="CC11" s="28"/>
      <c r="CD11" s="29"/>
      <c r="CE11" s="30"/>
      <c r="CF11" s="26"/>
      <c r="CG11" s="31"/>
      <c r="CH11" s="31"/>
      <c r="CI11" s="31"/>
      <c r="CJ11" s="31"/>
      <c r="CK11" s="31"/>
      <c r="CL11" s="31"/>
      <c r="CM11" s="31"/>
      <c r="CN11" s="31"/>
      <c r="CO11" s="12"/>
      <c r="CP11" s="12"/>
      <c r="CQ11" s="12"/>
      <c r="CR11" s="12"/>
      <c r="CS11" s="12"/>
      <c r="CT11" s="12"/>
      <c r="CU11" s="12"/>
      <c r="CV11" s="32"/>
    </row>
    <row r="12" spans="1:100" s="14" customFormat="1" ht="15.75">
      <c r="A12" s="39"/>
      <c r="B12" s="1" t="s">
        <v>93</v>
      </c>
      <c r="C12" s="2"/>
      <c r="D12" t="s">
        <v>3</v>
      </c>
      <c r="E12" s="39" t="s">
        <v>81</v>
      </c>
      <c r="F12" s="33">
        <v>70</v>
      </c>
      <c r="G12" s="34">
        <v>1</v>
      </c>
      <c r="H12" s="35">
        <v>61</v>
      </c>
      <c r="I12" s="36">
        <f t="shared" si="0"/>
        <v>70</v>
      </c>
      <c r="J12" s="33">
        <v>85</v>
      </c>
      <c r="K12" s="37">
        <v>170</v>
      </c>
      <c r="L12" s="6"/>
      <c r="M12" s="7"/>
      <c r="N12" s="6">
        <v>0.77</v>
      </c>
      <c r="O12" s="8">
        <f>(((140-H12)*I12)/(72*N12))*G12</f>
        <v>99.74747474747475</v>
      </c>
      <c r="P12" s="171" t="s">
        <v>87</v>
      </c>
      <c r="Q12" s="154">
        <f>S12*24/U12</f>
        <v>3000</v>
      </c>
      <c r="R12" s="7">
        <f>Q12/I12</f>
        <v>42.857142857142854</v>
      </c>
      <c r="S12" s="151">
        <v>1000</v>
      </c>
      <c r="T12" s="7">
        <f>S12/I12</f>
        <v>14.285714285714286</v>
      </c>
      <c r="U12" s="6">
        <v>8</v>
      </c>
      <c r="V12" s="10">
        <v>3</v>
      </c>
      <c r="W12" s="152">
        <v>35</v>
      </c>
      <c r="X12" s="152">
        <v>20</v>
      </c>
      <c r="Y12" s="149">
        <f>(LN(W12)-LN(X12))/(2)</f>
        <v>0.27980789396771133</v>
      </c>
      <c r="Z12" s="139">
        <f>W12/EXP(-Y12*V12)</f>
        <v>81.02613390135309</v>
      </c>
      <c r="AA12" s="140">
        <f>Z12*EXP(-Y12*V12)</f>
        <v>35</v>
      </c>
      <c r="AB12" s="141">
        <f>Z12*EXP(-Y12*U12)</f>
        <v>8.639187954496624</v>
      </c>
      <c r="AC12" s="11">
        <f>AA12</f>
        <v>35</v>
      </c>
      <c r="AD12" s="11">
        <f>AB12</f>
        <v>8.639187954496624</v>
      </c>
      <c r="AE12" s="173">
        <f>(LN(AC12)-LN(AD12))/(U12-V12)</f>
        <v>0.2798078939677112</v>
      </c>
      <c r="AF12" s="183">
        <f>0.693/AE12</f>
        <v>2.4766992459475414</v>
      </c>
      <c r="AG12" s="187">
        <f>(((AD12+AC12)/2)*V12)+(((AC12+AD12)/2)*(U12-V12))</f>
        <v>174.55675181798648</v>
      </c>
      <c r="AH12" s="188">
        <f>S12/AG12</f>
        <v>5.728795876327478</v>
      </c>
      <c r="AI12" s="189">
        <f>AH12/AE12</f>
        <v>20.47403236231984</v>
      </c>
      <c r="AJ12" s="131">
        <f>AH12*1000/60</f>
        <v>95.47993127212463</v>
      </c>
      <c r="AK12" s="29">
        <f>AJ12/J12</f>
        <v>1.123293309083819</v>
      </c>
      <c r="AL12" s="29">
        <f>AI12/J12</f>
        <v>0.24087096896846868</v>
      </c>
      <c r="AM12" s="26">
        <f>AG12*24/U12</f>
        <v>523.6702554539595</v>
      </c>
      <c r="AN12" s="117">
        <f>ABS((((LN($AN$4)-LN(AD12))/AE12)-U12)*100/U12)</f>
        <v>196.329867658223</v>
      </c>
      <c r="AO12" s="118">
        <f>ABS((((LN($AO$4)-LN(AD12))/AE12)-U12)*100/U12)</f>
        <v>165.36455201205632</v>
      </c>
      <c r="AP12" s="118">
        <f>ABS((((LN($AP$4)-LN(AD12))/AE12)-U12)*100/U12)</f>
        <v>134.39923636588964</v>
      </c>
      <c r="AQ12" s="118">
        <f>ABS((((LN($AQ$4)-LN(AD12))/AE12)-U12)*100/U12)</f>
        <v>103.43392071972298</v>
      </c>
      <c r="AR12" s="120"/>
      <c r="AS12" s="120"/>
      <c r="AT12" s="120"/>
      <c r="AU12" s="12"/>
      <c r="AV12" s="13"/>
      <c r="AW12" s="164"/>
      <c r="AX12" s="12"/>
      <c r="AY12" s="12"/>
      <c r="AZ12" s="12"/>
      <c r="BA12" s="12"/>
      <c r="BB12" s="12"/>
      <c r="BC12" s="12"/>
      <c r="BF12" s="15"/>
      <c r="BG12" s="16"/>
      <c r="BH12" s="17"/>
      <c r="BI12" s="17"/>
      <c r="BJ12" s="18"/>
      <c r="BK12" s="18"/>
      <c r="BL12" s="19"/>
      <c r="BM12" s="19"/>
      <c r="BN12" s="19"/>
      <c r="BO12" s="20"/>
      <c r="BQ12" s="21"/>
      <c r="BR12" s="22"/>
      <c r="BT12" s="22"/>
      <c r="BU12" s="23"/>
      <c r="BY12" s="24"/>
      <c r="BZ12" s="25"/>
      <c r="CA12" s="26"/>
      <c r="CB12" s="27"/>
      <c r="CC12" s="28"/>
      <c r="CD12" s="29"/>
      <c r="CE12" s="30"/>
      <c r="CF12" s="26"/>
      <c r="CG12" s="31"/>
      <c r="CH12" s="31"/>
      <c r="CI12" s="31"/>
      <c r="CJ12" s="31"/>
      <c r="CK12" s="31"/>
      <c r="CL12" s="31"/>
      <c r="CM12" s="31"/>
      <c r="CN12" s="31"/>
      <c r="CO12" s="12"/>
      <c r="CP12" s="12"/>
      <c r="CQ12" s="12"/>
      <c r="CR12" s="12"/>
      <c r="CS12" s="12"/>
      <c r="CT12" s="12"/>
      <c r="CU12" s="12"/>
      <c r="CV12" s="32"/>
    </row>
    <row r="13" spans="9:100" s="14" customFormat="1" ht="15.75">
      <c r="I13" s="36"/>
      <c r="Q13" s="155"/>
      <c r="R13" s="155"/>
      <c r="S13" s="155"/>
      <c r="T13" s="155"/>
      <c r="U13" s="155"/>
      <c r="V13" s="155"/>
      <c r="W13" s="156"/>
      <c r="X13" s="156"/>
      <c r="Y13" s="156"/>
      <c r="Z13" s="193"/>
      <c r="AA13" s="193"/>
      <c r="AB13" s="193"/>
      <c r="AC13" s="193"/>
      <c r="AD13" s="193"/>
      <c r="AE13" s="194"/>
      <c r="AF13" s="195"/>
      <c r="AG13" s="196"/>
      <c r="AH13" s="197"/>
      <c r="AI13" s="198"/>
      <c r="AJ13" s="161"/>
      <c r="AK13" s="164"/>
      <c r="AL13" s="164"/>
      <c r="AM13" s="164"/>
      <c r="AN13" s="136"/>
      <c r="AO13" s="120"/>
      <c r="AP13" s="120"/>
      <c r="AQ13" s="120"/>
      <c r="AR13" s="166"/>
      <c r="AS13" s="166"/>
      <c r="AT13" s="164"/>
      <c r="AU13" s="164"/>
      <c r="AV13" s="164"/>
      <c r="AW13" s="164"/>
      <c r="AX13" s="164"/>
      <c r="AZ13" s="12"/>
      <c r="BA13" s="12"/>
      <c r="BB13" s="12"/>
      <c r="BC13" s="12"/>
      <c r="BF13" s="15"/>
      <c r="BG13" s="16"/>
      <c r="BH13" s="17"/>
      <c r="BI13" s="17"/>
      <c r="BJ13" s="18"/>
      <c r="BK13" s="18"/>
      <c r="BL13" s="19"/>
      <c r="BM13" s="19"/>
      <c r="BN13" s="19"/>
      <c r="BO13" s="20"/>
      <c r="BQ13" s="21"/>
      <c r="BR13" s="22"/>
      <c r="BT13" s="22"/>
      <c r="BU13" s="23"/>
      <c r="BY13" s="24"/>
      <c r="BZ13" s="25"/>
      <c r="CA13" s="26"/>
      <c r="CB13" s="27"/>
      <c r="CC13" s="28"/>
      <c r="CD13" s="29"/>
      <c r="CE13" s="30"/>
      <c r="CF13" s="26"/>
      <c r="CG13" s="31"/>
      <c r="CH13" s="31"/>
      <c r="CI13" s="31"/>
      <c r="CJ13" s="31"/>
      <c r="CK13" s="31"/>
      <c r="CL13" s="31"/>
      <c r="CM13" s="31"/>
      <c r="CN13" s="31"/>
      <c r="CO13" s="12"/>
      <c r="CP13" s="12"/>
      <c r="CQ13" s="12"/>
      <c r="CR13" s="12"/>
      <c r="CS13" s="12"/>
      <c r="CT13" s="12"/>
      <c r="CU13" s="12"/>
      <c r="CV13" s="32"/>
    </row>
    <row r="14" spans="1:100" s="14" customFormat="1" ht="15.75">
      <c r="A14" s="39"/>
      <c r="B14" s="1"/>
      <c r="C14" s="95" t="s">
        <v>102</v>
      </c>
      <c r="D14"/>
      <c r="E14" s="96"/>
      <c r="F14" s="33"/>
      <c r="G14" s="34"/>
      <c r="H14" s="38"/>
      <c r="I14" s="36"/>
      <c r="J14" s="33"/>
      <c r="K14" s="37"/>
      <c r="L14" s="6"/>
      <c r="M14" s="7"/>
      <c r="N14" s="6"/>
      <c r="O14" s="20"/>
      <c r="P14"/>
      <c r="Q14" s="96"/>
      <c r="R14" s="157"/>
      <c r="S14" s="158"/>
      <c r="T14" s="157"/>
      <c r="U14" s="6"/>
      <c r="V14" s="10"/>
      <c r="W14" s="159"/>
      <c r="X14" s="159"/>
      <c r="Y14" s="153"/>
      <c r="Z14" s="199"/>
      <c r="AA14" s="191"/>
      <c r="AB14" s="200"/>
      <c r="AC14" s="191"/>
      <c r="AD14" s="191"/>
      <c r="AE14" s="194"/>
      <c r="AF14" s="195"/>
      <c r="AG14" s="196"/>
      <c r="AH14" s="197"/>
      <c r="AI14" s="198"/>
      <c r="AJ14" s="161"/>
      <c r="AK14" s="162"/>
      <c r="AL14" s="162"/>
      <c r="AM14" s="163"/>
      <c r="AN14" s="136"/>
      <c r="AO14" s="120"/>
      <c r="AP14" s="120"/>
      <c r="AQ14" s="120"/>
      <c r="AR14" s="120"/>
      <c r="AS14" s="120"/>
      <c r="AT14" s="120"/>
      <c r="AU14" s="12"/>
      <c r="AV14" s="13"/>
      <c r="AW14" s="164"/>
      <c r="AX14" s="12"/>
      <c r="AY14" s="12"/>
      <c r="AZ14" s="12"/>
      <c r="BA14" s="12"/>
      <c r="BB14" s="12"/>
      <c r="BC14" s="12"/>
      <c r="BF14" s="15"/>
      <c r="BG14" s="16"/>
      <c r="BH14" s="17"/>
      <c r="BI14" s="17"/>
      <c r="BJ14" s="18"/>
      <c r="BK14" s="18"/>
      <c r="BL14" s="19"/>
      <c r="BM14" s="19"/>
      <c r="BN14" s="19"/>
      <c r="BO14" s="20"/>
      <c r="BQ14" s="21"/>
      <c r="BR14" s="22"/>
      <c r="BT14" s="22"/>
      <c r="BU14" s="23"/>
      <c r="BY14" s="24"/>
      <c r="BZ14" s="25"/>
      <c r="CA14" s="26"/>
      <c r="CB14" s="27"/>
      <c r="CC14" s="28"/>
      <c r="CD14" s="29"/>
      <c r="CE14" s="30"/>
      <c r="CF14" s="26"/>
      <c r="CG14" s="31"/>
      <c r="CH14" s="31"/>
      <c r="CI14" s="31"/>
      <c r="CJ14" s="31"/>
      <c r="CK14" s="31"/>
      <c r="CL14" s="31"/>
      <c r="CM14" s="31"/>
      <c r="CN14" s="31"/>
      <c r="CO14" s="12"/>
      <c r="CP14" s="12"/>
      <c r="CQ14" s="12"/>
      <c r="CR14" s="12"/>
      <c r="CS14" s="12"/>
      <c r="CT14" s="12"/>
      <c r="CU14" s="12"/>
      <c r="CV14" s="32"/>
    </row>
    <row r="15" spans="1:100" s="14" customFormat="1" ht="15.75">
      <c r="A15" s="39">
        <v>1</v>
      </c>
      <c r="B15" s="1" t="s">
        <v>4</v>
      </c>
      <c r="C15" s="2" t="s">
        <v>111</v>
      </c>
      <c r="D15" t="s">
        <v>6</v>
      </c>
      <c r="E15" s="39" t="s">
        <v>80</v>
      </c>
      <c r="F15" s="33">
        <v>61</v>
      </c>
      <c r="G15" s="34">
        <v>1</v>
      </c>
      <c r="H15" s="35">
        <v>31</v>
      </c>
      <c r="I15" s="36">
        <f t="shared" si="0"/>
        <v>71</v>
      </c>
      <c r="J15" s="33">
        <v>160</v>
      </c>
      <c r="K15" s="37">
        <v>171</v>
      </c>
      <c r="L15" s="190">
        <f>(167.2*SQRT(J15)*SQRT(K15))/10000</f>
        <v>2.765631541619382</v>
      </c>
      <c r="M15" s="191">
        <f>J15/((K15/100)^2)</f>
        <v>54.717690913443455</v>
      </c>
      <c r="N15" s="6">
        <v>1.4</v>
      </c>
      <c r="O15" s="8">
        <f>(((140-H15)*I15)/(72*N15))*G15</f>
        <v>76.77579365079366</v>
      </c>
      <c r="P15" s="171" t="s">
        <v>87</v>
      </c>
      <c r="Q15" s="96">
        <f>S15*24/U15</f>
        <v>3000</v>
      </c>
      <c r="R15" s="157">
        <f>Q15/J15</f>
        <v>18.75</v>
      </c>
      <c r="S15" s="158">
        <v>1000</v>
      </c>
      <c r="T15" s="157">
        <f>S15/J15</f>
        <v>6.25</v>
      </c>
      <c r="U15" s="96">
        <v>8</v>
      </c>
      <c r="V15" s="10">
        <v>3</v>
      </c>
      <c r="W15" s="159">
        <v>41</v>
      </c>
      <c r="X15" s="159">
        <v>22</v>
      </c>
      <c r="Y15" s="149">
        <f>(LN(W15)-LN(X15))/(2)</f>
        <v>0.31126480667299594</v>
      </c>
      <c r="Z15" s="139">
        <f>W15/EXP(-Y15*V15)</f>
        <v>104.30992197984341</v>
      </c>
      <c r="AA15" s="140">
        <f>Z15*EXP(-Y15*V15)</f>
        <v>41</v>
      </c>
      <c r="AB15" s="141">
        <f>Z15*EXP(-Y15*U15)</f>
        <v>8.647307781270321</v>
      </c>
      <c r="AC15" s="11">
        <f>AA15</f>
        <v>41</v>
      </c>
      <c r="AD15" s="11">
        <f>AB15</f>
        <v>8.647307781270321</v>
      </c>
      <c r="AE15" s="173">
        <f>(LN(AC15)-LN(AD15))/(U15-V15)</f>
        <v>0.31126480667299594</v>
      </c>
      <c r="AF15" s="183">
        <f>0.693/AE15</f>
        <v>2.2264001105915</v>
      </c>
      <c r="AG15" s="187">
        <f>(((AD15+AC15)/2)*V15)+(((AC15+AD15)/2)*(U15-V15))</f>
        <v>198.58923112508128</v>
      </c>
      <c r="AH15" s="188">
        <f>S15/AG15</f>
        <v>5.03551977282268</v>
      </c>
      <c r="AI15" s="189">
        <f>AH15/AE15</f>
        <v>16.177607184845744</v>
      </c>
      <c r="AJ15" s="131">
        <f>AH15*1000/60</f>
        <v>83.92532954704467</v>
      </c>
      <c r="AK15" s="29">
        <f>AJ15/J15</f>
        <v>0.5245333096690292</v>
      </c>
      <c r="AL15" s="29">
        <f>AI15/J15</f>
        <v>0.1011100449052859</v>
      </c>
      <c r="AM15" s="26">
        <f>AG15*24/U15</f>
        <v>595.7676933752439</v>
      </c>
      <c r="AN15" s="117">
        <f>ABS((((LN($AN$4)-LN(AD15))/AE15)-U15)*100/U15)</f>
        <v>186.6323459595955</v>
      </c>
      <c r="AO15" s="118">
        <f>ABS((((LN($AO$4)-LN(AD15))/AE15)-U15)*100/U15)</f>
        <v>158.79643399251674</v>
      </c>
      <c r="AP15" s="118">
        <f>ABS((((LN($AP$4)-LN(AD15))/AE15)-U15)*100/U15)</f>
        <v>130.96052202543794</v>
      </c>
      <c r="AQ15" s="118">
        <f>ABS((((LN($AQ$4)-LN(AD15))/AE15)-U15)*100/U15)</f>
        <v>103.12461005835914</v>
      </c>
      <c r="AR15" s="120" t="s">
        <v>89</v>
      </c>
      <c r="AS15" s="120"/>
      <c r="AT15" s="120"/>
      <c r="AU15" s="12"/>
      <c r="AV15" s="13"/>
      <c r="AW15" s="164"/>
      <c r="AX15" s="12"/>
      <c r="AY15" s="12"/>
      <c r="AZ15" s="12"/>
      <c r="BA15" s="12"/>
      <c r="BB15" s="12"/>
      <c r="BC15" s="12"/>
      <c r="BF15" s="15"/>
      <c r="BG15" s="16"/>
      <c r="BH15" s="17"/>
      <c r="BI15" s="17"/>
      <c r="BJ15" s="18"/>
      <c r="BK15" s="18"/>
      <c r="BL15" s="19"/>
      <c r="BM15" s="19"/>
      <c r="BN15" s="19"/>
      <c r="BO15" s="20"/>
      <c r="BQ15" s="21"/>
      <c r="BR15" s="22"/>
      <c r="BT15" s="22"/>
      <c r="BU15" s="23"/>
      <c r="BY15" s="24"/>
      <c r="BZ15" s="25"/>
      <c r="CA15" s="26"/>
      <c r="CB15" s="27"/>
      <c r="CC15" s="28"/>
      <c r="CD15" s="29"/>
      <c r="CE15" s="30"/>
      <c r="CF15" s="26"/>
      <c r="CG15" s="31"/>
      <c r="CH15" s="31"/>
      <c r="CI15" s="31"/>
      <c r="CJ15" s="31"/>
      <c r="CK15" s="31"/>
      <c r="CL15" s="31"/>
      <c r="CM15" s="31"/>
      <c r="CN15" s="31"/>
      <c r="CO15" s="12"/>
      <c r="CP15" s="12"/>
      <c r="CQ15" s="12"/>
      <c r="CR15" s="12"/>
      <c r="CS15" s="12"/>
      <c r="CT15" s="12"/>
      <c r="CU15" s="12"/>
      <c r="CV15" s="32"/>
    </row>
    <row r="16" spans="1:100" s="14" customFormat="1" ht="15.75">
      <c r="A16" s="39"/>
      <c r="B16" s="1" t="s">
        <v>92</v>
      </c>
      <c r="C16" s="2"/>
      <c r="D16" s="168" t="s">
        <v>109</v>
      </c>
      <c r="E16" s="39" t="s">
        <v>81</v>
      </c>
      <c r="F16" s="33">
        <v>61</v>
      </c>
      <c r="G16" s="34">
        <v>1</v>
      </c>
      <c r="H16" s="35">
        <v>31</v>
      </c>
      <c r="I16" s="36">
        <f t="shared" si="0"/>
        <v>71</v>
      </c>
      <c r="J16" s="33">
        <v>160</v>
      </c>
      <c r="K16" s="37">
        <v>171</v>
      </c>
      <c r="L16" s="6"/>
      <c r="M16" s="7"/>
      <c r="N16" s="137">
        <v>2.6</v>
      </c>
      <c r="O16" s="8">
        <f>(((140-H16)*I16)/(72*N16))*G16</f>
        <v>41.34081196581196</v>
      </c>
      <c r="P16" s="171" t="s">
        <v>87</v>
      </c>
      <c r="Q16" s="96">
        <f>S16*24/U16</f>
        <v>2000</v>
      </c>
      <c r="R16" s="157">
        <f>Q16/J16</f>
        <v>12.5</v>
      </c>
      <c r="S16" s="158">
        <v>1000</v>
      </c>
      <c r="T16" s="157">
        <f>S16/J16</f>
        <v>6.25</v>
      </c>
      <c r="U16" s="96">
        <v>12</v>
      </c>
      <c r="V16" s="10">
        <v>3</v>
      </c>
      <c r="W16" s="159">
        <v>25</v>
      </c>
      <c r="X16" s="159">
        <v>20</v>
      </c>
      <c r="Y16" s="149">
        <f>(LN(W16)-LN(X16))/(2)</f>
        <v>0.11157177565710485</v>
      </c>
      <c r="Z16" s="139">
        <f>W16/EXP(-Y16*V16)</f>
        <v>34.938562148434215</v>
      </c>
      <c r="AA16" s="140">
        <f>Z16*EXP(-Y16*V16)</f>
        <v>25</v>
      </c>
      <c r="AB16" s="141">
        <f>Z16*EXP(-Y16*U16)</f>
        <v>9.158934435839143</v>
      </c>
      <c r="AC16" s="11">
        <f>AA16</f>
        <v>25</v>
      </c>
      <c r="AD16" s="11">
        <f>AB16</f>
        <v>9.158934435839143</v>
      </c>
      <c r="AE16" s="173">
        <f>(LN(AC16)-LN(AD16))/(U16-V16)</f>
        <v>0.1115717756571048</v>
      </c>
      <c r="AF16" s="183">
        <f>0.693/AE16</f>
        <v>6.21124828316623</v>
      </c>
      <c r="AG16" s="187">
        <f>(((AD16+AC16)/2)*V16)+(((AC16+AD16)/2)*(U16-V16))</f>
        <v>204.95360661503486</v>
      </c>
      <c r="AH16" s="188">
        <f>S16/AG16</f>
        <v>4.879152977670229</v>
      </c>
      <c r="AI16" s="189">
        <f>AH16/AE16</f>
        <v>43.73106862317404</v>
      </c>
      <c r="AJ16" s="131">
        <f>AH16*1000/60</f>
        <v>81.31921629450382</v>
      </c>
      <c r="AK16" s="29">
        <f>AJ16/J16</f>
        <v>0.5082451018406489</v>
      </c>
      <c r="AL16" s="29">
        <f>AI16/J16</f>
        <v>0.27331917889483776</v>
      </c>
      <c r="AM16" s="26">
        <f>AG16*24/U16</f>
        <v>409.90721323006966</v>
      </c>
      <c r="AN16" s="117">
        <f>ABS((((LN($AN$4)-LN(AD16))/AE16)-U16)*100/U16)</f>
        <v>265.4189146336928</v>
      </c>
      <c r="AO16" s="118">
        <f>ABS((((LN($AO$4)-LN(AD16))/AE16)-U16)*100/U16)</f>
        <v>213.6475193086029</v>
      </c>
      <c r="AP16" s="118">
        <f>ABS((((LN($AP$4)-LN(AD16))/AE16)-U16)*100/U16)</f>
        <v>161.87612398351308</v>
      </c>
      <c r="AQ16" s="118">
        <f>ABS((((LN($AQ$4)-LN(AD16))/AE16)-U16)*100/U16)</f>
        <v>110.10472865842321</v>
      </c>
      <c r="AR16" s="120"/>
      <c r="AS16" s="120"/>
      <c r="AT16" s="123"/>
      <c r="AU16" s="12"/>
      <c r="AV16" s="13"/>
      <c r="AW16" s="164"/>
      <c r="AX16" s="12"/>
      <c r="AY16" s="12"/>
      <c r="AZ16" s="12"/>
      <c r="BA16" s="12"/>
      <c r="BB16" s="12"/>
      <c r="BC16" s="12"/>
      <c r="BF16" s="15"/>
      <c r="BG16" s="16"/>
      <c r="BH16" s="17"/>
      <c r="BI16" s="17"/>
      <c r="BJ16" s="18"/>
      <c r="BK16" s="18"/>
      <c r="BL16" s="19"/>
      <c r="BM16" s="19"/>
      <c r="BN16" s="19"/>
      <c r="BO16" s="20"/>
      <c r="BQ16" s="21"/>
      <c r="BR16" s="22"/>
      <c r="BT16" s="22"/>
      <c r="BU16" s="23"/>
      <c r="BY16" s="24"/>
      <c r="BZ16" s="25"/>
      <c r="CA16" s="26"/>
      <c r="CB16" s="27"/>
      <c r="CC16" s="28"/>
      <c r="CD16" s="29"/>
      <c r="CE16" s="30"/>
      <c r="CF16" s="26"/>
      <c r="CG16" s="31"/>
      <c r="CH16" s="31"/>
      <c r="CI16" s="31"/>
      <c r="CJ16" s="31"/>
      <c r="CK16" s="31"/>
      <c r="CL16" s="31"/>
      <c r="CM16" s="31"/>
      <c r="CN16" s="31"/>
      <c r="CO16" s="12"/>
      <c r="CP16" s="12"/>
      <c r="CQ16" s="12"/>
      <c r="CR16" s="12"/>
      <c r="CS16" s="12"/>
      <c r="CT16" s="12"/>
      <c r="CU16" s="12"/>
      <c r="CV16" s="32"/>
    </row>
    <row r="17" spans="1:50" ht="15">
      <c r="A17" s="14"/>
      <c r="C17" s="95" t="s">
        <v>103</v>
      </c>
      <c r="I17" s="36"/>
      <c r="Q17" s="155"/>
      <c r="R17" s="155"/>
      <c r="S17" s="155"/>
      <c r="T17" s="155"/>
      <c r="U17" s="155"/>
      <c r="V17" s="155"/>
      <c r="W17" s="156"/>
      <c r="X17" s="156"/>
      <c r="Y17" s="156"/>
      <c r="Z17" s="193"/>
      <c r="AA17" s="193"/>
      <c r="AB17" s="193"/>
      <c r="AC17" s="193"/>
      <c r="AD17" s="193"/>
      <c r="AE17" s="194"/>
      <c r="AF17" s="195"/>
      <c r="AG17" s="196"/>
      <c r="AH17" s="197"/>
      <c r="AI17" s="198"/>
      <c r="AJ17" s="161"/>
      <c r="AK17" s="164"/>
      <c r="AL17" s="164"/>
      <c r="AM17" s="164"/>
      <c r="AN17" s="136"/>
      <c r="AO17" s="120"/>
      <c r="AP17" s="120"/>
      <c r="AQ17" s="120"/>
      <c r="AR17" s="166"/>
      <c r="AS17" s="166"/>
      <c r="AT17" s="164"/>
      <c r="AU17" s="164"/>
      <c r="AV17" s="165"/>
      <c r="AW17" s="165"/>
      <c r="AX17" s="165"/>
    </row>
    <row r="18" spans="1:51" ht="15">
      <c r="A18" s="39">
        <v>1</v>
      </c>
      <c r="B18" s="1" t="s">
        <v>4</v>
      </c>
      <c r="C18" s="2" t="s">
        <v>112</v>
      </c>
      <c r="D18" t="s">
        <v>5</v>
      </c>
      <c r="E18" s="39" t="s">
        <v>80</v>
      </c>
      <c r="F18" s="33">
        <v>48</v>
      </c>
      <c r="G18" s="34">
        <v>1</v>
      </c>
      <c r="H18" s="38">
        <v>79.5</v>
      </c>
      <c r="I18" s="36">
        <f t="shared" si="0"/>
        <v>70</v>
      </c>
      <c r="J18" s="33">
        <v>80</v>
      </c>
      <c r="K18" s="37">
        <v>170</v>
      </c>
      <c r="L18" s="190">
        <f>(167.2*SQRT(J18)*SQRT(K18))/10000</f>
        <v>1.9498703136362685</v>
      </c>
      <c r="M18" s="191">
        <f>J18/((K18/100)^2)</f>
        <v>27.68166089965398</v>
      </c>
      <c r="N18" s="6">
        <v>0.69</v>
      </c>
      <c r="O18" s="8">
        <f>(((140-H18)*I18)/(72*N18))*G18</f>
        <v>85.24557165861515</v>
      </c>
      <c r="P18" s="171" t="s">
        <v>87</v>
      </c>
      <c r="Q18" s="96">
        <f>S18*24/U18</f>
        <v>3000</v>
      </c>
      <c r="R18" s="157">
        <f>Q18/J18</f>
        <v>37.5</v>
      </c>
      <c r="S18" s="158">
        <v>1000</v>
      </c>
      <c r="T18" s="157">
        <f>S18/J18</f>
        <v>12.5</v>
      </c>
      <c r="U18" s="6">
        <v>8</v>
      </c>
      <c r="V18" s="10">
        <v>3</v>
      </c>
      <c r="W18" s="159">
        <v>35</v>
      </c>
      <c r="X18" s="159">
        <v>20</v>
      </c>
      <c r="Y18" s="149">
        <f>(LN(W18)-LN(X18))/(2)</f>
        <v>0.27980789396771133</v>
      </c>
      <c r="Z18" s="139">
        <f>W18/EXP(-Y18*V18)</f>
        <v>81.02613390135309</v>
      </c>
      <c r="AA18" s="140">
        <f>Z18*EXP(-Y18*V18)</f>
        <v>35</v>
      </c>
      <c r="AB18" s="141">
        <f>Z18*EXP(-Y18*U18)</f>
        <v>8.639187954496624</v>
      </c>
      <c r="AC18" s="11">
        <f>AA18</f>
        <v>35</v>
      </c>
      <c r="AD18" s="11">
        <f>AB18</f>
        <v>8.639187954496624</v>
      </c>
      <c r="AE18" s="173">
        <f>(LN(AC18)-LN(AD18))/(U18-V18)</f>
        <v>0.2798078939677112</v>
      </c>
      <c r="AF18" s="183">
        <f>0.693/AE18</f>
        <v>2.4766992459475414</v>
      </c>
      <c r="AG18" s="187">
        <f>(((AD18+AC18)/2)*V18)+(((AC18+AD18)/2)*(U18-V18))</f>
        <v>174.55675181798648</v>
      </c>
      <c r="AH18" s="188">
        <f>S18/AG18</f>
        <v>5.728795876327478</v>
      </c>
      <c r="AI18" s="189">
        <f>AH18/AE18</f>
        <v>20.47403236231984</v>
      </c>
      <c r="AJ18" s="131">
        <f>AH18*1000/60</f>
        <v>95.47993127212463</v>
      </c>
      <c r="AK18" s="29">
        <f>AJ18/J18</f>
        <v>1.1934991409015578</v>
      </c>
      <c r="AL18" s="29">
        <f>AI18/J18</f>
        <v>0.255925404528998</v>
      </c>
      <c r="AM18" s="26">
        <f>AG18*24/U18</f>
        <v>523.6702554539595</v>
      </c>
      <c r="AN18" s="117">
        <f>ABS((((LN($AN$4)-LN(AD18))/AE18)-U18)*100/U18)</f>
        <v>196.329867658223</v>
      </c>
      <c r="AO18" s="118">
        <f>ABS((((LN($AO$4)-LN(AD18))/AE18)-U18)*100/U18)</f>
        <v>165.36455201205632</v>
      </c>
      <c r="AP18" s="118">
        <f>ABS((((LN($AP$4)-LN(AD18))/AE18)-U18)*100/U18)</f>
        <v>134.39923636588964</v>
      </c>
      <c r="AQ18" s="118">
        <f>ABS((((LN($AQ$4)-LN(AD18))/AE18)-U18)*100/U18)</f>
        <v>103.43392071972298</v>
      </c>
      <c r="AR18" s="120" t="s">
        <v>105</v>
      </c>
      <c r="AS18" s="123"/>
      <c r="AT18" s="123"/>
      <c r="AU18" s="12"/>
      <c r="AV18" s="13"/>
      <c r="AW18" s="164"/>
      <c r="AX18" s="12"/>
      <c r="AY18" s="12"/>
    </row>
    <row r="19" spans="2:50" ht="15">
      <c r="B19" s="1" t="s">
        <v>92</v>
      </c>
      <c r="D19" s="168" t="s">
        <v>109</v>
      </c>
      <c r="E19" s="39" t="s">
        <v>81</v>
      </c>
      <c r="F19" s="33">
        <v>48</v>
      </c>
      <c r="G19" s="34">
        <v>1</v>
      </c>
      <c r="H19" s="38">
        <v>79.5</v>
      </c>
      <c r="I19" s="36">
        <f t="shared" si="0"/>
        <v>70</v>
      </c>
      <c r="J19" s="33">
        <v>80</v>
      </c>
      <c r="K19" s="37">
        <v>170</v>
      </c>
      <c r="L19" s="6"/>
      <c r="M19" s="7"/>
      <c r="N19" s="137">
        <v>2.34</v>
      </c>
      <c r="O19" s="8">
        <f>(((140-H19)*I19)/(72*N19))*G19</f>
        <v>25.136514719848055</v>
      </c>
      <c r="P19" s="171" t="s">
        <v>87</v>
      </c>
      <c r="Q19" s="96">
        <f>S19*24/U19</f>
        <v>2000</v>
      </c>
      <c r="R19" s="157">
        <f>Q19/J19</f>
        <v>25</v>
      </c>
      <c r="S19" s="158">
        <v>1000</v>
      </c>
      <c r="T19" s="157">
        <f>S19/J19</f>
        <v>12.5</v>
      </c>
      <c r="U19" s="6">
        <v>12</v>
      </c>
      <c r="V19" s="10">
        <v>3</v>
      </c>
      <c r="W19" s="159">
        <v>32</v>
      </c>
      <c r="X19" s="159">
        <v>29</v>
      </c>
      <c r="Y19" s="149">
        <f>(LN(W19)-LN(X19))/(2)</f>
        <v>0.0492200364066262</v>
      </c>
      <c r="Z19" s="139">
        <f>W19/EXP(-Y19*V19)</f>
        <v>37.09180337885679</v>
      </c>
      <c r="AA19" s="140">
        <f>Z19*EXP(-Y19*V19)</f>
        <v>31.999999999999996</v>
      </c>
      <c r="AB19" s="141">
        <f>Z19*EXP(-Y19*U19)</f>
        <v>20.54783484683431</v>
      </c>
      <c r="AC19" s="11">
        <f>AA19</f>
        <v>31.999999999999996</v>
      </c>
      <c r="AD19" s="11">
        <f>AB19</f>
        <v>20.54783484683431</v>
      </c>
      <c r="AE19" s="173">
        <f>(LN(AC19)-LN(AD19))/(U19-V19)</f>
        <v>0.0492200364066262</v>
      </c>
      <c r="AF19" s="183">
        <f>0.693/AE19</f>
        <v>14.079632007478676</v>
      </c>
      <c r="AG19" s="187">
        <f>(((AD19+AC19)/2)*V19)+(((AC19+AD19)/2)*(U19-V19))</f>
        <v>315.28700908100586</v>
      </c>
      <c r="AH19" s="188">
        <f>S19/AG19</f>
        <v>3.1717132999383195</v>
      </c>
      <c r="AI19" s="189">
        <f>AH19/AE19</f>
        <v>64.43947488651858</v>
      </c>
      <c r="AJ19" s="131">
        <f>AH19*1000/60</f>
        <v>52.86188833230532</v>
      </c>
      <c r="AK19" s="29">
        <f>AJ19/J19</f>
        <v>0.6607736041538165</v>
      </c>
      <c r="AL19" s="29">
        <f>AI19/J19</f>
        <v>0.8054934360814823</v>
      </c>
      <c r="AM19" s="26">
        <f>AG19*24/U19</f>
        <v>630.5740181620117</v>
      </c>
      <c r="AN19" s="117">
        <f>ABS((((LN($AN$4)-LN(AD19))/AE19)-U19)*100/U19)</f>
        <v>611.7759276879153</v>
      </c>
      <c r="AO19" s="118">
        <f>ABS((((LN($AO$4)-LN(AD19))/AE19)-U19)*100/U19)</f>
        <v>494.4207421503322</v>
      </c>
      <c r="AP19" s="118">
        <f>ABS((((LN($AP$4)-LN(AD19))/AE19)-U19)*100/U19)</f>
        <v>377.06555661274916</v>
      </c>
      <c r="AQ19" s="118">
        <f>ABS((((LN($AQ$4)-LN(AD19))/AE19)-U19)*100/U19)</f>
        <v>259.71037107516617</v>
      </c>
      <c r="AS19" s="165"/>
      <c r="AT19" s="165"/>
      <c r="AU19" s="165"/>
      <c r="AV19" s="165"/>
      <c r="AW19" s="165"/>
      <c r="AX19" s="165"/>
    </row>
    <row r="20" spans="2:50" ht="15">
      <c r="B20" s="1"/>
      <c r="D20" s="160" t="s">
        <v>94</v>
      </c>
      <c r="E20" s="39" t="s">
        <v>106</v>
      </c>
      <c r="F20" s="33">
        <v>48</v>
      </c>
      <c r="G20" s="34">
        <v>1</v>
      </c>
      <c r="H20" s="38">
        <v>79.5</v>
      </c>
      <c r="I20" s="36">
        <f t="shared" si="0"/>
        <v>70</v>
      </c>
      <c r="J20" s="33">
        <v>80</v>
      </c>
      <c r="K20" s="37">
        <v>170</v>
      </c>
      <c r="L20" s="6"/>
      <c r="M20" s="7"/>
      <c r="N20" s="138">
        <v>1.1</v>
      </c>
      <c r="O20" s="8">
        <f>(((140-H20)*I20)/(72*N20))*G20</f>
        <v>53.47222222222222</v>
      </c>
      <c r="P20" s="171" t="s">
        <v>87</v>
      </c>
      <c r="Q20" s="160">
        <f>S20*24/U20</f>
        <v>3000</v>
      </c>
      <c r="R20" s="157">
        <f>Q20/J20</f>
        <v>37.5</v>
      </c>
      <c r="S20" s="158">
        <v>1000</v>
      </c>
      <c r="T20" s="157">
        <f>S20/J20</f>
        <v>12.5</v>
      </c>
      <c r="U20" s="6">
        <v>8</v>
      </c>
      <c r="V20" s="10">
        <v>3</v>
      </c>
      <c r="W20" s="159">
        <v>29</v>
      </c>
      <c r="X20" s="159">
        <v>18</v>
      </c>
      <c r="Y20" s="149">
        <f>(LN(W20)-LN(X20))/(2)</f>
        <v>0.2384620360451548</v>
      </c>
      <c r="Z20" s="139">
        <f>W20/EXP(-Y20*V20)</f>
        <v>59.304307241032866</v>
      </c>
      <c r="AA20" s="140">
        <f>Z20*EXP(-Y20*V20)</f>
        <v>29</v>
      </c>
      <c r="AB20" s="141">
        <f>Z20*EXP(-Y20*U20)</f>
        <v>8.80205880963105</v>
      </c>
      <c r="AC20" s="11">
        <f>AA20</f>
        <v>29</v>
      </c>
      <c r="AD20" s="11">
        <f>AB20</f>
        <v>8.80205880963105</v>
      </c>
      <c r="AE20" s="173">
        <f>(LN(AC20)-LN(AD20))/(U20-V20)</f>
        <v>0.23846203604515487</v>
      </c>
      <c r="AF20" s="183">
        <f>0.693/AE20</f>
        <v>2.906122968222809</v>
      </c>
      <c r="AG20" s="187">
        <f>(((AD20+AC20)/2)*V20)+(((AC20+AD20)/2)*(U20-V20))</f>
        <v>151.2082352385242</v>
      </c>
      <c r="AH20" s="188">
        <f>S20/AG20</f>
        <v>6.613396409412126</v>
      </c>
      <c r="AI20" s="189">
        <f>AH20/AE20</f>
        <v>27.733539975981007</v>
      </c>
      <c r="AJ20" s="131">
        <f>AH20*1000/60</f>
        <v>110.2232734902021</v>
      </c>
      <c r="AK20" s="29">
        <f>AJ20/J20</f>
        <v>1.3777909186275263</v>
      </c>
      <c r="AL20" s="29">
        <f>AI20/J20</f>
        <v>0.3466692496997626</v>
      </c>
      <c r="AM20" s="26">
        <f>AG20*24/U20</f>
        <v>453.6247057155726</v>
      </c>
      <c r="AN20" s="117">
        <f>ABS((((LN($AN$4)-LN(AD20))/AE20)-U20)*100/U20)</f>
        <v>214.01110664366126</v>
      </c>
      <c r="AO20" s="118">
        <f>ABS((((LN($AO$4)-LN(AD20))/AE20)-U20)*100/U20)</f>
        <v>177.67685444697764</v>
      </c>
      <c r="AP20" s="118">
        <f>ABS((((LN($AP$4)-LN(AD20))/AE20)-U20)*100/U20)</f>
        <v>141.34260225029402</v>
      </c>
      <c r="AQ20" s="118">
        <f>ABS((((LN($AQ$4)-LN(AD20))/AE20)-U20)*100/U20)</f>
        <v>105.00835005361043</v>
      </c>
      <c r="AS20" s="172" t="s">
        <v>95</v>
      </c>
      <c r="AT20" s="172" t="s">
        <v>97</v>
      </c>
      <c r="AU20" s="172"/>
      <c r="AV20" s="165"/>
      <c r="AW20" s="165"/>
      <c r="AX20" s="165"/>
    </row>
    <row r="21" spans="4:50" ht="15">
      <c r="D21" s="160" t="s">
        <v>108</v>
      </c>
      <c r="E21" s="39" t="s">
        <v>107</v>
      </c>
      <c r="F21" s="33">
        <v>48</v>
      </c>
      <c r="G21" s="34">
        <v>1</v>
      </c>
      <c r="H21" s="38">
        <v>79.5</v>
      </c>
      <c r="I21" s="36">
        <f t="shared" si="0"/>
        <v>70</v>
      </c>
      <c r="J21" s="33">
        <v>80</v>
      </c>
      <c r="K21" s="37">
        <v>170</v>
      </c>
      <c r="L21" s="6"/>
      <c r="M21" s="7"/>
      <c r="N21" s="138">
        <v>0.88</v>
      </c>
      <c r="O21" s="8">
        <f>(((140-H21)*I21)/(72*N21))*G21</f>
        <v>66.84027777777777</v>
      </c>
      <c r="P21" s="171" t="s">
        <v>87</v>
      </c>
      <c r="Q21" s="160">
        <f>S21*24/U21</f>
        <v>3000</v>
      </c>
      <c r="R21" s="157">
        <f>Q21/J21</f>
        <v>37.5</v>
      </c>
      <c r="S21" s="158">
        <v>1000</v>
      </c>
      <c r="T21" s="157">
        <f>S21/J21</f>
        <v>12.5</v>
      </c>
      <c r="U21" s="6">
        <v>8</v>
      </c>
      <c r="V21" s="10">
        <v>3</v>
      </c>
      <c r="W21" s="159">
        <v>31</v>
      </c>
      <c r="X21" s="159">
        <v>15</v>
      </c>
      <c r="Y21" s="149">
        <f>(LN(W21)-LN(X21))/(2)</f>
        <v>0.3629685016914681</v>
      </c>
      <c r="Z21" s="139">
        <f>W21/EXP(-Y21*V21)</f>
        <v>92.10163629060781</v>
      </c>
      <c r="AA21" s="140">
        <f>Z21*EXP(-Y21*V21)</f>
        <v>30.999999999999996</v>
      </c>
      <c r="AB21" s="141">
        <f>Z21*EXP(-Y21*U21)</f>
        <v>5.048770236098605</v>
      </c>
      <c r="AC21" s="11">
        <f>AA21</f>
        <v>30.999999999999996</v>
      </c>
      <c r="AD21" s="11">
        <f>AB21</f>
        <v>5.048770236098605</v>
      </c>
      <c r="AE21" s="173">
        <f>(LN(AC21)-LN(AD21))/(U21-V21)</f>
        <v>0.36296850169146816</v>
      </c>
      <c r="AF21" s="183">
        <f>0.693/AE21</f>
        <v>1.9092565794843168</v>
      </c>
      <c r="AG21" s="187">
        <f>(((AD21+AC21)/2)*V21)+(((AC21+AD21)/2)*(U21-V21))</f>
        <v>144.19508094439442</v>
      </c>
      <c r="AH21" s="188">
        <f>S21/AG21</f>
        <v>6.935049333518024</v>
      </c>
      <c r="AI21" s="189">
        <f>AH21/AE21</f>
        <v>19.10647701164158</v>
      </c>
      <c r="AJ21" s="131">
        <f>AH21*1000/60</f>
        <v>115.58415555863374</v>
      </c>
      <c r="AK21" s="29">
        <f>AJ21/J21</f>
        <v>1.4448019444829217</v>
      </c>
      <c r="AL21" s="29">
        <f>AI21/J21</f>
        <v>0.23883096264551976</v>
      </c>
      <c r="AM21" s="26">
        <f>AG21*24/U21</f>
        <v>432.58524283318326</v>
      </c>
      <c r="AN21" s="117">
        <f>ABS((((LN($AN$4)-LN(AD21))/AE21)-U21)*100/U21)</f>
        <v>155.76050981291885</v>
      </c>
      <c r="AO21" s="118">
        <f>ABS((((LN($AO$4)-LN(AD21))/AE21)-U21)*100/U21)</f>
        <v>131.88973392844773</v>
      </c>
      <c r="AP21" s="118">
        <f>ABS((((LN($AP$4)-LN(AD21))/AE21)-U21)*100/U21)</f>
        <v>108.01895804397661</v>
      </c>
      <c r="AQ21" s="118">
        <f>ABS((((LN($AQ$4)-LN(AD21))/AE21)-U21)*100/U21)</f>
        <v>84.1481821595055</v>
      </c>
      <c r="AS21" s="172" t="s">
        <v>96</v>
      </c>
      <c r="AT21" s="172" t="s">
        <v>97</v>
      </c>
      <c r="AU21" s="172"/>
      <c r="AV21" s="164"/>
      <c r="AW21" s="165"/>
      <c r="AX21" s="165"/>
    </row>
    <row r="22" ht="12.75">
      <c r="AV22" s="56"/>
    </row>
  </sheetData>
  <sheetProtection/>
  <conditionalFormatting sqref="AN5:AQ5 AN13:AQ14 AN17:AQ17">
    <cfRule type="cellIs" priority="4" dxfId="0" operator="lessThan" stopIfTrue="1">
      <formula>100</formula>
    </cfRule>
  </conditionalFormatting>
  <conditionalFormatting sqref="CO9:CV16">
    <cfRule type="cellIs" priority="5" dxfId="3" operator="lessThan" stopIfTrue="1">
      <formula>60</formula>
    </cfRule>
  </conditionalFormatting>
  <conditionalFormatting sqref="AN8:AQ12">
    <cfRule type="cellIs" priority="3" dxfId="0" operator="lessThan" stopIfTrue="1">
      <formula>100</formula>
    </cfRule>
  </conditionalFormatting>
  <conditionalFormatting sqref="AN15:AQ16">
    <cfRule type="cellIs" priority="2" dxfId="0" operator="lessThan" stopIfTrue="1">
      <formula>100</formula>
    </cfRule>
  </conditionalFormatting>
  <conditionalFormatting sqref="AN18:AQ21">
    <cfRule type="cellIs" priority="1" dxfId="0" operator="lessThan" stopIfTrue="1">
      <formula>100</formula>
    </cfRule>
  </conditionalFormatting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Ciências Farmacêuticas</dc:creator>
  <cp:keywords/>
  <dc:description/>
  <cp:lastModifiedBy>Silvia Santos</cp:lastModifiedBy>
  <dcterms:created xsi:type="dcterms:W3CDTF">2020-10-08T16:58:55Z</dcterms:created>
  <dcterms:modified xsi:type="dcterms:W3CDTF">2020-10-08T23:25:29Z</dcterms:modified>
  <cp:category/>
  <cp:version/>
  <cp:contentType/>
  <cp:contentStatus/>
</cp:coreProperties>
</file>