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user-PC\Dropbox\acadêmicos\0 - GRADUAÇÃO\0 - RONI - 1o semestre 2017\CONTABILIDADE EMPRESARIAL\"/>
    </mc:Choice>
  </mc:AlternateContent>
  <bookViews>
    <workbookView xWindow="0" yWindow="0" windowWidth="24000" windowHeight="9510" activeTab="2"/>
  </bookViews>
  <sheets>
    <sheet name="2 - ARÁBIA" sheetId="1" r:id="rId1"/>
    <sheet name="3 - SUIÇA" sheetId="2" r:id="rId2"/>
    <sheet name="QUESTÕES E PROVA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J36" i="1" l="1"/>
  <c r="C36" i="1"/>
  <c r="R17" i="2"/>
  <c r="R18" i="2"/>
  <c r="N15" i="2"/>
  <c r="N13" i="2"/>
  <c r="U13" i="2"/>
  <c r="U9" i="2"/>
  <c r="U8" i="2"/>
  <c r="R42" i="2" s="1"/>
  <c r="U7" i="2"/>
  <c r="R35" i="2" s="1"/>
  <c r="R43" i="2"/>
  <c r="R34" i="2"/>
  <c r="R31" i="2"/>
  <c r="R38" i="2" s="1"/>
  <c r="R39" i="2" s="1"/>
  <c r="R24" i="2"/>
  <c r="R15" i="2"/>
  <c r="T10" i="2"/>
  <c r="R10" i="2"/>
  <c r="Q10" i="2"/>
  <c r="U6" i="2"/>
  <c r="R6" i="2"/>
  <c r="K17" i="2"/>
  <c r="D17" i="2"/>
  <c r="D18" i="2"/>
  <c r="K18" i="2"/>
  <c r="K32" i="2" s="1"/>
  <c r="K41" i="2" s="1"/>
  <c r="M9" i="2"/>
  <c r="K43" i="2"/>
  <c r="K42" i="2"/>
  <c r="K35" i="2"/>
  <c r="K34" i="2"/>
  <c r="K31" i="2"/>
  <c r="K38" i="2" s="1"/>
  <c r="K39" i="2" s="1"/>
  <c r="K24" i="2"/>
  <c r="K23" i="2"/>
  <c r="K15" i="2"/>
  <c r="N10" i="2"/>
  <c r="M10" i="2"/>
  <c r="K10" i="2"/>
  <c r="J10" i="2"/>
  <c r="N6" i="2"/>
  <c r="K6" i="2"/>
  <c r="D24" i="2"/>
  <c r="D23" i="2"/>
  <c r="D25" i="2" s="1"/>
  <c r="D56" i="2" s="1"/>
  <c r="D43" i="2"/>
  <c r="R49" i="2" l="1"/>
  <c r="R32" i="2"/>
  <c r="R41" i="2" s="1"/>
  <c r="U10" i="2"/>
  <c r="R23" i="2"/>
  <c r="R25" i="2" s="1"/>
  <c r="R56" i="2" s="1"/>
  <c r="R48" i="2"/>
  <c r="R19" i="2"/>
  <c r="K25" i="2"/>
  <c r="K56" i="2" s="1"/>
  <c r="K19" i="2"/>
  <c r="K20" i="2" s="1"/>
  <c r="K52" i="2"/>
  <c r="K48" i="2"/>
  <c r="K49" i="2"/>
  <c r="D52" i="2"/>
  <c r="D35" i="2"/>
  <c r="D34" i="2"/>
  <c r="D31" i="2"/>
  <c r="D38" i="2" s="1"/>
  <c r="D39" i="2" s="1"/>
  <c r="D15" i="2"/>
  <c r="D49" i="2" s="1"/>
  <c r="D42" i="2"/>
  <c r="F10" i="2"/>
  <c r="D10" i="2"/>
  <c r="C10" i="2"/>
  <c r="D48" i="2" s="1"/>
  <c r="G6" i="2"/>
  <c r="D6" i="2"/>
  <c r="R52" i="2" l="1"/>
  <c r="R20" i="2"/>
  <c r="R26" i="2" s="1"/>
  <c r="K21" i="2"/>
  <c r="G10" i="2"/>
  <c r="K14" i="1"/>
  <c r="K20" i="1"/>
  <c r="K13" i="1"/>
  <c r="L11" i="1"/>
  <c r="M11" i="1" s="1"/>
  <c r="K5" i="1"/>
  <c r="K45" i="1" s="1"/>
  <c r="D20" i="1"/>
  <c r="D14" i="1"/>
  <c r="D16" i="1" s="1"/>
  <c r="D13" i="1"/>
  <c r="D17" i="1" s="1"/>
  <c r="E11" i="1"/>
  <c r="F11" i="1" s="1"/>
  <c r="D5" i="1"/>
  <c r="K21" i="1" l="1"/>
  <c r="K22" i="1" s="1"/>
  <c r="D40" i="1"/>
  <c r="D21" i="1"/>
  <c r="D35" i="1" s="1"/>
  <c r="K40" i="1"/>
  <c r="K6" i="1"/>
  <c r="E14" i="1"/>
  <c r="F14" i="1" s="1"/>
  <c r="D45" i="1"/>
  <c r="D6" i="1"/>
  <c r="D7" i="1" s="1"/>
  <c r="D8" i="1" s="1"/>
  <c r="E12" i="1" s="1"/>
  <c r="L17" i="1"/>
  <c r="L15" i="1"/>
  <c r="R54" i="2"/>
  <c r="R60" i="2" s="1"/>
  <c r="R50" i="2"/>
  <c r="R51" i="2" s="1"/>
  <c r="R53" i="2" s="1"/>
  <c r="R21" i="2"/>
  <c r="K26" i="2"/>
  <c r="K44" i="2"/>
  <c r="K45" i="2" s="1"/>
  <c r="K30" i="2"/>
  <c r="K33" i="2" s="1"/>
  <c r="K36" i="2" s="1"/>
  <c r="D32" i="2"/>
  <c r="D41" i="2" s="1"/>
  <c r="D19" i="2"/>
  <c r="D20" i="2" s="1"/>
  <c r="K16" i="1"/>
  <c r="K17" i="1" s="1"/>
  <c r="K35" i="1"/>
  <c r="D22" i="1" l="1"/>
  <c r="E17" i="1"/>
  <c r="F17" i="1" s="1"/>
  <c r="D41" i="1" s="1"/>
  <c r="F12" i="1"/>
  <c r="F13" i="1" s="1"/>
  <c r="E13" i="1" s="1"/>
  <c r="E15" i="1"/>
  <c r="F15" i="1" s="1"/>
  <c r="F16" i="1" s="1"/>
  <c r="D23" i="1" s="1"/>
  <c r="D24" i="1" s="1"/>
  <c r="D25" i="1" s="1"/>
  <c r="D26" i="1" s="1"/>
  <c r="D36" i="1"/>
  <c r="D37" i="1" s="1"/>
  <c r="D46" i="1" s="1"/>
  <c r="D30" i="1"/>
  <c r="R44" i="2"/>
  <c r="R45" i="2" s="1"/>
  <c r="R30" i="2"/>
  <c r="R33" i="2" s="1"/>
  <c r="R36" i="2" s="1"/>
  <c r="U15" i="2"/>
  <c r="R55" i="2"/>
  <c r="R57" i="2" s="1"/>
  <c r="R59" i="2"/>
  <c r="K54" i="2"/>
  <c r="K60" i="2" s="1"/>
  <c r="K50" i="2"/>
  <c r="K51" i="2" s="1"/>
  <c r="K53" i="2" s="1"/>
  <c r="K46" i="2"/>
  <c r="K7" i="1"/>
  <c r="K8" i="1" s="1"/>
  <c r="L12" i="1" s="1"/>
  <c r="L14" i="1" s="1"/>
  <c r="M14" i="1" s="1"/>
  <c r="K36" i="1"/>
  <c r="K37" i="1" s="1"/>
  <c r="K46" i="1" s="1"/>
  <c r="K30" i="1"/>
  <c r="D47" i="1" l="1"/>
  <c r="D48" i="1" s="1"/>
  <c r="D31" i="1"/>
  <c r="D32" i="1" s="1"/>
  <c r="D42" i="1"/>
  <c r="R46" i="2"/>
  <c r="R61" i="2"/>
  <c r="R63" i="2" s="1"/>
  <c r="K55" i="2"/>
  <c r="K57" i="2" s="1"/>
  <c r="K59" i="2"/>
  <c r="K61" i="2" s="1"/>
  <c r="K63" i="2" s="1"/>
  <c r="D21" i="2"/>
  <c r="D44" i="2" s="1"/>
  <c r="D45" i="2" s="1"/>
  <c r="D26" i="2"/>
  <c r="D54" i="2" s="1"/>
  <c r="D60" i="2" s="1"/>
  <c r="M17" i="1"/>
  <c r="K41" i="1" s="1"/>
  <c r="M12" i="1"/>
  <c r="M13" i="1" s="1"/>
  <c r="L13" i="1" s="1"/>
  <c r="M15" i="1"/>
  <c r="M16" i="1" s="1"/>
  <c r="K23" i="1" s="1"/>
  <c r="K24" i="1" s="1"/>
  <c r="K25" i="1" s="1"/>
  <c r="K26" i="1" s="1"/>
  <c r="K31" i="1"/>
  <c r="K32" i="1" s="1"/>
  <c r="D27" i="1" l="1"/>
  <c r="D50" i="1"/>
  <c r="D50" i="2"/>
  <c r="D51" i="2" s="1"/>
  <c r="D53" i="2" s="1"/>
  <c r="D59" i="2" s="1"/>
  <c r="D61" i="2" s="1"/>
  <c r="D63" i="2" s="1"/>
  <c r="G15" i="2"/>
  <c r="D30" i="2"/>
  <c r="D33" i="2" s="1"/>
  <c r="D36" i="2" s="1"/>
  <c r="D46" i="2" s="1"/>
  <c r="K47" i="1"/>
  <c r="K48" i="1" s="1"/>
  <c r="K42" i="1"/>
  <c r="E50" i="1" l="1"/>
  <c r="D55" i="2"/>
  <c r="D57" i="2" s="1"/>
  <c r="K27" i="1"/>
  <c r="K50" i="1"/>
  <c r="L50" i="1" s="1"/>
</calcChain>
</file>

<file path=xl/sharedStrings.xml><?xml version="1.0" encoding="utf-8"?>
<sst xmlns="http://schemas.openxmlformats.org/spreadsheetml/2006/main" count="304" uniqueCount="99">
  <si>
    <t>Valor da compra</t>
  </si>
  <si>
    <t>Valor negociado com o fornecedor</t>
  </si>
  <si>
    <t>(-) ICMS a recuperar</t>
  </si>
  <si>
    <t>CUSTO POR TONELADA</t>
  </si>
  <si>
    <t>Estoques</t>
  </si>
  <si>
    <t>Saldo inicial</t>
  </si>
  <si>
    <t>Quantid</t>
  </si>
  <si>
    <t>R$/ton</t>
  </si>
  <si>
    <t>R$ total</t>
  </si>
  <si>
    <t>Compra</t>
  </si>
  <si>
    <t>Saldo antes da venda</t>
  </si>
  <si>
    <t>Baixa por venda</t>
  </si>
  <si>
    <t>TOTAL</t>
  </si>
  <si>
    <t>Saldo final</t>
  </si>
  <si>
    <t>DRE - ABRIL</t>
  </si>
  <si>
    <t>Receita bruta de venda</t>
  </si>
  <si>
    <t>(-) ICMS sobre venda</t>
  </si>
  <si>
    <t>(=) Receita líquida de venda</t>
  </si>
  <si>
    <t>(-) CMV</t>
  </si>
  <si>
    <t>(=) Lucro bruto</t>
  </si>
  <si>
    <t>(=) Lucro antes do IR/CSSLL</t>
  </si>
  <si>
    <t>(-) IR/CSSLL</t>
  </si>
  <si>
    <t>(=) Lucro líquido</t>
  </si>
  <si>
    <t>Saldo inicial de ICMS a pagar</t>
  </si>
  <si>
    <t>ICMS a pagar</t>
  </si>
  <si>
    <t>Saldo final do ICMS a pagar</t>
  </si>
  <si>
    <t>Saldo inicial de ICMS a recuperar</t>
  </si>
  <si>
    <t>Fechamento do ICMS do período</t>
  </si>
  <si>
    <t>VARIAÇÕES NO ATIVO</t>
  </si>
  <si>
    <t>Contas a receber</t>
  </si>
  <si>
    <t>VARIAÇÕES NO PASSIVO</t>
  </si>
  <si>
    <t>Fornecedores a pagar</t>
  </si>
  <si>
    <t>IR/CSSLL a pagar</t>
  </si>
  <si>
    <t>Variação no PL</t>
  </si>
  <si>
    <t>A - PEPS</t>
  </si>
  <si>
    <t>B - UEPS</t>
  </si>
  <si>
    <t>CIA SUIÇA</t>
  </si>
  <si>
    <t>ATIVO</t>
  </si>
  <si>
    <t>PASSIVO + PL</t>
  </si>
  <si>
    <t>Disponibilidades</t>
  </si>
  <si>
    <t>Imobilizado líquido</t>
  </si>
  <si>
    <t>Contas a pagar</t>
  </si>
  <si>
    <t>Empréstimos a pagar</t>
  </si>
  <si>
    <t>Patrimônio líquido</t>
  </si>
  <si>
    <t>DRE</t>
  </si>
  <si>
    <t>ABRIL</t>
  </si>
  <si>
    <t>(=) Receita líquida de vendas</t>
  </si>
  <si>
    <t>(-) Despesas com depreciações</t>
  </si>
  <si>
    <t>(-) Outras despesas operacionais</t>
  </si>
  <si>
    <t>Custo de oportunidade (%am)</t>
  </si>
  <si>
    <t>ROE (%am)</t>
  </si>
  <si>
    <t>DFC</t>
  </si>
  <si>
    <t>Fluxo de caixa das operações</t>
  </si>
  <si>
    <t>Lucro líquido do período</t>
  </si>
  <si>
    <t>(+) Depreciação do período</t>
  </si>
  <si>
    <t>(-) Juros dos empréstimos</t>
  </si>
  <si>
    <t>(+) Juros dos empréstimos</t>
  </si>
  <si>
    <t>(=) Lucro ajustado das operações</t>
  </si>
  <si>
    <t>(+/-) Variaç contas a receber</t>
  </si>
  <si>
    <t>(+/-) Variaç contas a pagar</t>
  </si>
  <si>
    <t>(=) TOTAL</t>
  </si>
  <si>
    <t>Fluxo de caixa de investimentos</t>
  </si>
  <si>
    <t>(-) Imobilizações</t>
  </si>
  <si>
    <t>Fluxo de caixa de financiamento</t>
  </si>
  <si>
    <t>(-) Juros de empréstimos</t>
  </si>
  <si>
    <t>(-) Dividendos</t>
  </si>
  <si>
    <t>(+/-) Variaç em empréstimos a pagar</t>
  </si>
  <si>
    <t>(+) Aportes de capital</t>
  </si>
  <si>
    <t>FLUXO DE CAIXA DO PERÍODO</t>
  </si>
  <si>
    <t>A</t>
  </si>
  <si>
    <t>B</t>
  </si>
  <si>
    <t>Aportes de capital do período</t>
  </si>
  <si>
    <t>BALANÇOS PATRIMONIAIS (R$)</t>
  </si>
  <si>
    <t>Informações complementares:</t>
  </si>
  <si>
    <t>P/PL</t>
  </si>
  <si>
    <t>EBIT</t>
  </si>
  <si>
    <t>NOPAT</t>
  </si>
  <si>
    <t>Margem operacional</t>
  </si>
  <si>
    <t>Giro do investimento</t>
  </si>
  <si>
    <t>Capital investido</t>
  </si>
  <si>
    <t>IR/CSSLL</t>
  </si>
  <si>
    <t>ROI</t>
  </si>
  <si>
    <t>Ki</t>
  </si>
  <si>
    <t>PL médio</t>
  </si>
  <si>
    <t>Spread</t>
  </si>
  <si>
    <t>ROE</t>
  </si>
  <si>
    <t>C</t>
  </si>
  <si>
    <t>Pass oner médio</t>
  </si>
  <si>
    <t>(=) CST AQUISIÇÃO DA MERCADORIA</t>
  </si>
  <si>
    <t>ICMS recup ref às compras do mês</t>
  </si>
  <si>
    <t>ICMS a pag ref às vendas do mês</t>
  </si>
  <si>
    <t>PROVA 1</t>
  </si>
  <si>
    <t>PROVA 2</t>
  </si>
  <si>
    <t>PROVA 3</t>
  </si>
  <si>
    <t>QUESTÃO 2</t>
  </si>
  <si>
    <t>QUESTÃO 3</t>
  </si>
  <si>
    <t>PROVA 4</t>
  </si>
  <si>
    <t>QUESTÃO</t>
  </si>
  <si>
    <t>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</si>
</sst>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164" formatCode="#,##0.000"/>
    <numFmt numFmtId="165" formatCode="#,##0.0000"/>
    <numFmt numFmtId="166" formatCode="d/m;@"/>
    <numFmt numFmtId="167" formatCode="#,##0.0"/>
    <numFmt numFmtId="168" formatCode="0.0%"/>
    <numFmt numFmtId="169" formatCode="0.000%"/>
    <numFmt numFmtId="170" formatCode="_-&quot;R$&quot;\ * #,##0_-;\-&quot;R$&quot;\ * #,##0_-;_-&quot;R$&quot;\ * &quot;-&quot;??_-;_-@_-"/>
    <numFmt numFmtId="171" formatCode="#,##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6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left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left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left" vertical="center" wrapText="1"/>
    </xf>
    <xf numFmtId="3" fontId="0" fillId="2" borderId="10" xfId="0" applyNumberForma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left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left" vertical="center" wrapText="1"/>
    </xf>
    <xf numFmtId="3" fontId="0" fillId="2" borderId="15" xfId="0" applyNumberForma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3" fontId="0" fillId="2" borderId="17" xfId="0" applyNumberFormat="1" applyFill="1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left" vertical="center" wrapText="1"/>
    </xf>
    <xf numFmtId="3" fontId="0" fillId="2" borderId="18" xfId="0" applyNumberFormat="1" applyFill="1" applyBorder="1" applyAlignment="1">
      <alignment horizontal="center" vertical="center" wrapText="1"/>
    </xf>
    <xf numFmtId="3" fontId="0" fillId="2" borderId="19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0" fillId="2" borderId="3" xfId="0" applyNumberFormat="1" applyFill="1" applyBorder="1" applyAlignment="1">
      <alignment horizontal="left" vertical="center" wrapText="1"/>
    </xf>
    <xf numFmtId="3" fontId="7" fillId="2" borderId="0" xfId="0" applyNumberFormat="1" applyFont="1" applyFill="1" applyAlignment="1">
      <alignment horizontal="center" vertical="center" wrapText="1"/>
    </xf>
    <xf numFmtId="3" fontId="7" fillId="6" borderId="0" xfId="0" applyNumberFormat="1" applyFont="1" applyFill="1" applyAlignment="1">
      <alignment horizontal="left" vertical="center" wrapText="1"/>
    </xf>
    <xf numFmtId="3" fontId="7" fillId="6" borderId="0" xfId="1" applyNumberFormat="1" applyFont="1" applyFill="1" applyAlignment="1">
      <alignment horizontal="center" vertical="center" wrapText="1"/>
    </xf>
    <xf numFmtId="3" fontId="7" fillId="6" borderId="0" xfId="0" applyNumberFormat="1" applyFont="1" applyFill="1" applyAlignment="1">
      <alignment horizontal="center" vertical="center" wrapText="1"/>
    </xf>
    <xf numFmtId="171" fontId="7" fillId="6" borderId="0" xfId="0" applyNumberFormat="1" applyFont="1" applyFill="1" applyAlignment="1">
      <alignment horizontal="center" vertical="center" wrapText="1"/>
    </xf>
    <xf numFmtId="10" fontId="7" fillId="6" borderId="0" xfId="1" applyNumberFormat="1" applyFont="1" applyFill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166" fontId="8" fillId="4" borderId="10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167" fontId="7" fillId="4" borderId="4" xfId="0" applyNumberFormat="1" applyFont="1" applyFill="1" applyBorder="1" applyAlignment="1">
      <alignment horizontal="center" vertical="center" wrapText="1"/>
    </xf>
    <xf numFmtId="167" fontId="8" fillId="4" borderId="4" xfId="0" applyNumberFormat="1" applyFont="1" applyFill="1" applyBorder="1" applyAlignment="1">
      <alignment horizontal="center" vertical="center" wrapText="1"/>
    </xf>
    <xf numFmtId="167" fontId="8" fillId="4" borderId="6" xfId="0" applyNumberFormat="1" applyFont="1" applyFill="1" applyBorder="1" applyAlignment="1">
      <alignment horizontal="center"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Alignment="1">
      <alignment horizontal="left" vertical="center" wrapText="1"/>
    </xf>
    <xf numFmtId="4" fontId="7" fillId="2" borderId="0" xfId="0" applyNumberFormat="1" applyFont="1" applyFill="1" applyAlignment="1">
      <alignment horizontal="center" vertical="center" wrapText="1"/>
    </xf>
    <xf numFmtId="169" fontId="7" fillId="2" borderId="0" xfId="1" applyNumberFormat="1" applyFont="1" applyFill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left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169" fontId="7" fillId="4" borderId="2" xfId="1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69" fontId="7" fillId="4" borderId="4" xfId="1" applyNumberFormat="1" applyFont="1" applyFill="1" applyBorder="1" applyAlignment="1">
      <alignment horizontal="center" vertical="center" wrapText="1"/>
    </xf>
    <xf numFmtId="169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left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169" fontId="8" fillId="4" borderId="6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left" vertical="center" wrapText="1" indent="1"/>
    </xf>
    <xf numFmtId="3" fontId="10" fillId="2" borderId="0" xfId="0" applyNumberFormat="1" applyFont="1" applyFill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center" vertical="center" wrapText="1"/>
    </xf>
    <xf numFmtId="166" fontId="11" fillId="2" borderId="7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left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left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167" fontId="13" fillId="2" borderId="4" xfId="0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horizontal="center" vertical="center" wrapText="1"/>
    </xf>
    <xf numFmtId="167" fontId="13" fillId="2" borderId="6" xfId="0" applyNumberFormat="1" applyFont="1" applyFill="1" applyBorder="1" applyAlignment="1">
      <alignment horizontal="center" vertical="center" wrapText="1"/>
    </xf>
    <xf numFmtId="168" fontId="10" fillId="3" borderId="0" xfId="1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170" fontId="10" fillId="3" borderId="0" xfId="2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Alignment="1">
      <alignment horizontal="center" vertical="center" wrapText="1"/>
    </xf>
    <xf numFmtId="3" fontId="0" fillId="5" borderId="0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7" fillId="7" borderId="0" xfId="0" applyNumberFormat="1" applyFont="1" applyFill="1" applyAlignment="1">
      <alignment horizontal="center" vertical="center" wrapText="1"/>
    </xf>
    <xf numFmtId="3" fontId="15" fillId="7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left" vertical="center" wrapText="1"/>
    </xf>
    <xf numFmtId="3" fontId="9" fillId="4" borderId="0" xfId="0" applyNumberFormat="1" applyFont="1" applyFill="1" applyBorder="1" applyAlignment="1">
      <alignment horizontal="left" vertical="center" wrapText="1"/>
    </xf>
    <xf numFmtId="3" fontId="7" fillId="4" borderId="3" xfId="0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left" vertical="center" wrapText="1"/>
    </xf>
    <xf numFmtId="3" fontId="8" fillId="4" borderId="5" xfId="0" applyNumberFormat="1" applyFont="1" applyFill="1" applyBorder="1" applyAlignment="1">
      <alignment horizontal="left" vertical="center" wrapText="1"/>
    </xf>
    <xf numFmtId="3" fontId="8" fillId="4" borderId="8" xfId="0" applyNumberFormat="1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left" vertical="center" wrapText="1"/>
    </xf>
    <xf numFmtId="3" fontId="9" fillId="4" borderId="7" xfId="0" applyNumberFormat="1" applyFont="1" applyFill="1" applyBorder="1" applyAlignment="1">
      <alignment horizontal="left" vertical="center" wrapText="1"/>
    </xf>
    <xf numFmtId="3" fontId="8" fillId="4" borderId="3" xfId="0" applyNumberFormat="1" applyFont="1" applyFill="1" applyBorder="1" applyAlignment="1">
      <alignment horizontal="left" vertical="center" wrapText="1"/>
    </xf>
    <xf numFmtId="3" fontId="8" fillId="4" borderId="0" xfId="0" applyNumberFormat="1" applyFont="1" applyFill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left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7" fillId="6" borderId="0" xfId="0" applyNumberFormat="1" applyFont="1" applyFill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left" vertical="center" wrapText="1"/>
    </xf>
    <xf numFmtId="3" fontId="14" fillId="2" borderId="0" xfId="0" applyNumberFormat="1" applyFont="1" applyFill="1" applyAlignment="1">
      <alignment horizontal="left" vertical="center" wrapText="1"/>
    </xf>
    <xf numFmtId="3" fontId="10" fillId="3" borderId="3" xfId="0" applyNumberFormat="1" applyFont="1" applyFill="1" applyBorder="1" applyAlignment="1">
      <alignment horizontal="left" vertical="center" wrapText="1" indent="1"/>
    </xf>
    <xf numFmtId="3" fontId="10" fillId="3" borderId="0" xfId="0" applyNumberFormat="1" applyFont="1" applyFill="1" applyBorder="1" applyAlignment="1">
      <alignment horizontal="left" vertical="center" wrapText="1" indent="1"/>
    </xf>
    <xf numFmtId="3" fontId="10" fillId="3" borderId="0" xfId="0" applyNumberFormat="1" applyFont="1" applyFill="1" applyAlignment="1">
      <alignment horizontal="left" vertical="center" wrapText="1" inden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zoomScale="80" zoomScaleNormal="80" workbookViewId="0"/>
  </sheetViews>
  <sheetFormatPr defaultRowHeight="15" x14ac:dyDescent="0.25"/>
  <cols>
    <col min="1" max="1" width="1" style="1" customWidth="1"/>
    <col min="2" max="2" width="2.42578125" style="1" customWidth="1"/>
    <col min="3" max="3" width="34" style="1" bestFit="1" customWidth="1"/>
    <col min="4" max="4" width="10.42578125" style="1" bestFit="1" customWidth="1"/>
    <col min="5" max="5" width="7.28515625" style="1" bestFit="1" customWidth="1"/>
    <col min="6" max="6" width="9.85546875" style="1" bestFit="1" customWidth="1"/>
    <col min="7" max="7" width="1.85546875" style="1" customWidth="1"/>
    <col min="8" max="8" width="2.42578125" style="1" customWidth="1"/>
    <col min="9" max="9" width="2" style="1" customWidth="1"/>
    <col min="10" max="10" width="34" style="1" bestFit="1" customWidth="1"/>
    <col min="11" max="11" width="10.42578125" style="1" bestFit="1" customWidth="1"/>
    <col min="12" max="12" width="7.28515625" style="1" bestFit="1" customWidth="1"/>
    <col min="13" max="13" width="9.85546875" style="1" bestFit="1" customWidth="1"/>
    <col min="14" max="14" width="2" style="1" customWidth="1"/>
    <col min="15" max="15" width="2.140625" style="1" customWidth="1"/>
    <col min="16" max="16384" width="9.140625" style="1"/>
  </cols>
  <sheetData>
    <row r="1" spans="2:14" ht="15.75" thickBot="1" x14ac:dyDescent="0.3"/>
    <row r="2" spans="2:14" ht="27" customHeight="1" thickTop="1" x14ac:dyDescent="0.25">
      <c r="B2" s="104" t="s">
        <v>34</v>
      </c>
      <c r="C2" s="105"/>
      <c r="D2" s="105"/>
      <c r="E2" s="105"/>
      <c r="F2" s="105"/>
      <c r="G2" s="106"/>
      <c r="I2" s="104" t="s">
        <v>35</v>
      </c>
      <c r="J2" s="105"/>
      <c r="K2" s="105"/>
      <c r="L2" s="105"/>
      <c r="M2" s="105"/>
      <c r="N2" s="106"/>
    </row>
    <row r="3" spans="2:14" x14ac:dyDescent="0.25">
      <c r="B3" s="26"/>
      <c r="C3" s="14"/>
      <c r="D3" s="14"/>
      <c r="E3" s="14"/>
      <c r="F3" s="14"/>
      <c r="G3" s="27"/>
      <c r="I3" s="26"/>
      <c r="J3" s="14"/>
      <c r="K3" s="14"/>
      <c r="L3" s="14"/>
      <c r="M3" s="14"/>
      <c r="N3" s="27"/>
    </row>
    <row r="4" spans="2:14" x14ac:dyDescent="0.25">
      <c r="B4" s="26"/>
      <c r="C4" s="3" t="s">
        <v>0</v>
      </c>
      <c r="D4" s="4"/>
      <c r="E4" s="14"/>
      <c r="F4" s="14"/>
      <c r="G4" s="27"/>
      <c r="I4" s="26"/>
      <c r="J4" s="3" t="s">
        <v>0</v>
      </c>
      <c r="K4" s="4"/>
      <c r="L4" s="14"/>
      <c r="M4" s="14"/>
      <c r="N4" s="27"/>
    </row>
    <row r="5" spans="2:14" x14ac:dyDescent="0.25">
      <c r="B5" s="26"/>
      <c r="C5" s="5" t="s">
        <v>1</v>
      </c>
      <c r="D5" s="6">
        <f>2500*600</f>
        <v>1500000</v>
      </c>
      <c r="E5" s="14"/>
      <c r="F5" s="14"/>
      <c r="G5" s="27"/>
      <c r="I5" s="26"/>
      <c r="J5" s="5" t="s">
        <v>1</v>
      </c>
      <c r="K5" s="6">
        <f>2500*600</f>
        <v>1500000</v>
      </c>
      <c r="L5" s="14"/>
      <c r="M5" s="14"/>
      <c r="N5" s="27"/>
    </row>
    <row r="6" spans="2:14" x14ac:dyDescent="0.25">
      <c r="B6" s="26"/>
      <c r="C6" s="5" t="s">
        <v>2</v>
      </c>
      <c r="D6" s="32">
        <f>-D5*10%</f>
        <v>-150000</v>
      </c>
      <c r="E6" s="14"/>
      <c r="F6" s="14"/>
      <c r="G6" s="27"/>
      <c r="I6" s="26"/>
      <c r="J6" s="5" t="s">
        <v>2</v>
      </c>
      <c r="K6" s="32">
        <f>-K5*15%</f>
        <v>-225000</v>
      </c>
      <c r="L6" s="14"/>
      <c r="M6" s="14"/>
      <c r="N6" s="27"/>
    </row>
    <row r="7" spans="2:14" x14ac:dyDescent="0.25">
      <c r="B7" s="26"/>
      <c r="C7" s="7" t="s">
        <v>88</v>
      </c>
      <c r="D7" s="8">
        <f>SUM(D5:D6)</f>
        <v>1350000</v>
      </c>
      <c r="E7" s="14"/>
      <c r="F7" s="14"/>
      <c r="G7" s="27"/>
      <c r="I7" s="26"/>
      <c r="J7" s="34" t="s">
        <v>88</v>
      </c>
      <c r="K7" s="8">
        <f>SUM(K5:K6)</f>
        <v>1275000</v>
      </c>
      <c r="L7" s="14"/>
      <c r="M7" s="14"/>
      <c r="N7" s="27"/>
    </row>
    <row r="8" spans="2:14" x14ac:dyDescent="0.25">
      <c r="B8" s="26"/>
      <c r="C8" s="9" t="s">
        <v>3</v>
      </c>
      <c r="D8" s="33">
        <f>D7/2500</f>
        <v>540</v>
      </c>
      <c r="E8" s="14"/>
      <c r="F8" s="14"/>
      <c r="G8" s="27"/>
      <c r="I8" s="26"/>
      <c r="J8" s="9" t="s">
        <v>3</v>
      </c>
      <c r="K8" s="33">
        <f>K7/2500</f>
        <v>510</v>
      </c>
      <c r="L8" s="14"/>
      <c r="M8" s="14"/>
      <c r="N8" s="27"/>
    </row>
    <row r="9" spans="2:14" x14ac:dyDescent="0.25">
      <c r="B9" s="26"/>
      <c r="C9" s="25"/>
      <c r="D9" s="14"/>
      <c r="E9" s="14"/>
      <c r="F9" s="14"/>
      <c r="G9" s="27"/>
      <c r="I9" s="26"/>
      <c r="J9" s="25"/>
      <c r="K9" s="14"/>
      <c r="L9" s="14"/>
      <c r="M9" s="14"/>
      <c r="N9" s="27"/>
    </row>
    <row r="10" spans="2:14" x14ac:dyDescent="0.25">
      <c r="B10" s="26"/>
      <c r="C10" s="20" t="s">
        <v>4</v>
      </c>
      <c r="D10" s="21" t="s">
        <v>6</v>
      </c>
      <c r="E10" s="21" t="s">
        <v>7</v>
      </c>
      <c r="F10" s="22" t="s">
        <v>8</v>
      </c>
      <c r="G10" s="27"/>
      <c r="I10" s="26"/>
      <c r="J10" s="20" t="s">
        <v>4</v>
      </c>
      <c r="K10" s="21" t="s">
        <v>6</v>
      </c>
      <c r="L10" s="21" t="s">
        <v>7</v>
      </c>
      <c r="M10" s="22" t="s">
        <v>8</v>
      </c>
      <c r="N10" s="27"/>
    </row>
    <row r="11" spans="2:14" x14ac:dyDescent="0.25">
      <c r="B11" s="26"/>
      <c r="C11" s="11" t="s">
        <v>5</v>
      </c>
      <c r="D11" s="12">
        <v>4500</v>
      </c>
      <c r="E11" s="12">
        <f>0.5*1000</f>
        <v>500</v>
      </c>
      <c r="F11" s="4">
        <f>D11*E11</f>
        <v>2250000</v>
      </c>
      <c r="G11" s="27"/>
      <c r="I11" s="26"/>
      <c r="J11" s="11" t="s">
        <v>5</v>
      </c>
      <c r="K11" s="12">
        <v>4500</v>
      </c>
      <c r="L11" s="12">
        <f>0.5*1000</f>
        <v>500</v>
      </c>
      <c r="M11" s="4">
        <f>K11*L11</f>
        <v>2250000</v>
      </c>
      <c r="N11" s="27"/>
    </row>
    <row r="12" spans="2:14" x14ac:dyDescent="0.25">
      <c r="B12" s="26"/>
      <c r="C12" s="5" t="s">
        <v>9</v>
      </c>
      <c r="D12" s="13">
        <v>2500</v>
      </c>
      <c r="E12" s="14">
        <f>D8</f>
        <v>540</v>
      </c>
      <c r="F12" s="15">
        <f>D12*E12</f>
        <v>1350000</v>
      </c>
      <c r="G12" s="27"/>
      <c r="I12" s="26"/>
      <c r="J12" s="5" t="s">
        <v>9</v>
      </c>
      <c r="K12" s="13">
        <v>2500</v>
      </c>
      <c r="L12" s="14">
        <f>K8</f>
        <v>510</v>
      </c>
      <c r="M12" s="15">
        <f>K12*L12</f>
        <v>1275000</v>
      </c>
      <c r="N12" s="27"/>
    </row>
    <row r="13" spans="2:14" x14ac:dyDescent="0.25">
      <c r="B13" s="26"/>
      <c r="C13" s="9" t="s">
        <v>10</v>
      </c>
      <c r="D13" s="16">
        <f>SUM(D11:D12)</f>
        <v>7000</v>
      </c>
      <c r="E13" s="16">
        <f>F13/D13</f>
        <v>514.28571428571433</v>
      </c>
      <c r="F13" s="10">
        <f>SUM(F11:F12)</f>
        <v>3600000</v>
      </c>
      <c r="G13" s="27"/>
      <c r="I13" s="26"/>
      <c r="J13" s="9" t="s">
        <v>10</v>
      </c>
      <c r="K13" s="16">
        <f>SUM(K11:K12)</f>
        <v>7000</v>
      </c>
      <c r="L13" s="16">
        <f>M13/K13</f>
        <v>503.57142857142856</v>
      </c>
      <c r="M13" s="10">
        <f>SUM(M11:M12)</f>
        <v>3525000</v>
      </c>
      <c r="N13" s="27"/>
    </row>
    <row r="14" spans="2:14" x14ac:dyDescent="0.25">
      <c r="B14" s="26"/>
      <c r="C14" s="11" t="s">
        <v>11</v>
      </c>
      <c r="D14" s="98">
        <f>D11</f>
        <v>4500</v>
      </c>
      <c r="E14" s="98">
        <f>E11</f>
        <v>500</v>
      </c>
      <c r="F14" s="4">
        <f>D14*E14</f>
        <v>2250000</v>
      </c>
      <c r="G14" s="27"/>
      <c r="I14" s="26"/>
      <c r="J14" s="11" t="s">
        <v>11</v>
      </c>
      <c r="K14" s="98">
        <f>K12</f>
        <v>2500</v>
      </c>
      <c r="L14" s="98">
        <f>L12</f>
        <v>510</v>
      </c>
      <c r="M14" s="4">
        <f>K14*L14</f>
        <v>1275000</v>
      </c>
      <c r="N14" s="27"/>
    </row>
    <row r="15" spans="2:14" x14ac:dyDescent="0.25">
      <c r="B15" s="26"/>
      <c r="C15" s="5" t="s">
        <v>11</v>
      </c>
      <c r="D15" s="99">
        <v>500</v>
      </c>
      <c r="E15" s="99">
        <f>E12</f>
        <v>540</v>
      </c>
      <c r="F15" s="15">
        <f>D15*E15</f>
        <v>270000</v>
      </c>
      <c r="G15" s="27"/>
      <c r="I15" s="26"/>
      <c r="J15" s="5" t="s">
        <v>11</v>
      </c>
      <c r="K15" s="99">
        <v>2500</v>
      </c>
      <c r="L15" s="99">
        <f>L11</f>
        <v>500</v>
      </c>
      <c r="M15" s="15">
        <f>K15*L15</f>
        <v>1250000</v>
      </c>
      <c r="N15" s="27"/>
    </row>
    <row r="16" spans="2:14" x14ac:dyDescent="0.25">
      <c r="B16" s="26"/>
      <c r="C16" s="9" t="s">
        <v>12</v>
      </c>
      <c r="D16" s="16">
        <f>SUM(D14:D15)</f>
        <v>5000</v>
      </c>
      <c r="E16" s="16"/>
      <c r="F16" s="10">
        <f>SUM(F14:F15)</f>
        <v>2520000</v>
      </c>
      <c r="G16" s="27"/>
      <c r="I16" s="26"/>
      <c r="J16" s="9" t="s">
        <v>12</v>
      </c>
      <c r="K16" s="16">
        <f>SUM(K14:K15)</f>
        <v>5000</v>
      </c>
      <c r="L16" s="16"/>
      <c r="M16" s="10">
        <f>SUM(M14:M15)</f>
        <v>2525000</v>
      </c>
      <c r="N16" s="27"/>
    </row>
    <row r="17" spans="2:14" x14ac:dyDescent="0.25">
      <c r="B17" s="26"/>
      <c r="C17" s="17" t="s">
        <v>13</v>
      </c>
      <c r="D17" s="18">
        <f>D13-D16</f>
        <v>2000</v>
      </c>
      <c r="E17" s="18">
        <f>E12</f>
        <v>540</v>
      </c>
      <c r="F17" s="19">
        <f>D17*E17</f>
        <v>1080000</v>
      </c>
      <c r="G17" s="27"/>
      <c r="I17" s="26"/>
      <c r="J17" s="17" t="s">
        <v>13</v>
      </c>
      <c r="K17" s="18">
        <f>K13-K16</f>
        <v>2000</v>
      </c>
      <c r="L17" s="18">
        <f>L11</f>
        <v>500</v>
      </c>
      <c r="M17" s="19">
        <f>K17*L17</f>
        <v>1000000</v>
      </c>
      <c r="N17" s="27"/>
    </row>
    <row r="18" spans="2:14" x14ac:dyDescent="0.25">
      <c r="B18" s="26"/>
      <c r="C18" s="25"/>
      <c r="D18" s="14"/>
      <c r="E18" s="14"/>
      <c r="F18" s="14"/>
      <c r="G18" s="27"/>
      <c r="I18" s="26"/>
      <c r="J18" s="25"/>
      <c r="K18" s="14"/>
      <c r="L18" s="14"/>
      <c r="M18" s="14"/>
      <c r="N18" s="27"/>
    </row>
    <row r="19" spans="2:14" x14ac:dyDescent="0.25">
      <c r="B19" s="26"/>
      <c r="C19" s="102" t="s">
        <v>14</v>
      </c>
      <c r="D19" s="103"/>
      <c r="E19" s="14"/>
      <c r="F19" s="14"/>
      <c r="G19" s="27"/>
      <c r="I19" s="26"/>
      <c r="J19" s="102" t="s">
        <v>14</v>
      </c>
      <c r="K19" s="103"/>
      <c r="L19" s="14"/>
      <c r="M19" s="14"/>
      <c r="N19" s="27"/>
    </row>
    <row r="20" spans="2:14" x14ac:dyDescent="0.25">
      <c r="B20" s="26"/>
      <c r="C20" s="7" t="s">
        <v>15</v>
      </c>
      <c r="D20" s="8">
        <f>5000*1000</f>
        <v>5000000</v>
      </c>
      <c r="E20" s="14"/>
      <c r="F20" s="14"/>
      <c r="G20" s="27"/>
      <c r="I20" s="26"/>
      <c r="J20" s="7" t="s">
        <v>15</v>
      </c>
      <c r="K20" s="8">
        <f>5000*1000</f>
        <v>5000000</v>
      </c>
      <c r="L20" s="14"/>
      <c r="M20" s="14"/>
      <c r="N20" s="27"/>
    </row>
    <row r="21" spans="2:14" x14ac:dyDescent="0.25">
      <c r="B21" s="26"/>
      <c r="C21" s="5" t="s">
        <v>16</v>
      </c>
      <c r="D21" s="32">
        <f>-D20*25%</f>
        <v>-1250000</v>
      </c>
      <c r="E21" s="14"/>
      <c r="F21" s="14"/>
      <c r="G21" s="27"/>
      <c r="I21" s="26"/>
      <c r="J21" s="5" t="s">
        <v>16</v>
      </c>
      <c r="K21" s="32">
        <f>-K20*20%</f>
        <v>-1000000</v>
      </c>
      <c r="L21" s="14"/>
      <c r="M21" s="14"/>
      <c r="N21" s="27"/>
    </row>
    <row r="22" spans="2:14" x14ac:dyDescent="0.25">
      <c r="B22" s="26"/>
      <c r="C22" s="7" t="s">
        <v>17</v>
      </c>
      <c r="D22" s="8">
        <f>SUM(D20:D21)</f>
        <v>3750000</v>
      </c>
      <c r="E22" s="14"/>
      <c r="F22" s="14"/>
      <c r="G22" s="27"/>
      <c r="I22" s="26"/>
      <c r="J22" s="7" t="s">
        <v>17</v>
      </c>
      <c r="K22" s="8">
        <f>SUM(K20:K21)</f>
        <v>4000000</v>
      </c>
      <c r="L22" s="14"/>
      <c r="M22" s="14"/>
      <c r="N22" s="27"/>
    </row>
    <row r="23" spans="2:14" x14ac:dyDescent="0.25">
      <c r="B23" s="26"/>
      <c r="C23" s="5" t="s">
        <v>18</v>
      </c>
      <c r="D23" s="6">
        <f>-F16</f>
        <v>-2520000</v>
      </c>
      <c r="E23" s="14"/>
      <c r="F23" s="14"/>
      <c r="G23" s="27"/>
      <c r="I23" s="26"/>
      <c r="J23" s="5" t="s">
        <v>18</v>
      </c>
      <c r="K23" s="6">
        <f>-M16</f>
        <v>-2525000</v>
      </c>
      <c r="L23" s="14"/>
      <c r="M23" s="14"/>
      <c r="N23" s="27"/>
    </row>
    <row r="24" spans="2:14" x14ac:dyDescent="0.25">
      <c r="B24" s="26"/>
      <c r="C24" s="7" t="s">
        <v>19</v>
      </c>
      <c r="D24" s="8">
        <f>SUM(D22:D23)</f>
        <v>1230000</v>
      </c>
      <c r="E24" s="14"/>
      <c r="F24" s="14"/>
      <c r="G24" s="27"/>
      <c r="I24" s="26"/>
      <c r="J24" s="7" t="s">
        <v>19</v>
      </c>
      <c r="K24" s="8">
        <f>SUM(K22:K23)</f>
        <v>1475000</v>
      </c>
      <c r="L24" s="14"/>
      <c r="M24" s="14"/>
      <c r="N24" s="27"/>
    </row>
    <row r="25" spans="2:14" x14ac:dyDescent="0.25">
      <c r="B25" s="26"/>
      <c r="C25" s="7" t="s">
        <v>20</v>
      </c>
      <c r="D25" s="8">
        <f>SUM(D24:D24)</f>
        <v>1230000</v>
      </c>
      <c r="E25" s="14"/>
      <c r="F25" s="14"/>
      <c r="G25" s="27"/>
      <c r="I25" s="26"/>
      <c r="J25" s="7" t="s">
        <v>20</v>
      </c>
      <c r="K25" s="8">
        <f>SUM(K24:K24)</f>
        <v>1475000</v>
      </c>
      <c r="L25" s="14"/>
      <c r="M25" s="14"/>
      <c r="N25" s="27"/>
    </row>
    <row r="26" spans="2:14" x14ac:dyDescent="0.25">
      <c r="B26" s="26"/>
      <c r="C26" s="5" t="s">
        <v>21</v>
      </c>
      <c r="D26" s="32">
        <f>-D25*40%</f>
        <v>-492000</v>
      </c>
      <c r="E26" s="14"/>
      <c r="F26" s="14"/>
      <c r="G26" s="27"/>
      <c r="I26" s="26"/>
      <c r="J26" s="5" t="s">
        <v>21</v>
      </c>
      <c r="K26" s="32">
        <f>-K25*30%</f>
        <v>-442500</v>
      </c>
      <c r="L26" s="14"/>
      <c r="M26" s="14"/>
      <c r="N26" s="27"/>
    </row>
    <row r="27" spans="2:14" x14ac:dyDescent="0.25">
      <c r="B27" s="26"/>
      <c r="C27" s="9" t="s">
        <v>22</v>
      </c>
      <c r="D27" s="10">
        <f>SUM(D25:D26)</f>
        <v>738000</v>
      </c>
      <c r="E27" s="14"/>
      <c r="F27" s="14"/>
      <c r="G27" s="27"/>
      <c r="I27" s="26"/>
      <c r="J27" s="9" t="s">
        <v>22</v>
      </c>
      <c r="K27" s="10">
        <f>SUM(K25:K26)</f>
        <v>1032500</v>
      </c>
      <c r="L27" s="14"/>
      <c r="M27" s="14"/>
      <c r="N27" s="27"/>
    </row>
    <row r="28" spans="2:14" x14ac:dyDescent="0.25">
      <c r="B28" s="26"/>
      <c r="C28" s="25"/>
      <c r="D28" s="14"/>
      <c r="E28" s="14"/>
      <c r="F28" s="14"/>
      <c r="G28" s="27"/>
      <c r="I28" s="26"/>
      <c r="J28" s="25"/>
      <c r="K28" s="14"/>
      <c r="L28" s="14"/>
      <c r="M28" s="14"/>
      <c r="N28" s="27"/>
    </row>
    <row r="29" spans="2:14" x14ac:dyDescent="0.25">
      <c r="B29" s="26"/>
      <c r="C29" s="11" t="s">
        <v>26</v>
      </c>
      <c r="D29" s="4">
        <v>0</v>
      </c>
      <c r="E29" s="14"/>
      <c r="F29" s="14"/>
      <c r="G29" s="27"/>
      <c r="I29" s="26"/>
      <c r="J29" s="11" t="s">
        <v>26</v>
      </c>
      <c r="K29" s="4">
        <v>0</v>
      </c>
      <c r="L29" s="14"/>
      <c r="M29" s="14"/>
      <c r="N29" s="27"/>
    </row>
    <row r="30" spans="2:14" x14ac:dyDescent="0.25">
      <c r="B30" s="26"/>
      <c r="C30" s="5" t="s">
        <v>89</v>
      </c>
      <c r="D30" s="6">
        <f>-D6</f>
        <v>150000</v>
      </c>
      <c r="E30" s="14"/>
      <c r="F30" s="14"/>
      <c r="G30" s="27"/>
      <c r="I30" s="26"/>
      <c r="J30" s="35" t="s">
        <v>89</v>
      </c>
      <c r="K30" s="6">
        <f>-K6</f>
        <v>225000</v>
      </c>
      <c r="L30" s="14"/>
      <c r="M30" s="14"/>
      <c r="N30" s="27"/>
    </row>
    <row r="31" spans="2:14" x14ac:dyDescent="0.25">
      <c r="B31" s="26"/>
      <c r="C31" s="5" t="s">
        <v>27</v>
      </c>
      <c r="D31" s="6">
        <f>-D30</f>
        <v>-150000</v>
      </c>
      <c r="E31" s="14"/>
      <c r="F31" s="14"/>
      <c r="G31" s="27"/>
      <c r="I31" s="26"/>
      <c r="J31" s="5" t="s">
        <v>27</v>
      </c>
      <c r="K31" s="6">
        <f>-K30</f>
        <v>-225000</v>
      </c>
      <c r="L31" s="14"/>
      <c r="M31" s="14"/>
      <c r="N31" s="27"/>
    </row>
    <row r="32" spans="2:14" x14ac:dyDescent="0.25">
      <c r="B32" s="26"/>
      <c r="C32" s="9" t="s">
        <v>25</v>
      </c>
      <c r="D32" s="10">
        <f>SUM(D29:D31)</f>
        <v>0</v>
      </c>
      <c r="E32" s="14"/>
      <c r="F32" s="14"/>
      <c r="G32" s="27"/>
      <c r="I32" s="26"/>
      <c r="J32" s="9" t="s">
        <v>25</v>
      </c>
      <c r="K32" s="10">
        <f>SUM(K29:K31)</f>
        <v>0</v>
      </c>
      <c r="L32" s="14"/>
      <c r="M32" s="14"/>
      <c r="N32" s="27"/>
    </row>
    <row r="33" spans="2:14" x14ac:dyDescent="0.25">
      <c r="B33" s="26"/>
      <c r="C33" s="25"/>
      <c r="D33" s="14"/>
      <c r="E33" s="14"/>
      <c r="F33" s="14"/>
      <c r="G33" s="27"/>
      <c r="I33" s="26"/>
      <c r="J33" s="25"/>
      <c r="K33" s="14"/>
      <c r="L33" s="14"/>
      <c r="M33" s="14"/>
      <c r="N33" s="27"/>
    </row>
    <row r="34" spans="2:14" x14ac:dyDescent="0.25">
      <c r="B34" s="26"/>
      <c r="C34" s="11" t="s">
        <v>23</v>
      </c>
      <c r="D34" s="4">
        <v>0</v>
      </c>
      <c r="E34" s="14"/>
      <c r="F34" s="14"/>
      <c r="G34" s="27"/>
      <c r="I34" s="26"/>
      <c r="J34" s="11" t="s">
        <v>23</v>
      </c>
      <c r="K34" s="4">
        <v>0</v>
      </c>
      <c r="L34" s="14"/>
      <c r="M34" s="14"/>
      <c r="N34" s="27"/>
    </row>
    <row r="35" spans="2:14" x14ac:dyDescent="0.25">
      <c r="B35" s="26"/>
      <c r="C35" s="35" t="s">
        <v>90</v>
      </c>
      <c r="D35" s="6">
        <f>-D21</f>
        <v>1250000</v>
      </c>
      <c r="E35" s="14"/>
      <c r="F35" s="14"/>
      <c r="G35" s="27"/>
      <c r="I35" s="26"/>
      <c r="J35" s="35" t="s">
        <v>90</v>
      </c>
      <c r="K35" s="6">
        <f>-K21</f>
        <v>1000000</v>
      </c>
      <c r="L35" s="14"/>
      <c r="M35" s="14"/>
      <c r="N35" s="27"/>
    </row>
    <row r="36" spans="2:14" x14ac:dyDescent="0.25">
      <c r="B36" s="26"/>
      <c r="C36" s="5" t="str">
        <f>C30</f>
        <v>ICMS recup ref às compras do mês</v>
      </c>
      <c r="D36" s="6">
        <f>D6</f>
        <v>-150000</v>
      </c>
      <c r="E36" s="14"/>
      <c r="F36" s="14"/>
      <c r="G36" s="27"/>
      <c r="I36" s="26"/>
      <c r="J36" s="35" t="str">
        <f>J30</f>
        <v>ICMS recup ref às compras do mês</v>
      </c>
      <c r="K36" s="6">
        <f>K6</f>
        <v>-225000</v>
      </c>
      <c r="L36" s="14"/>
      <c r="M36" s="14"/>
      <c r="N36" s="27"/>
    </row>
    <row r="37" spans="2:14" x14ac:dyDescent="0.25">
      <c r="B37" s="26"/>
      <c r="C37" s="9" t="s">
        <v>25</v>
      </c>
      <c r="D37" s="10">
        <f>SUM(D34:D36)</f>
        <v>1100000</v>
      </c>
      <c r="E37" s="14"/>
      <c r="F37" s="14"/>
      <c r="G37" s="27"/>
      <c r="I37" s="26"/>
      <c r="J37" s="9" t="s">
        <v>25</v>
      </c>
      <c r="K37" s="10">
        <f>SUM(K34:K36)</f>
        <v>775000</v>
      </c>
      <c r="L37" s="14"/>
      <c r="M37" s="14"/>
      <c r="N37" s="27"/>
    </row>
    <row r="38" spans="2:14" x14ac:dyDescent="0.25">
      <c r="B38" s="26"/>
      <c r="C38" s="25"/>
      <c r="D38" s="14"/>
      <c r="E38" s="14"/>
      <c r="F38" s="14"/>
      <c r="G38" s="27"/>
      <c r="I38" s="26"/>
      <c r="J38" s="25"/>
      <c r="K38" s="14"/>
      <c r="L38" s="14"/>
      <c r="M38" s="14"/>
      <c r="N38" s="27"/>
    </row>
    <row r="39" spans="2:14" x14ac:dyDescent="0.25">
      <c r="B39" s="26"/>
      <c r="C39" s="3" t="s">
        <v>28</v>
      </c>
      <c r="D39" s="4"/>
      <c r="E39" s="14"/>
      <c r="F39" s="14"/>
      <c r="G39" s="27"/>
      <c r="I39" s="26"/>
      <c r="J39" s="3" t="s">
        <v>28</v>
      </c>
      <c r="K39" s="4"/>
      <c r="L39" s="14"/>
      <c r="M39" s="14"/>
      <c r="N39" s="27"/>
    </row>
    <row r="40" spans="2:14" x14ac:dyDescent="0.25">
      <c r="B40" s="26"/>
      <c r="C40" s="5" t="s">
        <v>29</v>
      </c>
      <c r="D40" s="6">
        <f>D20</f>
        <v>5000000</v>
      </c>
      <c r="E40" s="14"/>
      <c r="F40" s="14"/>
      <c r="G40" s="27"/>
      <c r="I40" s="26"/>
      <c r="J40" s="5" t="s">
        <v>29</v>
      </c>
      <c r="K40" s="6">
        <f>K20</f>
        <v>5000000</v>
      </c>
      <c r="L40" s="14"/>
      <c r="M40" s="14"/>
      <c r="N40" s="27"/>
    </row>
    <row r="41" spans="2:14" x14ac:dyDescent="0.25">
      <c r="B41" s="26"/>
      <c r="C41" s="5" t="s">
        <v>4</v>
      </c>
      <c r="D41" s="6">
        <f>F17-F11</f>
        <v>-1170000</v>
      </c>
      <c r="E41" s="14"/>
      <c r="F41" s="14"/>
      <c r="G41" s="27"/>
      <c r="I41" s="26"/>
      <c r="J41" s="5" t="s">
        <v>4</v>
      </c>
      <c r="K41" s="6">
        <f>M17-M11</f>
        <v>-1250000</v>
      </c>
      <c r="L41" s="14"/>
      <c r="M41" s="14"/>
      <c r="N41" s="27"/>
    </row>
    <row r="42" spans="2:14" x14ac:dyDescent="0.25">
      <c r="B42" s="26"/>
      <c r="C42" s="9" t="s">
        <v>12</v>
      </c>
      <c r="D42" s="10">
        <f>SUM(D40:D41)</f>
        <v>3830000</v>
      </c>
      <c r="E42" s="14"/>
      <c r="F42" s="14"/>
      <c r="G42" s="27"/>
      <c r="I42" s="26"/>
      <c r="J42" s="9" t="s">
        <v>12</v>
      </c>
      <c r="K42" s="10">
        <f>SUM(K40:K41)</f>
        <v>3750000</v>
      </c>
      <c r="L42" s="14"/>
      <c r="M42" s="14"/>
      <c r="N42" s="27"/>
    </row>
    <row r="43" spans="2:14" x14ac:dyDescent="0.25">
      <c r="B43" s="26"/>
      <c r="C43" s="25"/>
      <c r="D43" s="14"/>
      <c r="E43" s="14"/>
      <c r="F43" s="14"/>
      <c r="G43" s="27"/>
      <c r="I43" s="26"/>
      <c r="J43" s="25"/>
      <c r="K43" s="14"/>
      <c r="L43" s="14"/>
      <c r="M43" s="14"/>
      <c r="N43" s="27"/>
    </row>
    <row r="44" spans="2:14" x14ac:dyDescent="0.25">
      <c r="B44" s="26"/>
      <c r="C44" s="3" t="s">
        <v>30</v>
      </c>
      <c r="D44" s="4"/>
      <c r="E44" s="14"/>
      <c r="F44" s="14"/>
      <c r="G44" s="27"/>
      <c r="I44" s="26"/>
      <c r="J44" s="3" t="s">
        <v>30</v>
      </c>
      <c r="K44" s="4"/>
      <c r="L44" s="14"/>
      <c r="M44" s="14"/>
      <c r="N44" s="27"/>
    </row>
    <row r="45" spans="2:14" x14ac:dyDescent="0.25">
      <c r="B45" s="26"/>
      <c r="C45" s="5" t="s">
        <v>31</v>
      </c>
      <c r="D45" s="6">
        <f>D5</f>
        <v>1500000</v>
      </c>
      <c r="E45" s="14"/>
      <c r="F45" s="14"/>
      <c r="G45" s="27"/>
      <c r="I45" s="26"/>
      <c r="J45" s="5" t="s">
        <v>31</v>
      </c>
      <c r="K45" s="6">
        <f>K5</f>
        <v>1500000</v>
      </c>
      <c r="L45" s="14"/>
      <c r="M45" s="14"/>
      <c r="N45" s="27"/>
    </row>
    <row r="46" spans="2:14" x14ac:dyDescent="0.25">
      <c r="B46" s="26"/>
      <c r="C46" s="5" t="s">
        <v>24</v>
      </c>
      <c r="D46" s="6">
        <f>D37-D34</f>
        <v>1100000</v>
      </c>
      <c r="E46" s="14"/>
      <c r="F46" s="14"/>
      <c r="G46" s="27"/>
      <c r="I46" s="26"/>
      <c r="J46" s="5" t="s">
        <v>24</v>
      </c>
      <c r="K46" s="6">
        <f>K37-K34</f>
        <v>775000</v>
      </c>
      <c r="L46" s="14"/>
      <c r="M46" s="14"/>
      <c r="N46" s="27"/>
    </row>
    <row r="47" spans="2:14" x14ac:dyDescent="0.25">
      <c r="B47" s="26"/>
      <c r="C47" s="5" t="s">
        <v>32</v>
      </c>
      <c r="D47" s="6">
        <f>-D26</f>
        <v>492000</v>
      </c>
      <c r="E47" s="14"/>
      <c r="F47" s="14"/>
      <c r="G47" s="27"/>
      <c r="I47" s="26"/>
      <c r="J47" s="5" t="s">
        <v>32</v>
      </c>
      <c r="K47" s="6">
        <f>-K26</f>
        <v>442500</v>
      </c>
      <c r="L47" s="14"/>
      <c r="M47" s="14"/>
      <c r="N47" s="27"/>
    </row>
    <row r="48" spans="2:14" x14ac:dyDescent="0.25">
      <c r="B48" s="26"/>
      <c r="C48" s="9" t="s">
        <v>12</v>
      </c>
      <c r="D48" s="10">
        <f>SUM(D45:D47)</f>
        <v>3092000</v>
      </c>
      <c r="E48" s="14"/>
      <c r="F48" s="14"/>
      <c r="G48" s="27"/>
      <c r="I48" s="26"/>
      <c r="J48" s="9" t="s">
        <v>12</v>
      </c>
      <c r="K48" s="10">
        <f>SUM(K45:K47)</f>
        <v>2717500</v>
      </c>
      <c r="L48" s="14"/>
      <c r="M48" s="14"/>
      <c r="N48" s="27"/>
    </row>
    <row r="49" spans="2:14" x14ac:dyDescent="0.25">
      <c r="B49" s="26"/>
      <c r="C49" s="25"/>
      <c r="D49" s="14"/>
      <c r="E49" s="14"/>
      <c r="F49" s="14"/>
      <c r="G49" s="27"/>
      <c r="I49" s="26"/>
      <c r="J49" s="25"/>
      <c r="K49" s="14"/>
      <c r="L49" s="14"/>
      <c r="M49" s="14"/>
      <c r="N49" s="27"/>
    </row>
    <row r="50" spans="2:14" x14ac:dyDescent="0.25">
      <c r="B50" s="26"/>
      <c r="C50" s="23" t="s">
        <v>33</v>
      </c>
      <c r="D50" s="24">
        <f>D42-D48</f>
        <v>738000</v>
      </c>
      <c r="E50" s="97">
        <f>D50-D27</f>
        <v>0</v>
      </c>
      <c r="F50" s="14"/>
      <c r="G50" s="27"/>
      <c r="I50" s="26"/>
      <c r="J50" s="23" t="s">
        <v>33</v>
      </c>
      <c r="K50" s="24">
        <f>K42-K48</f>
        <v>1032500</v>
      </c>
      <c r="L50" s="97">
        <f>K50-K27</f>
        <v>0</v>
      </c>
      <c r="M50" s="14"/>
      <c r="N50" s="27"/>
    </row>
    <row r="51" spans="2:14" ht="15.75" thickBot="1" x14ac:dyDescent="0.3">
      <c r="B51" s="28"/>
      <c r="C51" s="29"/>
      <c r="D51" s="30"/>
      <c r="E51" s="30"/>
      <c r="F51" s="30"/>
      <c r="G51" s="31"/>
      <c r="I51" s="28"/>
      <c r="J51" s="29"/>
      <c r="K51" s="30"/>
      <c r="L51" s="30"/>
      <c r="M51" s="30"/>
      <c r="N51" s="31"/>
    </row>
    <row r="52" spans="2:14" ht="15.75" thickTop="1" x14ac:dyDescent="0.25">
      <c r="C52" s="2"/>
    </row>
    <row r="53" spans="2:14" x14ac:dyDescent="0.25">
      <c r="C53" s="2"/>
    </row>
    <row r="54" spans="2:14" x14ac:dyDescent="0.25">
      <c r="C54" s="2"/>
    </row>
    <row r="55" spans="2:14" x14ac:dyDescent="0.25">
      <c r="C55" s="2"/>
    </row>
    <row r="56" spans="2:14" x14ac:dyDescent="0.25">
      <c r="C56" s="2"/>
    </row>
    <row r="57" spans="2:14" x14ac:dyDescent="0.25">
      <c r="C57" s="2"/>
    </row>
    <row r="58" spans="2:14" x14ac:dyDescent="0.25">
      <c r="C58" s="2"/>
    </row>
    <row r="59" spans="2:14" x14ac:dyDescent="0.25">
      <c r="C59" s="2"/>
    </row>
    <row r="60" spans="2:14" x14ac:dyDescent="0.25">
      <c r="C60" s="2"/>
    </row>
    <row r="61" spans="2:14" x14ac:dyDescent="0.25">
      <c r="C61" s="2"/>
    </row>
    <row r="62" spans="2:14" x14ac:dyDescent="0.25">
      <c r="C62" s="2"/>
    </row>
  </sheetData>
  <mergeCells count="4">
    <mergeCell ref="C19:D19"/>
    <mergeCell ref="B2:G2"/>
    <mergeCell ref="I2:N2"/>
    <mergeCell ref="J19:K1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3"/>
  <sheetViews>
    <sheetView zoomScale="90" zoomScaleNormal="90" workbookViewId="0">
      <selection activeCell="P4" sqref="P4:U21"/>
    </sheetView>
  </sheetViews>
  <sheetFormatPr defaultRowHeight="12.75" x14ac:dyDescent="0.25"/>
  <cols>
    <col min="1" max="1" width="4.7109375" style="36" customWidth="1"/>
    <col min="2" max="2" width="18.28515625" style="36" customWidth="1"/>
    <col min="3" max="3" width="6.140625" style="36" bestFit="1" customWidth="1"/>
    <col min="4" max="4" width="9.5703125" style="36" bestFit="1" customWidth="1"/>
    <col min="5" max="5" width="18.28515625" style="36" customWidth="1"/>
    <col min="6" max="6" width="6.140625" style="36" bestFit="1" customWidth="1"/>
    <col min="7" max="7" width="8.85546875" style="36" bestFit="1" customWidth="1"/>
    <col min="8" max="8" width="1.85546875" style="36" customWidth="1"/>
    <col min="9" max="9" width="18.28515625" style="36" customWidth="1"/>
    <col min="10" max="11" width="9.140625" style="36"/>
    <col min="12" max="12" width="18.28515625" style="36" customWidth="1"/>
    <col min="13" max="14" width="9.140625" style="36"/>
    <col min="15" max="15" width="1.85546875" style="36" customWidth="1"/>
    <col min="16" max="16" width="18.28515625" style="36" customWidth="1"/>
    <col min="17" max="18" width="9.140625" style="36"/>
    <col min="19" max="19" width="18.28515625" style="36" customWidth="1"/>
    <col min="20" max="16384" width="9.140625" style="36"/>
  </cols>
  <sheetData>
    <row r="2" spans="2:21" x14ac:dyDescent="0.25">
      <c r="B2" s="121" t="s">
        <v>69</v>
      </c>
      <c r="C2" s="122"/>
      <c r="D2" s="122"/>
      <c r="E2" s="122"/>
      <c r="F2" s="122"/>
      <c r="G2" s="123"/>
      <c r="I2" s="121" t="s">
        <v>70</v>
      </c>
      <c r="J2" s="122"/>
      <c r="K2" s="122"/>
      <c r="L2" s="122"/>
      <c r="M2" s="122"/>
      <c r="N2" s="123"/>
      <c r="P2" s="121" t="s">
        <v>86</v>
      </c>
      <c r="Q2" s="122"/>
      <c r="R2" s="122"/>
      <c r="S2" s="122"/>
      <c r="T2" s="122"/>
      <c r="U2" s="123"/>
    </row>
    <row r="4" spans="2:21" x14ac:dyDescent="0.25">
      <c r="B4" s="125" t="s">
        <v>36</v>
      </c>
      <c r="C4" s="126"/>
      <c r="D4" s="126"/>
      <c r="E4" s="126"/>
      <c r="F4" s="126"/>
      <c r="G4" s="127"/>
      <c r="I4" s="125" t="s">
        <v>36</v>
      </c>
      <c r="J4" s="126"/>
      <c r="K4" s="126"/>
      <c r="L4" s="126"/>
      <c r="M4" s="126"/>
      <c r="N4" s="127"/>
      <c r="P4" s="125" t="s">
        <v>36</v>
      </c>
      <c r="Q4" s="126"/>
      <c r="R4" s="126"/>
      <c r="S4" s="126"/>
      <c r="T4" s="126"/>
      <c r="U4" s="127"/>
    </row>
    <row r="5" spans="2:21" x14ac:dyDescent="0.25">
      <c r="B5" s="128" t="s">
        <v>72</v>
      </c>
      <c r="C5" s="129"/>
      <c r="D5" s="129"/>
      <c r="E5" s="129"/>
      <c r="F5" s="129"/>
      <c r="G5" s="130"/>
      <c r="I5" s="128" t="s">
        <v>72</v>
      </c>
      <c r="J5" s="129"/>
      <c r="K5" s="129"/>
      <c r="L5" s="129"/>
      <c r="M5" s="129"/>
      <c r="N5" s="130"/>
      <c r="P5" s="128" t="s">
        <v>72</v>
      </c>
      <c r="Q5" s="129"/>
      <c r="R5" s="129"/>
      <c r="S5" s="129"/>
      <c r="T5" s="129"/>
      <c r="U5" s="130"/>
    </row>
    <row r="6" spans="2:21" x14ac:dyDescent="0.25">
      <c r="B6" s="67" t="s">
        <v>37</v>
      </c>
      <c r="C6" s="68">
        <v>42825</v>
      </c>
      <c r="D6" s="69">
        <f>C6+30</f>
        <v>42855</v>
      </c>
      <c r="E6" s="70" t="s">
        <v>38</v>
      </c>
      <c r="F6" s="68">
        <v>42825</v>
      </c>
      <c r="G6" s="69">
        <f>F6+30</f>
        <v>42855</v>
      </c>
      <c r="I6" s="67" t="s">
        <v>37</v>
      </c>
      <c r="J6" s="68">
        <v>42825</v>
      </c>
      <c r="K6" s="69">
        <f>J6+30</f>
        <v>42855</v>
      </c>
      <c r="L6" s="70" t="s">
        <v>38</v>
      </c>
      <c r="M6" s="68">
        <v>42825</v>
      </c>
      <c r="N6" s="69">
        <f>M6+30</f>
        <v>42855</v>
      </c>
      <c r="P6" s="67" t="s">
        <v>37</v>
      </c>
      <c r="Q6" s="68">
        <v>42825</v>
      </c>
      <c r="R6" s="69">
        <f>Q6+30</f>
        <v>42855</v>
      </c>
      <c r="S6" s="70" t="s">
        <v>38</v>
      </c>
      <c r="T6" s="68">
        <v>42825</v>
      </c>
      <c r="U6" s="69">
        <f>T6+30</f>
        <v>42855</v>
      </c>
    </row>
    <row r="7" spans="2:21" x14ac:dyDescent="0.25">
      <c r="B7" s="71" t="s">
        <v>39</v>
      </c>
      <c r="C7" s="84">
        <v>2000</v>
      </c>
      <c r="D7" s="72">
        <v>100</v>
      </c>
      <c r="E7" s="73" t="s">
        <v>41</v>
      </c>
      <c r="F7" s="86">
        <v>2800</v>
      </c>
      <c r="G7" s="87">
        <v>3200</v>
      </c>
      <c r="I7" s="71" t="s">
        <v>39</v>
      </c>
      <c r="J7" s="84">
        <v>200</v>
      </c>
      <c r="K7" s="72">
        <v>100</v>
      </c>
      <c r="L7" s="73" t="s">
        <v>41</v>
      </c>
      <c r="M7" s="86">
        <v>3200</v>
      </c>
      <c r="N7" s="87">
        <v>2800</v>
      </c>
      <c r="P7" s="71" t="s">
        <v>39</v>
      </c>
      <c r="Q7" s="84">
        <v>2200</v>
      </c>
      <c r="R7" s="72">
        <v>100</v>
      </c>
      <c r="S7" s="73" t="s">
        <v>41</v>
      </c>
      <c r="T7" s="86">
        <v>2900</v>
      </c>
      <c r="U7" s="87">
        <f>6000-T7</f>
        <v>3100</v>
      </c>
    </row>
    <row r="8" spans="2:21" x14ac:dyDescent="0.25">
      <c r="B8" s="71" t="s">
        <v>29</v>
      </c>
      <c r="C8" s="84">
        <v>2500</v>
      </c>
      <c r="D8" s="85">
        <v>6500</v>
      </c>
      <c r="E8" s="73" t="s">
        <v>42</v>
      </c>
      <c r="F8" s="86">
        <v>800</v>
      </c>
      <c r="G8" s="87">
        <v>3200</v>
      </c>
      <c r="I8" s="71" t="s">
        <v>29</v>
      </c>
      <c r="J8" s="84">
        <v>3500</v>
      </c>
      <c r="K8" s="85">
        <v>2500</v>
      </c>
      <c r="L8" s="73" t="s">
        <v>42</v>
      </c>
      <c r="M8" s="86">
        <v>1800</v>
      </c>
      <c r="N8" s="87">
        <v>2200</v>
      </c>
      <c r="P8" s="71" t="s">
        <v>29</v>
      </c>
      <c r="Q8" s="84">
        <v>2300</v>
      </c>
      <c r="R8" s="85">
        <v>5200</v>
      </c>
      <c r="S8" s="73" t="s">
        <v>42</v>
      </c>
      <c r="T8" s="86">
        <v>1200</v>
      </c>
      <c r="U8" s="87">
        <f>4000-T8</f>
        <v>2800</v>
      </c>
    </row>
    <row r="9" spans="2:21" x14ac:dyDescent="0.25">
      <c r="B9" s="71" t="s">
        <v>40</v>
      </c>
      <c r="C9" s="84">
        <v>1500</v>
      </c>
      <c r="D9" s="85">
        <v>3400</v>
      </c>
      <c r="E9" s="73" t="s">
        <v>43</v>
      </c>
      <c r="F9" s="86">
        <v>2400</v>
      </c>
      <c r="G9" s="87">
        <v>3600</v>
      </c>
      <c r="I9" s="71" t="s">
        <v>40</v>
      </c>
      <c r="J9" s="84">
        <v>2300</v>
      </c>
      <c r="K9" s="85">
        <v>7400</v>
      </c>
      <c r="L9" s="73" t="s">
        <v>43</v>
      </c>
      <c r="M9" s="86">
        <f>2400-1400</f>
        <v>1000</v>
      </c>
      <c r="N9" s="87">
        <v>5000</v>
      </c>
      <c r="P9" s="71" t="s">
        <v>40</v>
      </c>
      <c r="Q9" s="84">
        <v>1500</v>
      </c>
      <c r="R9" s="85">
        <v>4700</v>
      </c>
      <c r="S9" s="73" t="s">
        <v>43</v>
      </c>
      <c r="T9" s="86">
        <v>1900</v>
      </c>
      <c r="U9" s="87">
        <f>10000-5900</f>
        <v>4100</v>
      </c>
    </row>
    <row r="10" spans="2:21" x14ac:dyDescent="0.25">
      <c r="B10" s="74" t="s">
        <v>12</v>
      </c>
      <c r="C10" s="75">
        <f>SUM(C7:C9)</f>
        <v>6000</v>
      </c>
      <c r="D10" s="76">
        <f>SUM(D7:D9)</f>
        <v>10000</v>
      </c>
      <c r="E10" s="77" t="s">
        <v>12</v>
      </c>
      <c r="F10" s="75">
        <f>SUM(F7:F9)</f>
        <v>6000</v>
      </c>
      <c r="G10" s="76">
        <f>SUM(G7:G9)</f>
        <v>10000</v>
      </c>
      <c r="I10" s="74" t="s">
        <v>12</v>
      </c>
      <c r="J10" s="75">
        <f>SUM(J7:J9)</f>
        <v>6000</v>
      </c>
      <c r="K10" s="76">
        <f>SUM(K7:K9)</f>
        <v>10000</v>
      </c>
      <c r="L10" s="77" t="s">
        <v>12</v>
      </c>
      <c r="M10" s="75">
        <f>SUM(M7:M9)</f>
        <v>6000</v>
      </c>
      <c r="N10" s="76">
        <f>SUM(N7:N9)</f>
        <v>10000</v>
      </c>
      <c r="P10" s="74" t="s">
        <v>12</v>
      </c>
      <c r="Q10" s="75">
        <f>SUM(Q7:Q9)</f>
        <v>6000</v>
      </c>
      <c r="R10" s="76">
        <f>SUM(R7:R9)</f>
        <v>10000</v>
      </c>
      <c r="S10" s="77" t="s">
        <v>12</v>
      </c>
      <c r="T10" s="75">
        <f>SUM(T7:T9)</f>
        <v>6000</v>
      </c>
      <c r="U10" s="76">
        <f>SUM(U7:U9)</f>
        <v>10000</v>
      </c>
    </row>
    <row r="11" spans="2:21" x14ac:dyDescent="0.25">
      <c r="B11" s="78"/>
      <c r="C11" s="78"/>
      <c r="D11" s="78"/>
      <c r="E11" s="78"/>
      <c r="F11" s="78"/>
      <c r="G11" s="78"/>
      <c r="I11" s="78"/>
      <c r="J11" s="78"/>
      <c r="K11" s="78"/>
      <c r="L11" s="78"/>
      <c r="M11" s="78"/>
      <c r="N11" s="78"/>
      <c r="P11" s="78"/>
      <c r="Q11" s="78"/>
      <c r="R11" s="78"/>
      <c r="S11" s="78"/>
      <c r="T11" s="78"/>
      <c r="U11" s="78"/>
    </row>
    <row r="12" spans="2:21" x14ac:dyDescent="0.25">
      <c r="B12" s="79" t="s">
        <v>44</v>
      </c>
      <c r="C12" s="80"/>
      <c r="D12" s="81" t="s">
        <v>45</v>
      </c>
      <c r="E12" s="131" t="s">
        <v>73</v>
      </c>
      <c r="F12" s="132"/>
      <c r="G12" s="132"/>
      <c r="I12" s="79" t="s">
        <v>44</v>
      </c>
      <c r="J12" s="80"/>
      <c r="K12" s="88" t="s">
        <v>45</v>
      </c>
      <c r="L12" s="131" t="s">
        <v>73</v>
      </c>
      <c r="M12" s="132"/>
      <c r="N12" s="132"/>
      <c r="P12" s="79" t="s">
        <v>44</v>
      </c>
      <c r="Q12" s="80"/>
      <c r="R12" s="88" t="s">
        <v>45</v>
      </c>
      <c r="S12" s="131" t="s">
        <v>73</v>
      </c>
      <c r="T12" s="132"/>
      <c r="U12" s="132"/>
    </row>
    <row r="13" spans="2:21" x14ac:dyDescent="0.25">
      <c r="B13" s="119" t="s">
        <v>46</v>
      </c>
      <c r="C13" s="120"/>
      <c r="D13" s="89">
        <v>2000</v>
      </c>
      <c r="E13" s="133" t="s">
        <v>71</v>
      </c>
      <c r="F13" s="134"/>
      <c r="G13" s="95">
        <v>1200</v>
      </c>
      <c r="I13" s="119" t="s">
        <v>46</v>
      </c>
      <c r="J13" s="120"/>
      <c r="K13" s="89">
        <v>2000</v>
      </c>
      <c r="L13" s="133" t="s">
        <v>71</v>
      </c>
      <c r="M13" s="134"/>
      <c r="N13" s="95">
        <f>N9-M9</f>
        <v>4000</v>
      </c>
      <c r="P13" s="119" t="s">
        <v>46</v>
      </c>
      <c r="Q13" s="120"/>
      <c r="R13" s="89">
        <v>2000</v>
      </c>
      <c r="S13" s="133" t="s">
        <v>71</v>
      </c>
      <c r="T13" s="134"/>
      <c r="U13" s="95">
        <f>U9-T9</f>
        <v>2200</v>
      </c>
    </row>
    <row r="14" spans="2:21" x14ac:dyDescent="0.25">
      <c r="B14" s="113" t="s">
        <v>18</v>
      </c>
      <c r="C14" s="114"/>
      <c r="D14" s="90">
        <v>-1200</v>
      </c>
      <c r="E14" s="133" t="s">
        <v>49</v>
      </c>
      <c r="F14" s="135"/>
      <c r="G14" s="93">
        <v>1.4999999999999999E-2</v>
      </c>
      <c r="I14" s="113" t="s">
        <v>18</v>
      </c>
      <c r="J14" s="114"/>
      <c r="K14" s="90">
        <v>-1200</v>
      </c>
      <c r="L14" s="133" t="s">
        <v>49</v>
      </c>
      <c r="M14" s="135"/>
      <c r="N14" s="93">
        <v>0.02</v>
      </c>
      <c r="P14" s="113" t="s">
        <v>18</v>
      </c>
      <c r="Q14" s="114"/>
      <c r="R14" s="90">
        <v>-1200</v>
      </c>
      <c r="S14" s="133" t="s">
        <v>49</v>
      </c>
      <c r="T14" s="135"/>
      <c r="U14" s="93">
        <v>2.5000000000000001E-2</v>
      </c>
    </row>
    <row r="15" spans="2:21" x14ac:dyDescent="0.25">
      <c r="B15" s="119" t="s">
        <v>19</v>
      </c>
      <c r="C15" s="120"/>
      <c r="D15" s="89">
        <f>SUM(D13:D14)</f>
        <v>800</v>
      </c>
      <c r="E15" s="65" t="s">
        <v>50</v>
      </c>
      <c r="F15" s="66"/>
      <c r="G15" s="96">
        <f>D21/AVERAGE(F9:G9)</f>
        <v>0.03</v>
      </c>
      <c r="I15" s="119" t="s">
        <v>19</v>
      </c>
      <c r="J15" s="120"/>
      <c r="K15" s="89">
        <f>SUM(K13:K14)</f>
        <v>800</v>
      </c>
      <c r="L15" s="65" t="s">
        <v>50</v>
      </c>
      <c r="M15" s="66"/>
      <c r="N15" s="96">
        <f>K21/AVERAGE(M9:N9)</f>
        <v>0.03</v>
      </c>
      <c r="P15" s="119" t="s">
        <v>19</v>
      </c>
      <c r="Q15" s="120"/>
      <c r="R15" s="89">
        <f>SUM(R13:R14)</f>
        <v>800</v>
      </c>
      <c r="S15" s="65" t="s">
        <v>50</v>
      </c>
      <c r="T15" s="66"/>
      <c r="U15" s="96">
        <f>R21/AVERAGE(T9:U9)</f>
        <v>0.03</v>
      </c>
    </row>
    <row r="16" spans="2:21" x14ac:dyDescent="0.25">
      <c r="B16" s="113" t="s">
        <v>47</v>
      </c>
      <c r="C16" s="114"/>
      <c r="D16" s="91">
        <v>-123</v>
      </c>
      <c r="E16" s="78"/>
      <c r="F16" s="78"/>
      <c r="G16" s="78"/>
      <c r="I16" s="113" t="s">
        <v>47</v>
      </c>
      <c r="J16" s="114"/>
      <c r="K16" s="91">
        <v>-231</v>
      </c>
      <c r="L16" s="78"/>
      <c r="M16" s="78"/>
      <c r="N16" s="78"/>
      <c r="P16" s="113" t="s">
        <v>47</v>
      </c>
      <c r="Q16" s="114"/>
      <c r="R16" s="91">
        <v>-321</v>
      </c>
      <c r="S16" s="78"/>
      <c r="T16" s="78"/>
      <c r="U16" s="78"/>
    </row>
    <row r="17" spans="2:21" x14ac:dyDescent="0.25">
      <c r="B17" s="113" t="s">
        <v>48</v>
      </c>
      <c r="C17" s="114"/>
      <c r="D17" s="91">
        <f>-607+100</f>
        <v>-507</v>
      </c>
      <c r="E17" s="78"/>
      <c r="F17" s="78"/>
      <c r="G17" s="78"/>
      <c r="I17" s="113" t="s">
        <v>48</v>
      </c>
      <c r="J17" s="114"/>
      <c r="K17" s="91">
        <f>-539+150</f>
        <v>-389</v>
      </c>
      <c r="L17" s="78"/>
      <c r="M17" s="78"/>
      <c r="N17" s="78"/>
      <c r="P17" s="113" t="s">
        <v>48</v>
      </c>
      <c r="Q17" s="114"/>
      <c r="R17" s="91">
        <f>150-439</f>
        <v>-289</v>
      </c>
      <c r="S17" s="78"/>
      <c r="T17" s="78"/>
      <c r="U17" s="78"/>
    </row>
    <row r="18" spans="2:21" x14ac:dyDescent="0.25">
      <c r="B18" s="113" t="s">
        <v>55</v>
      </c>
      <c r="C18" s="114"/>
      <c r="D18" s="91">
        <f>-SUM(F8:G8)/2*1%</f>
        <v>-20</v>
      </c>
      <c r="E18" s="78"/>
      <c r="F18" s="78"/>
      <c r="G18" s="78"/>
      <c r="I18" s="113" t="s">
        <v>55</v>
      </c>
      <c r="J18" s="114"/>
      <c r="K18" s="91">
        <f>-SUM(M8:N8)/2*1.5%</f>
        <v>-30</v>
      </c>
      <c r="L18" s="78"/>
      <c r="M18" s="78"/>
      <c r="N18" s="78"/>
      <c r="P18" s="113" t="s">
        <v>55</v>
      </c>
      <c r="Q18" s="114"/>
      <c r="R18" s="91">
        <f>-SUM(T8:U8)/2*2%</f>
        <v>-40</v>
      </c>
      <c r="S18" s="78"/>
      <c r="T18" s="78"/>
      <c r="U18" s="78"/>
    </row>
    <row r="19" spans="2:21" x14ac:dyDescent="0.25">
      <c r="B19" s="119" t="s">
        <v>20</v>
      </c>
      <c r="C19" s="120"/>
      <c r="D19" s="89">
        <f>SUM(D15:D18)</f>
        <v>150</v>
      </c>
      <c r="E19" s="78"/>
      <c r="F19" s="78"/>
      <c r="G19" s="78"/>
      <c r="I19" s="119" t="s">
        <v>20</v>
      </c>
      <c r="J19" s="120"/>
      <c r="K19" s="89">
        <f>SUM(K15:K18)</f>
        <v>150</v>
      </c>
      <c r="L19" s="78"/>
      <c r="M19" s="78"/>
      <c r="N19" s="78"/>
      <c r="P19" s="119" t="s">
        <v>20</v>
      </c>
      <c r="Q19" s="120"/>
      <c r="R19" s="89">
        <f>SUM(R15:R18)</f>
        <v>150</v>
      </c>
      <c r="S19" s="78"/>
      <c r="T19" s="78"/>
      <c r="U19" s="78"/>
    </row>
    <row r="20" spans="2:21" x14ac:dyDescent="0.25">
      <c r="B20" s="113" t="s">
        <v>21</v>
      </c>
      <c r="C20" s="114"/>
      <c r="D20" s="90">
        <f>-D19*40%</f>
        <v>-60</v>
      </c>
      <c r="E20" s="78"/>
      <c r="F20" s="94"/>
      <c r="G20" s="78"/>
      <c r="I20" s="113" t="s">
        <v>21</v>
      </c>
      <c r="J20" s="114"/>
      <c r="K20" s="90">
        <f>-K19*40%</f>
        <v>-60</v>
      </c>
      <c r="L20" s="78"/>
      <c r="M20" s="78"/>
      <c r="N20" s="78"/>
      <c r="P20" s="113" t="s">
        <v>21</v>
      </c>
      <c r="Q20" s="114"/>
      <c r="R20" s="90">
        <f>-R19*40%</f>
        <v>-60</v>
      </c>
      <c r="S20" s="78"/>
      <c r="T20" s="78"/>
      <c r="U20" s="78"/>
    </row>
    <row r="21" spans="2:21" x14ac:dyDescent="0.25">
      <c r="B21" s="82" t="s">
        <v>22</v>
      </c>
      <c r="C21" s="83"/>
      <c r="D21" s="92">
        <f>SUM(D19:D20)</f>
        <v>90</v>
      </c>
      <c r="E21" s="78"/>
      <c r="F21" s="78"/>
      <c r="G21" s="78"/>
      <c r="I21" s="82" t="s">
        <v>22</v>
      </c>
      <c r="J21" s="83"/>
      <c r="K21" s="92">
        <f>SUM(K19:K20)</f>
        <v>90</v>
      </c>
      <c r="L21" s="78"/>
      <c r="M21" s="78"/>
      <c r="N21" s="78"/>
      <c r="P21" s="82" t="s">
        <v>22</v>
      </c>
      <c r="Q21" s="83"/>
      <c r="R21" s="92">
        <f>SUM(R19:R20)</f>
        <v>90</v>
      </c>
      <c r="S21" s="78"/>
      <c r="T21" s="78"/>
      <c r="U21" s="78"/>
    </row>
    <row r="23" spans="2:21" x14ac:dyDescent="0.25">
      <c r="B23" s="37" t="s">
        <v>87</v>
      </c>
      <c r="C23" s="37"/>
      <c r="D23" s="38">
        <f>AVERAGE(F8:G8)</f>
        <v>2000</v>
      </c>
      <c r="I23" s="37" t="s">
        <v>87</v>
      </c>
      <c r="J23" s="37"/>
      <c r="K23" s="38">
        <f>AVERAGE(M8:N8)</f>
        <v>2000</v>
      </c>
      <c r="P23" s="37" t="s">
        <v>87</v>
      </c>
      <c r="Q23" s="37"/>
      <c r="R23" s="38">
        <f>AVERAGE(T8:U8)</f>
        <v>2000</v>
      </c>
    </row>
    <row r="24" spans="2:21" x14ac:dyDescent="0.25">
      <c r="B24" s="37" t="s">
        <v>83</v>
      </c>
      <c r="C24" s="37"/>
      <c r="D24" s="38">
        <f>AVERAGE(F9:G9)</f>
        <v>3000</v>
      </c>
      <c r="I24" s="37" t="s">
        <v>83</v>
      </c>
      <c r="J24" s="37"/>
      <c r="K24" s="38">
        <f>AVERAGE(M9:N9)</f>
        <v>3000</v>
      </c>
      <c r="P24" s="37" t="s">
        <v>83</v>
      </c>
      <c r="Q24" s="37"/>
      <c r="R24" s="38">
        <f>AVERAGE(T9:U9)</f>
        <v>3000</v>
      </c>
    </row>
    <row r="25" spans="2:21" x14ac:dyDescent="0.25">
      <c r="B25" s="37" t="s">
        <v>74</v>
      </c>
      <c r="C25" s="39"/>
      <c r="D25" s="40">
        <f>D23/D24</f>
        <v>0.66666666666666663</v>
      </c>
      <c r="I25" s="37" t="s">
        <v>74</v>
      </c>
      <c r="J25" s="39"/>
      <c r="K25" s="40">
        <f>K23/K24</f>
        <v>0.66666666666666663</v>
      </c>
      <c r="P25" s="37" t="s">
        <v>74</v>
      </c>
      <c r="Q25" s="39"/>
      <c r="R25" s="40">
        <f>R23/R24</f>
        <v>0.66666666666666663</v>
      </c>
    </row>
    <row r="26" spans="2:21" x14ac:dyDescent="0.25">
      <c r="B26" s="124" t="s">
        <v>80</v>
      </c>
      <c r="C26" s="124"/>
      <c r="D26" s="41">
        <f>-D20/D19</f>
        <v>0.4</v>
      </c>
      <c r="I26" s="124" t="s">
        <v>80</v>
      </c>
      <c r="J26" s="124"/>
      <c r="K26" s="41">
        <f>-K20/K19</f>
        <v>0.4</v>
      </c>
      <c r="P26" s="124" t="s">
        <v>80</v>
      </c>
      <c r="Q26" s="124"/>
      <c r="R26" s="41">
        <f>-R20/R19</f>
        <v>0.4</v>
      </c>
    </row>
    <row r="28" spans="2:21" x14ac:dyDescent="0.25">
      <c r="B28" s="42" t="s">
        <v>51</v>
      </c>
      <c r="C28" s="43"/>
      <c r="D28" s="44" t="s">
        <v>45</v>
      </c>
      <c r="I28" s="42" t="s">
        <v>51</v>
      </c>
      <c r="J28" s="43"/>
      <c r="K28" s="44" t="s">
        <v>45</v>
      </c>
      <c r="P28" s="42" t="s">
        <v>51</v>
      </c>
      <c r="Q28" s="43"/>
      <c r="R28" s="44" t="s">
        <v>45</v>
      </c>
    </row>
    <row r="29" spans="2:21" x14ac:dyDescent="0.25">
      <c r="B29" s="115" t="s">
        <v>52</v>
      </c>
      <c r="C29" s="116"/>
      <c r="D29" s="45"/>
      <c r="I29" s="115" t="s">
        <v>52</v>
      </c>
      <c r="J29" s="116"/>
      <c r="K29" s="45"/>
      <c r="P29" s="115" t="s">
        <v>52</v>
      </c>
      <c r="Q29" s="116"/>
      <c r="R29" s="45"/>
    </row>
    <row r="30" spans="2:21" x14ac:dyDescent="0.25">
      <c r="B30" s="109" t="s">
        <v>53</v>
      </c>
      <c r="C30" s="110"/>
      <c r="D30" s="46">
        <f>D21</f>
        <v>90</v>
      </c>
      <c r="I30" s="109" t="s">
        <v>53</v>
      </c>
      <c r="J30" s="110"/>
      <c r="K30" s="46">
        <f>K21</f>
        <v>90</v>
      </c>
      <c r="P30" s="109" t="s">
        <v>53</v>
      </c>
      <c r="Q30" s="110"/>
      <c r="R30" s="46">
        <f>R21</f>
        <v>90</v>
      </c>
    </row>
    <row r="31" spans="2:21" x14ac:dyDescent="0.25">
      <c r="B31" s="109" t="s">
        <v>54</v>
      </c>
      <c r="C31" s="110"/>
      <c r="D31" s="46">
        <f>-D16</f>
        <v>123</v>
      </c>
      <c r="I31" s="109" t="s">
        <v>54</v>
      </c>
      <c r="J31" s="110"/>
      <c r="K31" s="46">
        <f>-K16</f>
        <v>231</v>
      </c>
      <c r="P31" s="109" t="s">
        <v>54</v>
      </c>
      <c r="Q31" s="110"/>
      <c r="R31" s="46">
        <f>-R16</f>
        <v>321</v>
      </c>
    </row>
    <row r="32" spans="2:21" x14ac:dyDescent="0.25">
      <c r="B32" s="109" t="s">
        <v>56</v>
      </c>
      <c r="C32" s="110"/>
      <c r="D32" s="46">
        <f>-D18</f>
        <v>20</v>
      </c>
      <c r="I32" s="109" t="s">
        <v>56</v>
      </c>
      <c r="J32" s="110"/>
      <c r="K32" s="46">
        <f>-K18</f>
        <v>30</v>
      </c>
      <c r="P32" s="109" t="s">
        <v>56</v>
      </c>
      <c r="Q32" s="110"/>
      <c r="R32" s="46">
        <f>-R18</f>
        <v>40</v>
      </c>
    </row>
    <row r="33" spans="2:18" x14ac:dyDescent="0.25">
      <c r="B33" s="117" t="s">
        <v>57</v>
      </c>
      <c r="C33" s="118"/>
      <c r="D33" s="47">
        <f>SUM(D30:D32)</f>
        <v>233</v>
      </c>
      <c r="I33" s="117" t="s">
        <v>57</v>
      </c>
      <c r="J33" s="118"/>
      <c r="K33" s="47">
        <f>SUM(K30:K32)</f>
        <v>351</v>
      </c>
      <c r="P33" s="117" t="s">
        <v>57</v>
      </c>
      <c r="Q33" s="118"/>
      <c r="R33" s="47">
        <f>SUM(R30:R32)</f>
        <v>451</v>
      </c>
    </row>
    <row r="34" spans="2:18" x14ac:dyDescent="0.25">
      <c r="B34" s="109" t="s">
        <v>58</v>
      </c>
      <c r="C34" s="110"/>
      <c r="D34" s="46">
        <f>C8-D8</f>
        <v>-4000</v>
      </c>
      <c r="I34" s="109" t="s">
        <v>58</v>
      </c>
      <c r="J34" s="110"/>
      <c r="K34" s="46">
        <f>J8-K8</f>
        <v>1000</v>
      </c>
      <c r="P34" s="109" t="s">
        <v>58</v>
      </c>
      <c r="Q34" s="110"/>
      <c r="R34" s="46">
        <f>Q8-R8</f>
        <v>-2900</v>
      </c>
    </row>
    <row r="35" spans="2:18" x14ac:dyDescent="0.25">
      <c r="B35" s="109" t="s">
        <v>59</v>
      </c>
      <c r="C35" s="110"/>
      <c r="D35" s="46">
        <f>G7-F7</f>
        <v>400</v>
      </c>
      <c r="I35" s="109" t="s">
        <v>59</v>
      </c>
      <c r="J35" s="110"/>
      <c r="K35" s="46">
        <f>N7-M7</f>
        <v>-400</v>
      </c>
      <c r="P35" s="109" t="s">
        <v>59</v>
      </c>
      <c r="Q35" s="110"/>
      <c r="R35" s="46">
        <f>U7-T7</f>
        <v>200</v>
      </c>
    </row>
    <row r="36" spans="2:18" x14ac:dyDescent="0.25">
      <c r="B36" s="111" t="s">
        <v>60</v>
      </c>
      <c r="C36" s="112"/>
      <c r="D36" s="48">
        <f>SUM(D33:D35)</f>
        <v>-3367</v>
      </c>
      <c r="I36" s="111" t="s">
        <v>60</v>
      </c>
      <c r="J36" s="112"/>
      <c r="K36" s="48">
        <f>SUM(K33:K35)</f>
        <v>951</v>
      </c>
      <c r="P36" s="111" t="s">
        <v>60</v>
      </c>
      <c r="Q36" s="112"/>
      <c r="R36" s="48">
        <f>SUM(R33:R35)</f>
        <v>-2249</v>
      </c>
    </row>
    <row r="37" spans="2:18" x14ac:dyDescent="0.25">
      <c r="B37" s="115" t="s">
        <v>61</v>
      </c>
      <c r="C37" s="116"/>
      <c r="D37" s="49"/>
      <c r="I37" s="115" t="s">
        <v>61</v>
      </c>
      <c r="J37" s="116"/>
      <c r="K37" s="49"/>
      <c r="P37" s="115" t="s">
        <v>61</v>
      </c>
      <c r="Q37" s="116"/>
      <c r="R37" s="49"/>
    </row>
    <row r="38" spans="2:18" x14ac:dyDescent="0.25">
      <c r="B38" s="109" t="s">
        <v>62</v>
      </c>
      <c r="C38" s="110"/>
      <c r="D38" s="46">
        <f>-(D9-C9+D31)</f>
        <v>-2023</v>
      </c>
      <c r="I38" s="109" t="s">
        <v>62</v>
      </c>
      <c r="J38" s="110"/>
      <c r="K38" s="46">
        <f>-(K9-J9+K31)</f>
        <v>-5331</v>
      </c>
      <c r="P38" s="109" t="s">
        <v>62</v>
      </c>
      <c r="Q38" s="110"/>
      <c r="R38" s="46">
        <f>-(R9-Q9+R31)</f>
        <v>-3521</v>
      </c>
    </row>
    <row r="39" spans="2:18" x14ac:dyDescent="0.25">
      <c r="B39" s="111" t="s">
        <v>60</v>
      </c>
      <c r="C39" s="112"/>
      <c r="D39" s="48">
        <f>SUM(D38)</f>
        <v>-2023</v>
      </c>
      <c r="I39" s="111" t="s">
        <v>60</v>
      </c>
      <c r="J39" s="112"/>
      <c r="K39" s="48">
        <f>SUM(K38)</f>
        <v>-5331</v>
      </c>
      <c r="P39" s="111" t="s">
        <v>60</v>
      </c>
      <c r="Q39" s="112"/>
      <c r="R39" s="48">
        <f>SUM(R38)</f>
        <v>-3521</v>
      </c>
    </row>
    <row r="40" spans="2:18" x14ac:dyDescent="0.25">
      <c r="B40" s="107" t="s">
        <v>63</v>
      </c>
      <c r="C40" s="108"/>
      <c r="D40" s="46"/>
      <c r="I40" s="107" t="s">
        <v>63</v>
      </c>
      <c r="J40" s="108"/>
      <c r="K40" s="46"/>
      <c r="P40" s="107" t="s">
        <v>63</v>
      </c>
      <c r="Q40" s="108"/>
      <c r="R40" s="46"/>
    </row>
    <row r="41" spans="2:18" x14ac:dyDescent="0.25">
      <c r="B41" s="109" t="s">
        <v>64</v>
      </c>
      <c r="C41" s="110"/>
      <c r="D41" s="46">
        <f>-D32</f>
        <v>-20</v>
      </c>
      <c r="I41" s="109" t="s">
        <v>64</v>
      </c>
      <c r="J41" s="110"/>
      <c r="K41" s="46">
        <f>-K32</f>
        <v>-30</v>
      </c>
      <c r="P41" s="109" t="s">
        <v>64</v>
      </c>
      <c r="Q41" s="110"/>
      <c r="R41" s="46">
        <f>-R32</f>
        <v>-40</v>
      </c>
    </row>
    <row r="42" spans="2:18" x14ac:dyDescent="0.25">
      <c r="B42" s="109" t="s">
        <v>66</v>
      </c>
      <c r="C42" s="110"/>
      <c r="D42" s="46">
        <f>G8-F8</f>
        <v>2400</v>
      </c>
      <c r="I42" s="109" t="s">
        <v>66</v>
      </c>
      <c r="J42" s="110"/>
      <c r="K42" s="46">
        <f>N8-M8</f>
        <v>400</v>
      </c>
      <c r="P42" s="109" t="s">
        <v>66</v>
      </c>
      <c r="Q42" s="110"/>
      <c r="R42" s="46">
        <f>U8-T8</f>
        <v>1600</v>
      </c>
    </row>
    <row r="43" spans="2:18" x14ac:dyDescent="0.25">
      <c r="B43" s="50" t="s">
        <v>67</v>
      </c>
      <c r="C43" s="51"/>
      <c r="D43" s="46">
        <f>G13</f>
        <v>1200</v>
      </c>
      <c r="I43" s="50" t="s">
        <v>67</v>
      </c>
      <c r="J43" s="51"/>
      <c r="K43" s="46">
        <f>N13</f>
        <v>4000</v>
      </c>
      <c r="P43" s="50" t="s">
        <v>67</v>
      </c>
      <c r="Q43" s="51"/>
      <c r="R43" s="46">
        <f>U13</f>
        <v>2200</v>
      </c>
    </row>
    <row r="44" spans="2:18" x14ac:dyDescent="0.25">
      <c r="B44" s="109" t="s">
        <v>65</v>
      </c>
      <c r="C44" s="110"/>
      <c r="D44" s="46">
        <f>-D21</f>
        <v>-90</v>
      </c>
      <c r="I44" s="109" t="s">
        <v>65</v>
      </c>
      <c r="J44" s="110"/>
      <c r="K44" s="46">
        <f>-K21</f>
        <v>-90</v>
      </c>
      <c r="P44" s="109" t="s">
        <v>65</v>
      </c>
      <c r="Q44" s="110"/>
      <c r="R44" s="46">
        <f>-R21</f>
        <v>-90</v>
      </c>
    </row>
    <row r="45" spans="2:18" x14ac:dyDescent="0.25">
      <c r="B45" s="111" t="s">
        <v>60</v>
      </c>
      <c r="C45" s="112"/>
      <c r="D45" s="48">
        <f>SUM(D41:D44)</f>
        <v>3490</v>
      </c>
      <c r="I45" s="111" t="s">
        <v>60</v>
      </c>
      <c r="J45" s="112"/>
      <c r="K45" s="48">
        <f>SUM(K41:K44)</f>
        <v>4280</v>
      </c>
      <c r="P45" s="111" t="s">
        <v>60</v>
      </c>
      <c r="Q45" s="112"/>
      <c r="R45" s="48">
        <f>SUM(R41:R44)</f>
        <v>3670</v>
      </c>
    </row>
    <row r="46" spans="2:18" x14ac:dyDescent="0.25">
      <c r="B46" s="111" t="s">
        <v>68</v>
      </c>
      <c r="C46" s="112"/>
      <c r="D46" s="48">
        <f>D36+D39+D45</f>
        <v>-1900</v>
      </c>
      <c r="I46" s="111" t="s">
        <v>68</v>
      </c>
      <c r="J46" s="112"/>
      <c r="K46" s="48">
        <f>K36+K39+K45</f>
        <v>-100</v>
      </c>
      <c r="P46" s="111" t="s">
        <v>68</v>
      </c>
      <c r="Q46" s="112"/>
      <c r="R46" s="48">
        <f>R36+R39+R45</f>
        <v>-2100</v>
      </c>
    </row>
    <row r="48" spans="2:18" x14ac:dyDescent="0.25">
      <c r="B48" s="52" t="s">
        <v>79</v>
      </c>
      <c r="D48" s="36">
        <f>AVERAGE(C10:D10)-AVERAGE(F7:G7)</f>
        <v>5000</v>
      </c>
      <c r="I48" s="52" t="s">
        <v>79</v>
      </c>
      <c r="K48" s="36">
        <f>AVERAGE(J10:K10)-AVERAGE(M7:N7)</f>
        <v>5000</v>
      </c>
      <c r="P48" s="52" t="s">
        <v>79</v>
      </c>
      <c r="R48" s="36">
        <f>AVERAGE(Q10:R10)-AVERAGE(T7:U7)</f>
        <v>5000</v>
      </c>
    </row>
    <row r="49" spans="2:18" x14ac:dyDescent="0.25">
      <c r="B49" s="52" t="s">
        <v>75</v>
      </c>
      <c r="D49" s="53">
        <f>SUM(D15:D17)</f>
        <v>170</v>
      </c>
      <c r="I49" s="52" t="s">
        <v>75</v>
      </c>
      <c r="K49" s="53">
        <f>SUM(K15:K17)</f>
        <v>180</v>
      </c>
      <c r="P49" s="52" t="s">
        <v>75</v>
      </c>
      <c r="R49" s="53">
        <f>SUM(R15:R17)</f>
        <v>190</v>
      </c>
    </row>
    <row r="50" spans="2:18" x14ac:dyDescent="0.25">
      <c r="B50" s="52" t="s">
        <v>76</v>
      </c>
      <c r="D50" s="53">
        <f>D49*(1-D26)</f>
        <v>102</v>
      </c>
      <c r="I50" s="52" t="s">
        <v>76</v>
      </c>
      <c r="K50" s="53">
        <f>K49*(1-K26)</f>
        <v>108</v>
      </c>
      <c r="P50" s="52" t="s">
        <v>76</v>
      </c>
      <c r="R50" s="53">
        <f>R49*(1-R26)</f>
        <v>114</v>
      </c>
    </row>
    <row r="51" spans="2:18" x14ac:dyDescent="0.25">
      <c r="B51" s="52" t="s">
        <v>77</v>
      </c>
      <c r="D51" s="54">
        <f>D50/D13</f>
        <v>5.0999999999999997E-2</v>
      </c>
      <c r="I51" s="52" t="s">
        <v>77</v>
      </c>
      <c r="K51" s="54">
        <f>K50/K13</f>
        <v>5.3999999999999999E-2</v>
      </c>
      <c r="P51" s="52" t="s">
        <v>77</v>
      </c>
      <c r="R51" s="54">
        <f>R50/R13</f>
        <v>5.7000000000000002E-2</v>
      </c>
    </row>
    <row r="52" spans="2:18" x14ac:dyDescent="0.25">
      <c r="B52" s="52" t="s">
        <v>78</v>
      </c>
      <c r="D52" s="53">
        <f>D13/SUM(D23:D24)</f>
        <v>0.4</v>
      </c>
      <c r="I52" s="52" t="s">
        <v>78</v>
      </c>
      <c r="K52" s="53">
        <f>K13/SUM(K23:K24)</f>
        <v>0.4</v>
      </c>
      <c r="P52" s="52" t="s">
        <v>78</v>
      </c>
      <c r="R52" s="53">
        <f>R13/SUM(R23:R24)</f>
        <v>0.4</v>
      </c>
    </row>
    <row r="53" spans="2:18" x14ac:dyDescent="0.25">
      <c r="B53" s="55" t="s">
        <v>81</v>
      </c>
      <c r="C53" s="56"/>
      <c r="D53" s="57">
        <f>D51*D52</f>
        <v>2.0400000000000001E-2</v>
      </c>
      <c r="I53" s="55" t="s">
        <v>81</v>
      </c>
      <c r="J53" s="56"/>
      <c r="K53" s="57">
        <f>K51*K52</f>
        <v>2.1600000000000001E-2</v>
      </c>
      <c r="P53" s="55" t="s">
        <v>81</v>
      </c>
      <c r="Q53" s="56"/>
      <c r="R53" s="57">
        <f>R51*R52</f>
        <v>2.2800000000000001E-2</v>
      </c>
    </row>
    <row r="54" spans="2:18" x14ac:dyDescent="0.25">
      <c r="B54" s="50" t="s">
        <v>82</v>
      </c>
      <c r="C54" s="58"/>
      <c r="D54" s="59">
        <f>-D18/D23*(1-D26)</f>
        <v>6.0000000000000001E-3</v>
      </c>
      <c r="I54" s="50" t="s">
        <v>82</v>
      </c>
      <c r="J54" s="58"/>
      <c r="K54" s="59">
        <f>-K18/K23*(1-K26)</f>
        <v>8.9999999999999993E-3</v>
      </c>
      <c r="P54" s="50" t="s">
        <v>82</v>
      </c>
      <c r="Q54" s="58"/>
      <c r="R54" s="59">
        <f>-R18/R23*(1-R26)</f>
        <v>1.2E-2</v>
      </c>
    </row>
    <row r="55" spans="2:18" x14ac:dyDescent="0.25">
      <c r="B55" s="50" t="s">
        <v>84</v>
      </c>
      <c r="C55" s="58"/>
      <c r="D55" s="60">
        <f>D53-D54</f>
        <v>1.4400000000000001E-2</v>
      </c>
      <c r="I55" s="50" t="s">
        <v>84</v>
      </c>
      <c r="J55" s="58"/>
      <c r="K55" s="60">
        <f>K53-K54</f>
        <v>1.2600000000000002E-2</v>
      </c>
      <c r="P55" s="50" t="s">
        <v>84</v>
      </c>
      <c r="Q55" s="58"/>
      <c r="R55" s="60">
        <f>R53-R54</f>
        <v>1.0800000000000001E-2</v>
      </c>
    </row>
    <row r="56" spans="2:18" x14ac:dyDescent="0.25">
      <c r="B56" s="50" t="s">
        <v>74</v>
      </c>
      <c r="C56" s="58"/>
      <c r="D56" s="61">
        <f>D25</f>
        <v>0.66666666666666663</v>
      </c>
      <c r="I56" s="50" t="s">
        <v>74</v>
      </c>
      <c r="J56" s="58"/>
      <c r="K56" s="61">
        <f>K25</f>
        <v>0.66666666666666663</v>
      </c>
      <c r="P56" s="50" t="s">
        <v>74</v>
      </c>
      <c r="Q56" s="58"/>
      <c r="R56" s="61">
        <f>R25</f>
        <v>0.66666666666666663</v>
      </c>
    </row>
    <row r="57" spans="2:18" x14ac:dyDescent="0.25">
      <c r="B57" s="62" t="s">
        <v>85</v>
      </c>
      <c r="C57" s="63"/>
      <c r="D57" s="64">
        <f>D53+D55*D56</f>
        <v>3.0000000000000002E-2</v>
      </c>
      <c r="I57" s="62" t="s">
        <v>85</v>
      </c>
      <c r="J57" s="63"/>
      <c r="K57" s="64">
        <f>K53+K55*K56</f>
        <v>3.0000000000000002E-2</v>
      </c>
      <c r="P57" s="62" t="s">
        <v>85</v>
      </c>
      <c r="Q57" s="63"/>
      <c r="R57" s="64">
        <f>R53+R55*R56</f>
        <v>0.03</v>
      </c>
    </row>
    <row r="59" spans="2:18" x14ac:dyDescent="0.25">
      <c r="B59" s="55" t="s">
        <v>81</v>
      </c>
      <c r="C59" s="56"/>
      <c r="D59" s="57">
        <f>D53</f>
        <v>2.0400000000000001E-2</v>
      </c>
      <c r="I59" s="55" t="s">
        <v>81</v>
      </c>
      <c r="J59" s="56"/>
      <c r="K59" s="57">
        <f>K53</f>
        <v>2.1600000000000001E-2</v>
      </c>
      <c r="P59" s="55" t="s">
        <v>81</v>
      </c>
      <c r="Q59" s="56"/>
      <c r="R59" s="57">
        <f>R53</f>
        <v>2.2800000000000001E-2</v>
      </c>
    </row>
    <row r="60" spans="2:18" x14ac:dyDescent="0.25">
      <c r="B60" s="50" t="s">
        <v>82</v>
      </c>
      <c r="C60" s="58"/>
      <c r="D60" s="59">
        <f>D54</f>
        <v>6.0000000000000001E-3</v>
      </c>
      <c r="I60" s="50" t="s">
        <v>82</v>
      </c>
      <c r="J60" s="58"/>
      <c r="K60" s="59">
        <f>K54</f>
        <v>8.9999999999999993E-3</v>
      </c>
      <c r="P60" s="50" t="s">
        <v>82</v>
      </c>
      <c r="Q60" s="58"/>
      <c r="R60" s="59">
        <f>R54</f>
        <v>1.2E-2</v>
      </c>
    </row>
    <row r="61" spans="2:18" x14ac:dyDescent="0.25">
      <c r="B61" s="50" t="s">
        <v>84</v>
      </c>
      <c r="C61" s="58"/>
      <c r="D61" s="60">
        <f>D59-D60</f>
        <v>1.4400000000000001E-2</v>
      </c>
      <c r="I61" s="50" t="s">
        <v>84</v>
      </c>
      <c r="J61" s="58"/>
      <c r="K61" s="60">
        <f>K59-K60</f>
        <v>1.2600000000000002E-2</v>
      </c>
      <c r="P61" s="50" t="s">
        <v>84</v>
      </c>
      <c r="Q61" s="58"/>
      <c r="R61" s="60">
        <f>R59-R60</f>
        <v>1.0800000000000001E-2</v>
      </c>
    </row>
    <row r="62" spans="2:18" x14ac:dyDescent="0.25">
      <c r="B62" s="50" t="s">
        <v>74</v>
      </c>
      <c r="C62" s="58"/>
      <c r="D62" s="61">
        <v>1</v>
      </c>
      <c r="I62" s="50" t="s">
        <v>74</v>
      </c>
      <c r="J62" s="58"/>
      <c r="K62" s="61">
        <v>1</v>
      </c>
      <c r="P62" s="50" t="s">
        <v>74</v>
      </c>
      <c r="Q62" s="58"/>
      <c r="R62" s="61">
        <v>1</v>
      </c>
    </row>
    <row r="63" spans="2:18" x14ac:dyDescent="0.25">
      <c r="B63" s="62" t="s">
        <v>85</v>
      </c>
      <c r="C63" s="63"/>
      <c r="D63" s="64">
        <f>D59+D61*D62</f>
        <v>3.4800000000000005E-2</v>
      </c>
      <c r="I63" s="62" t="s">
        <v>85</v>
      </c>
      <c r="J63" s="63"/>
      <c r="K63" s="64">
        <f>K59+K61*K62</f>
        <v>3.4200000000000001E-2</v>
      </c>
      <c r="P63" s="62" t="s">
        <v>85</v>
      </c>
      <c r="Q63" s="63"/>
      <c r="R63" s="64">
        <f>R59+R61*R62</f>
        <v>3.3600000000000005E-2</v>
      </c>
    </row>
  </sheetData>
  <mergeCells count="96">
    <mergeCell ref="P37:Q37"/>
    <mergeCell ref="P38:Q38"/>
    <mergeCell ref="P39:Q39"/>
    <mergeCell ref="P46:Q46"/>
    <mergeCell ref="P40:Q40"/>
    <mergeCell ref="P41:Q41"/>
    <mergeCell ref="P42:Q42"/>
    <mergeCell ref="P44:Q44"/>
    <mergeCell ref="P45:Q45"/>
    <mergeCell ref="P32:Q32"/>
    <mergeCell ref="P33:Q33"/>
    <mergeCell ref="P34:Q34"/>
    <mergeCell ref="P35:Q35"/>
    <mergeCell ref="P36:Q36"/>
    <mergeCell ref="P20:Q20"/>
    <mergeCell ref="P26:Q26"/>
    <mergeCell ref="P29:Q29"/>
    <mergeCell ref="P30:Q30"/>
    <mergeCell ref="P31:Q31"/>
    <mergeCell ref="P15:Q15"/>
    <mergeCell ref="P16:Q16"/>
    <mergeCell ref="P17:Q17"/>
    <mergeCell ref="P18:Q18"/>
    <mergeCell ref="P19:Q19"/>
    <mergeCell ref="E14:F14"/>
    <mergeCell ref="P2:U2"/>
    <mergeCell ref="P4:U4"/>
    <mergeCell ref="P5:U5"/>
    <mergeCell ref="S12:U12"/>
    <mergeCell ref="P13:Q13"/>
    <mergeCell ref="S13:T13"/>
    <mergeCell ref="P14:Q14"/>
    <mergeCell ref="S14:T14"/>
    <mergeCell ref="B14:C14"/>
    <mergeCell ref="B26:C26"/>
    <mergeCell ref="I2:N2"/>
    <mergeCell ref="I4:N4"/>
    <mergeCell ref="I5:N5"/>
    <mergeCell ref="L12:N12"/>
    <mergeCell ref="I13:J13"/>
    <mergeCell ref="L13:M13"/>
    <mergeCell ref="I14:J14"/>
    <mergeCell ref="L14:M14"/>
    <mergeCell ref="I26:J26"/>
    <mergeCell ref="B15:C15"/>
    <mergeCell ref="B4:G4"/>
    <mergeCell ref="B5:G5"/>
    <mergeCell ref="E13:F13"/>
    <mergeCell ref="E12:G12"/>
    <mergeCell ref="B31:C31"/>
    <mergeCell ref="B32:C32"/>
    <mergeCell ref="B33:C33"/>
    <mergeCell ref="B16:C16"/>
    <mergeCell ref="B17:C17"/>
    <mergeCell ref="B18:C18"/>
    <mergeCell ref="B19:C19"/>
    <mergeCell ref="B20:C20"/>
    <mergeCell ref="B46:C46"/>
    <mergeCell ref="B45:C45"/>
    <mergeCell ref="B42:C42"/>
    <mergeCell ref="B2:G2"/>
    <mergeCell ref="B38:C38"/>
    <mergeCell ref="B39:C39"/>
    <mergeCell ref="B40:C40"/>
    <mergeCell ref="B41:C41"/>
    <mergeCell ref="B44:C44"/>
    <mergeCell ref="B34:C34"/>
    <mergeCell ref="B13:C13"/>
    <mergeCell ref="B35:C35"/>
    <mergeCell ref="B36:C36"/>
    <mergeCell ref="B37:C37"/>
    <mergeCell ref="B29:C29"/>
    <mergeCell ref="B30:C30"/>
    <mergeCell ref="I15:J15"/>
    <mergeCell ref="I16:J16"/>
    <mergeCell ref="I17:J17"/>
    <mergeCell ref="I18:J18"/>
    <mergeCell ref="I19:J19"/>
    <mergeCell ref="I20:J20"/>
    <mergeCell ref="I39:J39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40:J40"/>
    <mergeCell ref="I41:J41"/>
    <mergeCell ref="I42:J42"/>
    <mergeCell ref="I45:J45"/>
    <mergeCell ref="I46:J46"/>
    <mergeCell ref="I44:J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="160" zoomScaleNormal="160" workbookViewId="0">
      <selection activeCell="A7" sqref="A7"/>
    </sheetView>
  </sheetViews>
  <sheetFormatPr defaultRowHeight="12.75" x14ac:dyDescent="0.25"/>
  <cols>
    <col min="1" max="1" width="4.7109375" style="36" customWidth="1"/>
    <col min="2" max="2" width="16.5703125" style="36" customWidth="1"/>
    <col min="3" max="20" width="23.85546875" style="36" customWidth="1"/>
    <col min="21" max="16384" width="9.140625" style="36"/>
  </cols>
  <sheetData>
    <row r="2" spans="2:6" ht="18.75" x14ac:dyDescent="0.25">
      <c r="B2" s="100"/>
      <c r="C2" s="101" t="s">
        <v>91</v>
      </c>
      <c r="D2" s="101" t="s">
        <v>92</v>
      </c>
      <c r="E2" s="101" t="s">
        <v>93</v>
      </c>
      <c r="F2" s="101" t="s">
        <v>96</v>
      </c>
    </row>
    <row r="3" spans="2:6" ht="18.75" x14ac:dyDescent="0.25">
      <c r="B3" s="101" t="s">
        <v>94</v>
      </c>
      <c r="C3" s="101" t="s">
        <v>69</v>
      </c>
      <c r="D3" s="101" t="s">
        <v>70</v>
      </c>
      <c r="E3" s="101" t="s">
        <v>69</v>
      </c>
      <c r="F3" s="101" t="s">
        <v>70</v>
      </c>
    </row>
    <row r="4" spans="2:6" ht="18.75" x14ac:dyDescent="0.25">
      <c r="B4" s="101" t="s">
        <v>95</v>
      </c>
      <c r="C4" s="101" t="s">
        <v>69</v>
      </c>
      <c r="D4" s="101" t="s">
        <v>70</v>
      </c>
      <c r="E4" s="101" t="s">
        <v>86</v>
      </c>
      <c r="F4" s="101" t="s">
        <v>86</v>
      </c>
    </row>
    <row r="6" spans="2:6" ht="18.75" x14ac:dyDescent="0.25">
      <c r="B6" s="101" t="s">
        <v>97</v>
      </c>
      <c r="C6" s="101" t="s">
        <v>98</v>
      </c>
    </row>
    <row r="7" spans="2:6" ht="18.75" x14ac:dyDescent="0.25">
      <c r="B7" s="101">
        <v>1</v>
      </c>
      <c r="C7" s="101">
        <v>2</v>
      </c>
    </row>
    <row r="8" spans="2:6" ht="18.75" x14ac:dyDescent="0.25">
      <c r="B8" s="101">
        <v>2</v>
      </c>
      <c r="C8" s="101">
        <v>3</v>
      </c>
    </row>
    <row r="9" spans="2:6" ht="18.75" x14ac:dyDescent="0.25">
      <c r="B9" s="101">
        <v>3</v>
      </c>
      <c r="C9" s="101">
        <v>5</v>
      </c>
    </row>
    <row r="10" spans="2:6" ht="18.75" x14ac:dyDescent="0.25">
      <c r="B10" s="101" t="s">
        <v>12</v>
      </c>
      <c r="C10" s="101">
        <f>SUM(C7:C9)</f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2 - ARÁBIA</vt:lpstr>
      <vt:lpstr>3 - SUIÇA</vt:lpstr>
      <vt:lpstr>QUESTÕES E PROVAS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2017-05-31T21:09:41Z</dcterms:created>
  <dcterms:modified xsi:type="dcterms:W3CDTF">2017-06-28T12:27:26Z</dcterms:modified>
</cp:coreProperties>
</file>