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10800" firstSheet="1" activeTab="2"/>
  </bookViews>
  <sheets>
    <sheet name="CIA ARREDON - DEC INVESTIM" sheetId="1" r:id="rId1"/>
    <sheet name="CIA ARREDON - DEC OPERACIONAL" sheetId="2" r:id="rId2"/>
    <sheet name="CIA ARREDON - DEC FINANC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3" l="1"/>
  <c r="M37" i="3"/>
  <c r="M38" i="3"/>
  <c r="M35" i="3"/>
  <c r="M33" i="3"/>
  <c r="M32" i="3"/>
  <c r="M31" i="3"/>
  <c r="M30" i="3"/>
  <c r="M29" i="3"/>
  <c r="M28" i="3"/>
  <c r="M27" i="3"/>
  <c r="M25" i="3"/>
  <c r="M26" i="3" s="1"/>
  <c r="M24" i="3"/>
  <c r="M23" i="3"/>
  <c r="M22" i="3"/>
  <c r="M21" i="3"/>
  <c r="M7" i="3"/>
  <c r="M20" i="3"/>
  <c r="M19" i="3"/>
  <c r="M18" i="3"/>
  <c r="M17" i="3"/>
  <c r="M16" i="3"/>
  <c r="M15" i="3"/>
  <c r="M6" i="3"/>
  <c r="M5" i="3"/>
  <c r="M4" i="3"/>
  <c r="M3" i="3"/>
  <c r="D49" i="3"/>
  <c r="D45" i="3"/>
  <c r="D43" i="3"/>
  <c r="D41" i="3"/>
  <c r="D42" i="3" s="1"/>
  <c r="J38" i="3"/>
  <c r="D37" i="3"/>
  <c r="D36" i="3"/>
  <c r="D35" i="3"/>
  <c r="D34" i="3"/>
  <c r="D32" i="3"/>
  <c r="K25" i="3"/>
  <c r="D15" i="3"/>
  <c r="D16" i="3" s="1"/>
  <c r="D17" i="3" s="1"/>
  <c r="G11" i="3"/>
  <c r="G10" i="3"/>
  <c r="F10" i="3"/>
  <c r="J42" i="3" s="1"/>
  <c r="G8" i="3"/>
  <c r="D39" i="3" s="1"/>
  <c r="D8" i="3"/>
  <c r="C8" i="3"/>
  <c r="J36" i="3" s="1"/>
  <c r="J39" i="3" s="1"/>
  <c r="J7" i="3"/>
  <c r="G7" i="3"/>
  <c r="D38" i="3" s="1"/>
  <c r="J6" i="3"/>
  <c r="K23" i="3" s="1"/>
  <c r="G6" i="3"/>
  <c r="D6" i="3"/>
  <c r="C6" i="3"/>
  <c r="C11" i="3" s="1"/>
  <c r="D5" i="3"/>
  <c r="J4" i="3"/>
  <c r="G4" i="3"/>
  <c r="D4" i="3"/>
  <c r="D50" i="3" s="1"/>
  <c r="M37" i="2"/>
  <c r="M39" i="2" s="1"/>
  <c r="M38" i="2"/>
  <c r="M35" i="2"/>
  <c r="M33" i="2"/>
  <c r="M32" i="2"/>
  <c r="M31" i="2"/>
  <c r="M30" i="2"/>
  <c r="M29" i="2"/>
  <c r="M28" i="2"/>
  <c r="M27" i="2"/>
  <c r="M26" i="2"/>
  <c r="M25" i="2"/>
  <c r="M24" i="2"/>
  <c r="M23" i="2"/>
  <c r="M22" i="2"/>
  <c r="M7" i="2"/>
  <c r="M6" i="2"/>
  <c r="M21" i="2"/>
  <c r="M20" i="2"/>
  <c r="M19" i="2"/>
  <c r="M18" i="2"/>
  <c r="M17" i="2"/>
  <c r="M16" i="2"/>
  <c r="M15" i="2"/>
  <c r="M9" i="2"/>
  <c r="M3" i="2"/>
  <c r="M5" i="2" s="1"/>
  <c r="M4" i="2"/>
  <c r="D49" i="2"/>
  <c r="D45" i="2"/>
  <c r="D43" i="2"/>
  <c r="D41" i="2"/>
  <c r="D42" i="2" s="1"/>
  <c r="J38" i="2"/>
  <c r="D38" i="2"/>
  <c r="D37" i="2"/>
  <c r="D36" i="2"/>
  <c r="D35" i="2"/>
  <c r="D34" i="2"/>
  <c r="D33" i="2"/>
  <c r="D32" i="2"/>
  <c r="K25" i="2"/>
  <c r="D16" i="2"/>
  <c r="D17" i="2" s="1"/>
  <c r="D15" i="2"/>
  <c r="G10" i="2"/>
  <c r="G11" i="2" s="1"/>
  <c r="F10" i="2"/>
  <c r="J42" i="2" s="1"/>
  <c r="G8" i="2"/>
  <c r="D39" i="2" s="1"/>
  <c r="D8" i="2"/>
  <c r="C8" i="2"/>
  <c r="J36" i="2" s="1"/>
  <c r="J39" i="2" s="1"/>
  <c r="J7" i="2"/>
  <c r="G7" i="2"/>
  <c r="J6" i="2"/>
  <c r="D22" i="2" s="1"/>
  <c r="G6" i="2"/>
  <c r="D6" i="2"/>
  <c r="C6" i="2"/>
  <c r="C11" i="2" s="1"/>
  <c r="J3" i="2" s="1"/>
  <c r="D5" i="2"/>
  <c r="J4" i="2"/>
  <c r="G4" i="2"/>
  <c r="D4" i="2"/>
  <c r="D11" i="2" s="1"/>
  <c r="J3" i="3" l="1"/>
  <c r="D19" i="3"/>
  <c r="D33" i="3"/>
  <c r="D11" i="3"/>
  <c r="D22" i="3"/>
  <c r="F11" i="3"/>
  <c r="K21" i="2"/>
  <c r="D30" i="2"/>
  <c r="D44" i="2" s="1"/>
  <c r="D19" i="2"/>
  <c r="J5" i="2"/>
  <c r="K6" i="2" s="1"/>
  <c r="K23" i="2"/>
  <c r="D50" i="2"/>
  <c r="F11" i="2"/>
  <c r="M39" i="1"/>
  <c r="M9" i="1"/>
  <c r="M25" i="1" s="1"/>
  <c r="J5" i="3" l="1"/>
  <c r="K21" i="3"/>
  <c r="D30" i="3"/>
  <c r="D44" i="3" s="1"/>
  <c r="D23" i="3"/>
  <c r="K15" i="3"/>
  <c r="K18" i="2"/>
  <c r="K7" i="2"/>
  <c r="K15" i="2"/>
  <c r="D23" i="2"/>
  <c r="K26" i="2"/>
  <c r="G10" i="1"/>
  <c r="K18" i="3" l="1"/>
  <c r="K7" i="3"/>
  <c r="K6" i="3"/>
  <c r="D25" i="3"/>
  <c r="E24" i="3"/>
  <c r="K16" i="3" s="1"/>
  <c r="D25" i="2"/>
  <c r="E24" i="2"/>
  <c r="K16" i="2"/>
  <c r="D49" i="1"/>
  <c r="D45" i="1"/>
  <c r="D43" i="1"/>
  <c r="D41" i="1"/>
  <c r="D42" i="1" s="1"/>
  <c r="J38" i="1"/>
  <c r="D6" i="1"/>
  <c r="G8" i="1"/>
  <c r="D39" i="1" s="1"/>
  <c r="G6" i="1"/>
  <c r="C6" i="1"/>
  <c r="D36" i="1"/>
  <c r="G4" i="1"/>
  <c r="D35" i="1" s="1"/>
  <c r="D15" i="1"/>
  <c r="D34" i="1"/>
  <c r="K25" i="1"/>
  <c r="J6" i="1"/>
  <c r="D8" i="1"/>
  <c r="D5" i="1"/>
  <c r="D32" i="1" s="1"/>
  <c r="D4" i="1"/>
  <c r="D50" i="1" s="1"/>
  <c r="F10" i="1"/>
  <c r="J42" i="1" s="1"/>
  <c r="C8" i="1"/>
  <c r="J36" i="1" s="1"/>
  <c r="J39" i="1" s="1"/>
  <c r="K20" i="3" l="1"/>
  <c r="N16" i="3"/>
  <c r="K17" i="3"/>
  <c r="K19" i="3" s="1"/>
  <c r="K11" i="3"/>
  <c r="K13" i="3" s="1"/>
  <c r="D28" i="3"/>
  <c r="D31" i="3" s="1"/>
  <c r="D40" i="3" s="1"/>
  <c r="J43" i="3"/>
  <c r="K26" i="3"/>
  <c r="D28" i="2"/>
  <c r="D31" i="2" s="1"/>
  <c r="D40" i="2" s="1"/>
  <c r="J43" i="2"/>
  <c r="K11" i="2"/>
  <c r="K13" i="2" s="1"/>
  <c r="K17" i="2"/>
  <c r="K19" i="2" s="1"/>
  <c r="K20" i="2"/>
  <c r="N16" i="2"/>
  <c r="D22" i="1"/>
  <c r="K23" i="1"/>
  <c r="J7" i="1"/>
  <c r="F11" i="1"/>
  <c r="C11" i="1"/>
  <c r="D11" i="1"/>
  <c r="D33" i="1"/>
  <c r="K22" i="3" l="1"/>
  <c r="K24" i="3"/>
  <c r="K27" i="3"/>
  <c r="K28" i="3" s="1"/>
  <c r="J45" i="3"/>
  <c r="D46" i="3" s="1"/>
  <c r="D47" i="3" s="1"/>
  <c r="D48" i="3" s="1"/>
  <c r="J45" i="2"/>
  <c r="D46" i="2" s="1"/>
  <c r="D47" i="2" s="1"/>
  <c r="D48" i="2" s="1"/>
  <c r="J46" i="2"/>
  <c r="K22" i="2"/>
  <c r="K24" i="2"/>
  <c r="K27" i="2"/>
  <c r="K28" i="2" s="1"/>
  <c r="K21" i="1"/>
  <c r="J3" i="1"/>
  <c r="M3" i="1" s="1"/>
  <c r="D30" i="1"/>
  <c r="D44" i="1" s="1"/>
  <c r="D37" i="1"/>
  <c r="D16" i="1"/>
  <c r="D17" i="1" s="1"/>
  <c r="J46" i="3" l="1"/>
  <c r="K29" i="3"/>
  <c r="K30" i="3" s="1"/>
  <c r="K31" i="3" s="1"/>
  <c r="K29" i="2"/>
  <c r="K30" i="2" s="1"/>
  <c r="K31" i="2" s="1"/>
  <c r="D19" i="1"/>
  <c r="D23" i="1" s="1"/>
  <c r="E24" i="1" s="1"/>
  <c r="G7" i="1"/>
  <c r="K32" i="3" l="1"/>
  <c r="K33" i="3" s="1"/>
  <c r="K32" i="2"/>
  <c r="K33" i="2" s="1"/>
  <c r="K15" i="1"/>
  <c r="D25" i="1"/>
  <c r="J43" i="1" s="1"/>
  <c r="J4" i="1"/>
  <c r="D38" i="1"/>
  <c r="G11" i="1"/>
  <c r="J5" i="1" l="1"/>
  <c r="K18" i="1" s="1"/>
  <c r="M4" i="1"/>
  <c r="M5" i="1" s="1"/>
  <c r="K17" i="1"/>
  <c r="K16" i="1"/>
  <c r="M15" i="1"/>
  <c r="M16" i="1" s="1"/>
  <c r="J45" i="1"/>
  <c r="D46" i="1" s="1"/>
  <c r="D47" i="1" s="1"/>
  <c r="K6" i="1"/>
  <c r="M6" i="1" s="1"/>
  <c r="D28" i="1"/>
  <c r="D31" i="1" s="1"/>
  <c r="D40" i="1" s="1"/>
  <c r="K11" i="1"/>
  <c r="K13" i="1" s="1"/>
  <c r="K20" i="1"/>
  <c r="M18" i="1" l="1"/>
  <c r="K19" i="1"/>
  <c r="K7" i="1"/>
  <c r="M7" i="1" s="1"/>
  <c r="M23" i="1"/>
  <c r="M21" i="1"/>
  <c r="M26" i="1" s="1"/>
  <c r="M20" i="1"/>
  <c r="M17" i="1"/>
  <c r="N16" i="1"/>
  <c r="K22" i="1"/>
  <c r="K24" i="1" s="1"/>
  <c r="D48" i="1"/>
  <c r="J46" i="1"/>
  <c r="K26" i="1"/>
  <c r="K27" i="1" s="1"/>
  <c r="K28" i="1" s="1"/>
  <c r="M22" i="1" l="1"/>
  <c r="M24" i="1" s="1"/>
  <c r="M27" i="1"/>
  <c r="M28" i="1" s="1"/>
  <c r="M19" i="1"/>
  <c r="M37" i="1"/>
  <c r="K29" i="1"/>
  <c r="K30" i="1" s="1"/>
  <c r="K31" i="1" s="1"/>
  <c r="M32" i="1" l="1"/>
  <c r="M35" i="1"/>
  <c r="M29" i="1"/>
  <c r="M30" i="1"/>
  <c r="K32" i="1"/>
  <c r="K33" i="1" s="1"/>
  <c r="M38" i="1" l="1"/>
  <c r="M31" i="1"/>
  <c r="M33" i="1" s="1"/>
</calcChain>
</file>

<file path=xl/sharedStrings.xml><?xml version="1.0" encoding="utf-8"?>
<sst xmlns="http://schemas.openxmlformats.org/spreadsheetml/2006/main" count="282" uniqueCount="89">
  <si>
    <t>ATIVO</t>
  </si>
  <si>
    <t>Disponibilidades</t>
  </si>
  <si>
    <t>Contas a receber</t>
  </si>
  <si>
    <t>Estoques</t>
  </si>
  <si>
    <t>Imobilizado líquido</t>
  </si>
  <si>
    <t>TOTAL</t>
  </si>
  <si>
    <t>PASSIVO+PL</t>
  </si>
  <si>
    <t>Fornecedores a pagar</t>
  </si>
  <si>
    <t>Contas a pagar</t>
  </si>
  <si>
    <t>Adiantamento de clientes</t>
  </si>
  <si>
    <t>Empréstimos a pagar</t>
  </si>
  <si>
    <t>Patrimônio líquido</t>
  </si>
  <si>
    <t>ICMS a recuperar</t>
  </si>
  <si>
    <t>ICMS a pagar</t>
  </si>
  <si>
    <t>IR/CSSLL a pagar</t>
  </si>
  <si>
    <t>DRE - ABRIL</t>
  </si>
  <si>
    <t>Receita bruta de vendas</t>
  </si>
  <si>
    <t>(-) ICMS sobre vendas</t>
  </si>
  <si>
    <t>Ativos totais médios</t>
  </si>
  <si>
    <t>Passivos operacionais médios</t>
  </si>
  <si>
    <t>INVESTIMENTO MÉDIO</t>
  </si>
  <si>
    <t>(=) Receita líquida de vendas</t>
  </si>
  <si>
    <t>(-) CMV</t>
  </si>
  <si>
    <t>(=) Lucro bruto</t>
  </si>
  <si>
    <t>Passivos onerosos médios</t>
  </si>
  <si>
    <t>PL médio</t>
  </si>
  <si>
    <t>(-) Despesas comerciais</t>
  </si>
  <si>
    <t>(-) Despesas administrativas</t>
  </si>
  <si>
    <t>(-) Despesas financeiras</t>
  </si>
  <si>
    <t>(-) Lucro antes do IR/CSSLL</t>
  </si>
  <si>
    <t>(-) IR/CSSLL</t>
  </si>
  <si>
    <t>(=) Lucro líquido</t>
  </si>
  <si>
    <t>Custo de oportunidade (% am)</t>
  </si>
  <si>
    <t>ROE (% am)</t>
  </si>
  <si>
    <t>EVA®</t>
  </si>
  <si>
    <t>EBIT</t>
  </si>
  <si>
    <t>NOPAT</t>
  </si>
  <si>
    <t>ROI</t>
  </si>
  <si>
    <t>Ki</t>
  </si>
  <si>
    <t>Ke</t>
  </si>
  <si>
    <t>wacc</t>
  </si>
  <si>
    <t>eva</t>
  </si>
  <si>
    <t>DFC - ABRIL</t>
  </si>
  <si>
    <t>Lucro líquido</t>
  </si>
  <si>
    <t>(+) depreciação do período</t>
  </si>
  <si>
    <t>(+) Despesas financeiras</t>
  </si>
  <si>
    <t>(=) Lucr líquido ajustado</t>
  </si>
  <si>
    <t>(+/-) variações contas a receber</t>
  </si>
  <si>
    <t>(+/-) variações estoques</t>
  </si>
  <si>
    <t>(+/-) variações ICMS a recuperar</t>
  </si>
  <si>
    <t>(+/-) variações forn a pagar</t>
  </si>
  <si>
    <t>(+/-) variações contas a pagar</t>
  </si>
  <si>
    <t>(+/-) variações ICMS a pagar</t>
  </si>
  <si>
    <t>(+/-) variações IR/CSSLL a pagar</t>
  </si>
  <si>
    <t>(+/-) variações adiant clientes</t>
  </si>
  <si>
    <t>(=) FLUXO DE CAIXA DAS OPERAÇ</t>
  </si>
  <si>
    <t>Saldo inicial</t>
  </si>
  <si>
    <t>Imobilizações</t>
  </si>
  <si>
    <t>(-) Deprec do período</t>
  </si>
  <si>
    <t>(=) Saldo final</t>
  </si>
  <si>
    <t>(-) Imobilizações</t>
  </si>
  <si>
    <t>(=) FLUXO DE CAIXA DE INVEST</t>
  </si>
  <si>
    <t>Variações em emprést a pagar</t>
  </si>
  <si>
    <t>Despesas financeiras</t>
  </si>
  <si>
    <t>DMPL</t>
  </si>
  <si>
    <t>Saldo inicial do PL</t>
  </si>
  <si>
    <t>Aumento de capital</t>
  </si>
  <si>
    <t>(-) Distribuição de lucro</t>
  </si>
  <si>
    <t>(=) Saldo final do PL</t>
  </si>
  <si>
    <t>(-) Distribuição de lucros</t>
  </si>
  <si>
    <t>(=) FLUXO DE CAIXA DE FINANC</t>
  </si>
  <si>
    <t>FLUXO DE CAIXA</t>
  </si>
  <si>
    <t>Saldo final</t>
  </si>
  <si>
    <t>Valor da empresa</t>
  </si>
  <si>
    <t>Valor do PL</t>
  </si>
  <si>
    <t>Margem operacional</t>
  </si>
  <si>
    <t>Giro do investimento</t>
  </si>
  <si>
    <t>Patrimônio</t>
  </si>
  <si>
    <t>Riqueza</t>
  </si>
  <si>
    <t>Spread</t>
  </si>
  <si>
    <t>P/PL</t>
  </si>
  <si>
    <t>ROE</t>
  </si>
  <si>
    <t>MVA (Goodwill)</t>
  </si>
  <si>
    <t>variação do valor do PL</t>
  </si>
  <si>
    <t>variação na riqueza do sócio</t>
  </si>
  <si>
    <t>dividendos distribuídos</t>
  </si>
  <si>
    <t>DECISÃO DE INVESTIMENTO</t>
  </si>
  <si>
    <t>DECISÃO OPERACIONAL</t>
  </si>
  <si>
    <t>DECISÃO DE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</si>
</sst>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6]d\-mmm;@"/>
    <numFmt numFmtId="165" formatCode="0.0%"/>
    <numFmt numFmtId="166" formatCode="0.000%"/>
    <numFmt numFmtId="167" formatCode="#,##0.000"/>
    <numFmt numFmtId="168" formatCode="0.0000%"/>
    <numFmt numFmtId="169" formatCode="#,##0.0"/>
    <numFmt numFmtId="170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left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5" fontId="0" fillId="2" borderId="11" xfId="1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165" fontId="0" fillId="2" borderId="4" xfId="1" applyNumberFormat="1" applyFont="1" applyFill="1" applyBorder="1" applyAlignment="1">
      <alignment horizontal="center" vertical="center" wrapText="1"/>
    </xf>
    <xf numFmtId="165" fontId="0" fillId="2" borderId="6" xfId="1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8" fontId="0" fillId="2" borderId="0" xfId="1" applyNumberFormat="1" applyFont="1" applyFill="1" applyAlignment="1">
      <alignment horizontal="center" vertical="center" wrapText="1"/>
    </xf>
    <xf numFmtId="166" fontId="0" fillId="2" borderId="4" xfId="1" applyNumberFormat="1" applyFont="1" applyFill="1" applyBorder="1" applyAlignment="1">
      <alignment horizontal="center" vertical="center" wrapText="1"/>
    </xf>
    <xf numFmtId="167" fontId="0" fillId="2" borderId="6" xfId="0" applyNumberFormat="1" applyFill="1" applyBorder="1" applyAlignment="1">
      <alignment horizontal="center" vertical="center" wrapText="1"/>
    </xf>
    <xf numFmtId="9" fontId="0" fillId="2" borderId="4" xfId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168" fontId="0" fillId="2" borderId="2" xfId="1" applyNumberFormat="1" applyFont="1" applyFill="1" applyBorder="1" applyAlignment="1">
      <alignment horizontal="center" vertical="center" wrapText="1"/>
    </xf>
    <xf numFmtId="166" fontId="0" fillId="2" borderId="6" xfId="1" applyNumberFormat="1" applyFont="1" applyFill="1" applyBorder="1" applyAlignment="1">
      <alignment horizontal="center" vertical="center" wrapText="1"/>
    </xf>
    <xf numFmtId="168" fontId="0" fillId="2" borderId="11" xfId="1" applyNumberFormat="1" applyFont="1" applyFill="1" applyBorder="1" applyAlignment="1">
      <alignment horizontal="center" vertical="center" wrapText="1"/>
    </xf>
    <xf numFmtId="9" fontId="0" fillId="2" borderId="2" xfId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9" fontId="2" fillId="2" borderId="6" xfId="1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169" fontId="0" fillId="2" borderId="11" xfId="0" applyNumberFormat="1" applyFill="1" applyBorder="1" applyAlignment="1">
      <alignment horizontal="center" vertical="center" wrapText="1"/>
    </xf>
    <xf numFmtId="170" fontId="0" fillId="2" borderId="4" xfId="0" applyNumberForma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0" fillId="5" borderId="3" xfId="0" applyNumberFormat="1" applyFill="1" applyBorder="1" applyAlignment="1">
      <alignment horizontal="left" vertical="center" wrapText="1"/>
    </xf>
    <xf numFmtId="3" fontId="0" fillId="5" borderId="0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0" fillId="2" borderId="0" xfId="0" applyNumberFormat="1" applyFill="1" applyAlignment="1">
      <alignment horizontal="left" vertical="center"/>
    </xf>
    <xf numFmtId="3" fontId="0" fillId="2" borderId="3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left" vertical="center" wrapText="1"/>
    </xf>
    <xf numFmtId="3" fontId="0" fillId="4" borderId="0" xfId="0" applyNumberFormat="1" applyFont="1" applyFill="1" applyBorder="1" applyAlignment="1">
      <alignment horizontal="left" vertical="center" wrapText="1"/>
    </xf>
    <xf numFmtId="3" fontId="0" fillId="5" borderId="3" xfId="0" applyNumberFormat="1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left" vertical="center" wrapText="1"/>
    </xf>
    <xf numFmtId="3" fontId="0" fillId="2" borderId="10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3" fontId="2" fillId="4" borderId="3" xfId="0" applyNumberFormat="1" applyFont="1" applyFill="1" applyBorder="1" applyAlignment="1">
      <alignment horizontal="left" vertical="center" wrapText="1"/>
    </xf>
    <xf numFmtId="3" fontId="2" fillId="4" borderId="0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3" fontId="0" fillId="2" borderId="7" xfId="0" applyNumberFormat="1" applyFont="1" applyFill="1" applyBorder="1" applyAlignment="1">
      <alignment horizontal="left" vertical="center" wrapText="1"/>
    </xf>
    <xf numFmtId="3" fontId="2" fillId="4" borderId="0" xfId="0" applyNumberFormat="1" applyFont="1" applyFill="1" applyAlignment="1">
      <alignment horizontal="left" vertical="center"/>
    </xf>
    <xf numFmtId="3" fontId="0" fillId="6" borderId="0" xfId="0" applyNumberFormat="1" applyFill="1" applyAlignment="1">
      <alignment horizontal="center" vertical="center" wrapText="1"/>
    </xf>
    <xf numFmtId="3" fontId="0" fillId="6" borderId="0" xfId="0" applyNumberFormat="1" applyFill="1" applyBorder="1" applyAlignment="1">
      <alignment horizontal="center" vertical="center" wrapText="1"/>
    </xf>
    <xf numFmtId="3" fontId="0" fillId="7" borderId="0" xfId="0" applyNumberFormat="1" applyFill="1" applyAlignment="1">
      <alignment horizontal="center" vertical="center" wrapText="1"/>
    </xf>
    <xf numFmtId="3" fontId="0" fillId="7" borderId="0" xfId="0" applyNumberFormat="1" applyFill="1" applyBorder="1" applyAlignment="1">
      <alignment horizontal="center" vertical="center" wrapText="1"/>
    </xf>
    <xf numFmtId="165" fontId="0" fillId="7" borderId="0" xfId="1" applyNumberFormat="1" applyFont="1" applyFill="1" applyBorder="1" applyAlignment="1">
      <alignment horizontal="center" vertical="center" wrapText="1"/>
    </xf>
    <xf numFmtId="168" fontId="0" fillId="7" borderId="0" xfId="1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 applyAlignment="1">
      <alignment horizontal="center" vertical="center" wrapText="1"/>
    </xf>
    <xf numFmtId="166" fontId="0" fillId="7" borderId="0" xfId="1" applyNumberFormat="1" applyFont="1" applyFill="1" applyBorder="1" applyAlignment="1">
      <alignment horizontal="center" vertical="center" wrapText="1"/>
    </xf>
    <xf numFmtId="170" fontId="0" fillId="7" borderId="0" xfId="0" applyNumberFormat="1" applyFill="1" applyBorder="1" applyAlignment="1">
      <alignment horizontal="center" vertical="center" wrapText="1"/>
    </xf>
    <xf numFmtId="167" fontId="0" fillId="7" borderId="0" xfId="0" applyNumberFormat="1" applyFill="1" applyBorder="1" applyAlignment="1">
      <alignment horizontal="center" vertical="center" wrapText="1"/>
    </xf>
    <xf numFmtId="169" fontId="0" fillId="7" borderId="0" xfId="0" applyNumberFormat="1" applyFill="1" applyBorder="1" applyAlignment="1">
      <alignment horizontal="center" vertical="center" wrapText="1"/>
    </xf>
    <xf numFmtId="9" fontId="0" fillId="7" borderId="0" xfId="1" applyFont="1" applyFill="1" applyBorder="1" applyAlignment="1">
      <alignment horizontal="center" vertical="center" wrapText="1"/>
    </xf>
    <xf numFmtId="9" fontId="2" fillId="7" borderId="0" xfId="1" applyFont="1" applyFill="1" applyBorder="1" applyAlignment="1">
      <alignment horizontal="center" vertical="center" wrapText="1"/>
    </xf>
    <xf numFmtId="3" fontId="4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7" borderId="12" xfId="1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 wrapText="1"/>
    </xf>
    <xf numFmtId="3" fontId="2" fillId="5" borderId="0" xfId="0" applyNumberFormat="1" applyFont="1" applyFill="1" applyAlignment="1">
      <alignment horizontal="left" vertical="center"/>
    </xf>
    <xf numFmtId="165" fontId="0" fillId="6" borderId="0" xfId="1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6" fontId="0" fillId="6" borderId="0" xfId="1" applyNumberFormat="1" applyFont="1" applyFill="1" applyBorder="1" applyAlignment="1">
      <alignment horizontal="center" vertical="center" wrapText="1"/>
    </xf>
    <xf numFmtId="166" fontId="0" fillId="6" borderId="12" xfId="1" applyNumberFormat="1" applyFont="1" applyFill="1" applyBorder="1" applyAlignment="1">
      <alignment horizontal="center" vertical="center" wrapText="1"/>
    </xf>
    <xf numFmtId="167" fontId="0" fillId="6" borderId="0" xfId="0" applyNumberFormat="1" applyFill="1" applyBorder="1" applyAlignment="1">
      <alignment horizontal="center" vertical="center" wrapText="1"/>
    </xf>
    <xf numFmtId="169" fontId="0" fillId="6" borderId="0" xfId="0" applyNumberFormat="1" applyFill="1" applyBorder="1" applyAlignment="1">
      <alignment horizontal="center" vertical="center" wrapText="1"/>
    </xf>
    <xf numFmtId="9" fontId="0" fillId="6" borderId="0" xfId="1" applyFont="1" applyFill="1" applyBorder="1" applyAlignment="1">
      <alignment horizontal="center" vertical="center" wrapText="1"/>
    </xf>
    <xf numFmtId="9" fontId="2" fillId="6" borderId="0" xfId="1" applyFont="1" applyFill="1" applyBorder="1" applyAlignment="1">
      <alignment horizontal="center" vertical="center" wrapText="1"/>
    </xf>
    <xf numFmtId="4" fontId="0" fillId="6" borderId="0" xfId="0" applyNumberFormat="1" applyFill="1" applyBorder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70" fontId="0" fillId="6" borderId="12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topLeftCell="C1" zoomScale="90" zoomScaleNormal="90" workbookViewId="0">
      <selection activeCell="M37" sqref="M37:M39"/>
    </sheetView>
  </sheetViews>
  <sheetFormatPr defaultRowHeight="15" x14ac:dyDescent="0.25"/>
  <cols>
    <col min="1" max="1" width="9.140625" style="1"/>
    <col min="2" max="2" width="22.28515625" style="1" customWidth="1"/>
    <col min="3" max="3" width="9.140625" style="1"/>
    <col min="4" max="4" width="11.85546875" style="1" bestFit="1" customWidth="1"/>
    <col min="5" max="5" width="26.28515625" style="1" customWidth="1"/>
    <col min="6" max="7" width="9.140625" style="1"/>
    <col min="8" max="8" width="1.5703125" style="1" customWidth="1"/>
    <col min="9" max="9" width="33.7109375" style="1" customWidth="1"/>
    <col min="10" max="10" width="9.140625" style="1"/>
    <col min="11" max="11" width="10.140625" style="1" customWidth="1"/>
    <col min="12" max="12" width="1.85546875" style="1" customWidth="1"/>
    <col min="13" max="13" width="11.85546875" style="1" bestFit="1" customWidth="1"/>
    <col min="14" max="16384" width="9.140625" style="1"/>
  </cols>
  <sheetData>
    <row r="2" spans="2:14" x14ac:dyDescent="0.25">
      <c r="M2" s="87" t="s">
        <v>86</v>
      </c>
    </row>
    <row r="3" spans="2:14" x14ac:dyDescent="0.25">
      <c r="B3" s="3" t="s">
        <v>0</v>
      </c>
      <c r="C3" s="9">
        <v>42825</v>
      </c>
      <c r="D3" s="9">
        <v>42855</v>
      </c>
      <c r="E3" s="3" t="s">
        <v>6</v>
      </c>
      <c r="F3" s="9">
        <v>42825</v>
      </c>
      <c r="G3" s="4">
        <v>42855</v>
      </c>
      <c r="I3" s="19" t="s">
        <v>18</v>
      </c>
      <c r="J3" s="20">
        <f>AVERAGE(C11:D11)</f>
        <v>160000</v>
      </c>
      <c r="K3" s="16"/>
      <c r="M3" s="90">
        <f>+J3-10000</f>
        <v>150000</v>
      </c>
    </row>
    <row r="4" spans="2:14" x14ac:dyDescent="0.25">
      <c r="B4" s="52" t="s">
        <v>1</v>
      </c>
      <c r="C4" s="53">
        <v>2456</v>
      </c>
      <c r="D4" s="53">
        <f>C4+5000</f>
        <v>7456</v>
      </c>
      <c r="E4" s="52" t="s">
        <v>7</v>
      </c>
      <c r="F4" s="53">
        <v>23765</v>
      </c>
      <c r="G4" s="54">
        <f>F4-10000</f>
        <v>13765</v>
      </c>
      <c r="I4" s="12" t="s">
        <v>19</v>
      </c>
      <c r="J4" s="10">
        <f>SUM(F4:G8)/2</f>
        <v>60000</v>
      </c>
      <c r="K4" s="6"/>
      <c r="M4" s="90">
        <f>+J4</f>
        <v>60000</v>
      </c>
    </row>
    <row r="5" spans="2:14" x14ac:dyDescent="0.25">
      <c r="B5" s="52" t="s">
        <v>2</v>
      </c>
      <c r="C5" s="53">
        <v>38653</v>
      </c>
      <c r="D5" s="53">
        <f>C5-3500</f>
        <v>35153</v>
      </c>
      <c r="E5" s="52" t="s">
        <v>8</v>
      </c>
      <c r="F5" s="53">
        <v>8632</v>
      </c>
      <c r="G5" s="54">
        <v>3495.00000000001</v>
      </c>
      <c r="I5" s="12" t="s">
        <v>20</v>
      </c>
      <c r="J5" s="10">
        <f>J3-J4</f>
        <v>100000</v>
      </c>
      <c r="K5" s="6"/>
      <c r="M5" s="91">
        <f>M3-M4</f>
        <v>90000</v>
      </c>
    </row>
    <row r="6" spans="2:14" x14ac:dyDescent="0.25">
      <c r="B6" s="52" t="s">
        <v>3</v>
      </c>
      <c r="C6" s="53">
        <f>47689-25000+5500</f>
        <v>28189</v>
      </c>
      <c r="D6" s="53">
        <f>170000-117311</f>
        <v>52689</v>
      </c>
      <c r="E6" s="52" t="s">
        <v>13</v>
      </c>
      <c r="F6" s="53">
        <v>0</v>
      </c>
      <c r="G6" s="54">
        <f>67128-25000</f>
        <v>42128</v>
      </c>
      <c r="I6" s="12" t="s">
        <v>24</v>
      </c>
      <c r="J6" s="10">
        <f>AVERAGE(F9:G9)</f>
        <v>40000.000000000007</v>
      </c>
      <c r="K6" s="21">
        <f>J6/$J$5</f>
        <v>0.40000000000000008</v>
      </c>
      <c r="M6" s="90">
        <f>+J6-10000*K6</f>
        <v>36000.000000000007</v>
      </c>
    </row>
    <row r="7" spans="2:14" x14ac:dyDescent="0.25">
      <c r="B7" s="52" t="s">
        <v>12</v>
      </c>
      <c r="C7" s="53">
        <v>25000</v>
      </c>
      <c r="D7" s="53">
        <v>0</v>
      </c>
      <c r="E7" s="52" t="s">
        <v>14</v>
      </c>
      <c r="F7" s="53">
        <v>7896</v>
      </c>
      <c r="G7" s="54">
        <f>-D24</f>
        <v>910</v>
      </c>
      <c r="I7" s="17" t="s">
        <v>25</v>
      </c>
      <c r="J7" s="18">
        <f>AVERAGE(F10:G10)</f>
        <v>60000</v>
      </c>
      <c r="K7" s="22">
        <f t="shared" ref="K7" si="0">J7/$J$5</f>
        <v>0.6</v>
      </c>
      <c r="M7" s="90">
        <f>+J7-10000*K7</f>
        <v>54000</v>
      </c>
    </row>
    <row r="8" spans="2:14" x14ac:dyDescent="0.25">
      <c r="B8" s="5" t="s">
        <v>4</v>
      </c>
      <c r="C8" s="10">
        <f>150000-94298</f>
        <v>55702</v>
      </c>
      <c r="D8" s="10">
        <f>170000-95298</f>
        <v>74702</v>
      </c>
      <c r="E8" s="52" t="s">
        <v>9</v>
      </c>
      <c r="F8" s="53">
        <v>18500</v>
      </c>
      <c r="G8" s="54">
        <f>170000-169091</f>
        <v>909</v>
      </c>
    </row>
    <row r="9" spans="2:14" x14ac:dyDescent="0.25">
      <c r="B9" s="5"/>
      <c r="C9" s="10"/>
      <c r="D9" s="10"/>
      <c r="E9" s="56" t="s">
        <v>10</v>
      </c>
      <c r="F9" s="57">
        <v>48976</v>
      </c>
      <c r="G9" s="58">
        <v>31024.000000000015</v>
      </c>
      <c r="I9" s="76" t="s">
        <v>32</v>
      </c>
      <c r="J9" s="77"/>
      <c r="K9" s="14">
        <v>1.4999999999999999E-2</v>
      </c>
      <c r="M9" s="92">
        <f>+K9</f>
        <v>1.4999999999999999E-2</v>
      </c>
    </row>
    <row r="10" spans="2:14" x14ac:dyDescent="0.25">
      <c r="B10" s="5"/>
      <c r="C10" s="10"/>
      <c r="D10" s="10"/>
      <c r="E10" s="56" t="s">
        <v>11</v>
      </c>
      <c r="F10" s="57">
        <f>-107769+150000</f>
        <v>42231</v>
      </c>
      <c r="G10" s="58">
        <f>-92386+170000+170000-169982+170000-169863</f>
        <v>77769</v>
      </c>
      <c r="I10" s="12"/>
      <c r="J10" s="10"/>
      <c r="K10" s="10"/>
    </row>
    <row r="11" spans="2:14" x14ac:dyDescent="0.25">
      <c r="B11" s="7" t="s">
        <v>5</v>
      </c>
      <c r="C11" s="11">
        <f>SUM(C4:C10)</f>
        <v>150000</v>
      </c>
      <c r="D11" s="11">
        <f>SUM(D4:D10)</f>
        <v>170000</v>
      </c>
      <c r="E11" s="7" t="s">
        <v>5</v>
      </c>
      <c r="F11" s="11">
        <f>SUM(F4:F10)</f>
        <v>150000</v>
      </c>
      <c r="G11" s="8">
        <f>SUM(G4:G10)</f>
        <v>170000.00000000003</v>
      </c>
      <c r="I11" s="76" t="s">
        <v>33</v>
      </c>
      <c r="J11" s="77"/>
      <c r="K11" s="43">
        <f>D25/J7</f>
        <v>2.2716666666666666E-2</v>
      </c>
    </row>
    <row r="12" spans="2:14" x14ac:dyDescent="0.25">
      <c r="B12" s="2"/>
      <c r="I12" s="12"/>
      <c r="J12" s="10"/>
      <c r="K12" s="10"/>
    </row>
    <row r="13" spans="2:14" x14ac:dyDescent="0.25">
      <c r="I13" s="78" t="s">
        <v>34</v>
      </c>
      <c r="J13" s="79"/>
      <c r="K13" s="15">
        <f>(K11-K9)*J7</f>
        <v>463</v>
      </c>
    </row>
    <row r="14" spans="2:14" x14ac:dyDescent="0.25">
      <c r="B14" s="66" t="s">
        <v>15</v>
      </c>
      <c r="C14" s="80"/>
      <c r="D14" s="67"/>
      <c r="I14" s="19"/>
      <c r="J14" s="20"/>
      <c r="K14" s="16"/>
    </row>
    <row r="15" spans="2:14" x14ac:dyDescent="0.25">
      <c r="B15" s="72" t="s">
        <v>16</v>
      </c>
      <c r="C15" s="73"/>
      <c r="D15" s="13">
        <f>100000*2.5/0.8</f>
        <v>312500</v>
      </c>
      <c r="I15" s="12" t="s">
        <v>35</v>
      </c>
      <c r="J15" s="10"/>
      <c r="K15" s="6">
        <f>SUM(D19:D21)</f>
        <v>2753</v>
      </c>
      <c r="L15" s="27"/>
      <c r="M15" s="90">
        <f>+K15-100</f>
        <v>2653</v>
      </c>
    </row>
    <row r="16" spans="2:14" x14ac:dyDescent="0.25">
      <c r="B16" s="64" t="s">
        <v>17</v>
      </c>
      <c r="C16" s="65"/>
      <c r="D16" s="6">
        <f>-D15*20%</f>
        <v>-62500</v>
      </c>
      <c r="I16" s="12" t="s">
        <v>36</v>
      </c>
      <c r="J16" s="10"/>
      <c r="K16" s="6">
        <f>K15*(1+$E$24)</f>
        <v>1650.831060272767</v>
      </c>
      <c r="M16" s="91">
        <f>M15*(1+$E$24)</f>
        <v>1590.8662560492739</v>
      </c>
      <c r="N16" s="1">
        <f>+K16-M16</f>
        <v>59.964804223493047</v>
      </c>
    </row>
    <row r="17" spans="2:13" x14ac:dyDescent="0.25">
      <c r="B17" s="83" t="s">
        <v>21</v>
      </c>
      <c r="C17" s="84"/>
      <c r="D17" s="55">
        <f>SUM(D15:D16)</f>
        <v>250000</v>
      </c>
      <c r="I17" s="19" t="s">
        <v>75</v>
      </c>
      <c r="J17" s="20"/>
      <c r="K17" s="41">
        <f>+K16/D17</f>
        <v>6.6033242410910679E-3</v>
      </c>
      <c r="M17" s="93">
        <f>+M16/D17</f>
        <v>6.3634650241970962E-3</v>
      </c>
    </row>
    <row r="18" spans="2:13" x14ac:dyDescent="0.25">
      <c r="B18" s="68" t="s">
        <v>22</v>
      </c>
      <c r="C18" s="69"/>
      <c r="D18" s="54">
        <v>-150000</v>
      </c>
      <c r="I18" s="12" t="s">
        <v>76</v>
      </c>
      <c r="J18" s="10"/>
      <c r="K18" s="40">
        <f>+D17/J5</f>
        <v>2.5</v>
      </c>
      <c r="M18" s="94">
        <f>+D17/M5</f>
        <v>2.7777777777777777</v>
      </c>
    </row>
    <row r="19" spans="2:13" x14ac:dyDescent="0.25">
      <c r="B19" s="83" t="s">
        <v>23</v>
      </c>
      <c r="C19" s="84"/>
      <c r="D19" s="55">
        <f>SUM(D17:D18)</f>
        <v>100000</v>
      </c>
      <c r="I19" s="17" t="s">
        <v>37</v>
      </c>
      <c r="J19" s="18"/>
      <c r="K19" s="42">
        <f>+K17*K18</f>
        <v>1.6508310602727672E-2</v>
      </c>
      <c r="M19" s="95">
        <f>+M17*M18</f>
        <v>1.7676291733880821E-2</v>
      </c>
    </row>
    <row r="20" spans="2:13" x14ac:dyDescent="0.25">
      <c r="B20" s="68" t="s">
        <v>26</v>
      </c>
      <c r="C20" s="69"/>
      <c r="D20" s="54">
        <v>-45237</v>
      </c>
      <c r="I20" s="12" t="s">
        <v>37</v>
      </c>
      <c r="J20" s="10"/>
      <c r="K20" s="37">
        <f>K16/J5</f>
        <v>1.6508310602727672E-2</v>
      </c>
      <c r="M20" s="95">
        <f>+M16/M5</f>
        <v>1.7676291733880821E-2</v>
      </c>
    </row>
    <row r="21" spans="2:13" x14ac:dyDescent="0.25">
      <c r="B21" s="68" t="s">
        <v>27</v>
      </c>
      <c r="C21" s="69"/>
      <c r="D21" s="54">
        <v>-52010</v>
      </c>
      <c r="I21" s="12" t="s">
        <v>38</v>
      </c>
      <c r="J21" s="10"/>
      <c r="K21" s="37">
        <f>-D22*0.6/J6</f>
        <v>7.1999999999999998E-3</v>
      </c>
      <c r="M21" s="95">
        <f>-D22/J6*M6/M6*(1+$E$24)</f>
        <v>7.1957765068191813E-3</v>
      </c>
    </row>
    <row r="22" spans="2:13" x14ac:dyDescent="0.25">
      <c r="B22" s="70" t="s">
        <v>28</v>
      </c>
      <c r="C22" s="71"/>
      <c r="D22" s="58">
        <f>-J6*1.2%</f>
        <v>-480.00000000000011</v>
      </c>
      <c r="I22" s="12" t="s">
        <v>79</v>
      </c>
      <c r="J22" s="10"/>
      <c r="K22" s="37">
        <f>+K20-K21</f>
        <v>9.3083106027276718E-3</v>
      </c>
      <c r="M22" s="95">
        <f>+M20-M21</f>
        <v>1.048051522706164E-2</v>
      </c>
    </row>
    <row r="23" spans="2:13" x14ac:dyDescent="0.25">
      <c r="B23" s="72" t="s">
        <v>29</v>
      </c>
      <c r="C23" s="73"/>
      <c r="D23" s="13">
        <f>SUM(D19:D22)</f>
        <v>2273</v>
      </c>
      <c r="I23" s="12" t="s">
        <v>80</v>
      </c>
      <c r="J23" s="10"/>
      <c r="K23" s="51">
        <f>+J6/J7</f>
        <v>0.66666666666666674</v>
      </c>
      <c r="M23" s="96">
        <f>+M6/M7</f>
        <v>0.66666666666666685</v>
      </c>
    </row>
    <row r="24" spans="2:13" x14ac:dyDescent="0.25">
      <c r="B24" s="64" t="s">
        <v>30</v>
      </c>
      <c r="C24" s="65"/>
      <c r="D24" s="6">
        <v>-910</v>
      </c>
      <c r="E24" s="36">
        <f>+D24/D23</f>
        <v>-0.40035195776506821</v>
      </c>
      <c r="I24" s="12" t="s">
        <v>81</v>
      </c>
      <c r="J24" s="10"/>
      <c r="K24" s="37">
        <f>+K20+K22*K23</f>
        <v>2.2713851004546121E-2</v>
      </c>
      <c r="M24" s="95">
        <f>+M20+M22*M23</f>
        <v>2.466330188525525E-2</v>
      </c>
    </row>
    <row r="25" spans="2:13" x14ac:dyDescent="0.25">
      <c r="B25" s="74" t="s">
        <v>31</v>
      </c>
      <c r="C25" s="75"/>
      <c r="D25" s="8">
        <f>SUM(D23:D24)</f>
        <v>1363</v>
      </c>
      <c r="I25" s="12" t="s">
        <v>39</v>
      </c>
      <c r="J25" s="10"/>
      <c r="K25" s="37">
        <f>K9</f>
        <v>1.4999999999999999E-2</v>
      </c>
      <c r="M25" s="95">
        <f>M9</f>
        <v>1.4999999999999999E-2</v>
      </c>
    </row>
    <row r="26" spans="2:13" x14ac:dyDescent="0.25">
      <c r="I26" s="12" t="s">
        <v>40</v>
      </c>
      <c r="J26" s="10"/>
      <c r="K26" s="37">
        <f>K21*K6+K25*K7</f>
        <v>1.188E-2</v>
      </c>
      <c r="M26" s="95">
        <f>+M21*M6/SUM(M6:M7)+M25*M7/SUM(M6:M7)</f>
        <v>1.1878310602727673E-2</v>
      </c>
    </row>
    <row r="27" spans="2:13" x14ac:dyDescent="0.25">
      <c r="B27" s="66" t="s">
        <v>42</v>
      </c>
      <c r="C27" s="80"/>
      <c r="D27" s="67"/>
      <c r="I27" s="17" t="s">
        <v>41</v>
      </c>
      <c r="J27" s="18"/>
      <c r="K27" s="38">
        <f>(K20-K26)*J5</f>
        <v>462.83106027276716</v>
      </c>
      <c r="M27" s="97">
        <f>+(M20-M26)*M5</f>
        <v>521.81830180378336</v>
      </c>
    </row>
    <row r="28" spans="2:13" x14ac:dyDescent="0.25">
      <c r="B28" s="81" t="s">
        <v>43</v>
      </c>
      <c r="C28" s="82"/>
      <c r="D28" s="25">
        <f>D25</f>
        <v>1363</v>
      </c>
      <c r="I28" s="47" t="s">
        <v>82</v>
      </c>
      <c r="J28" s="48"/>
      <c r="K28" s="50">
        <f>+K27/K26</f>
        <v>38958.843457303636</v>
      </c>
      <c r="M28" s="98">
        <f>+M27/M26</f>
        <v>43930.346600294804</v>
      </c>
    </row>
    <row r="29" spans="2:13" x14ac:dyDescent="0.25">
      <c r="B29" s="64" t="s">
        <v>44</v>
      </c>
      <c r="C29" s="65"/>
      <c r="D29" s="29">
        <v>1000</v>
      </c>
      <c r="I29" s="47" t="s">
        <v>73</v>
      </c>
      <c r="J29" s="48"/>
      <c r="K29" s="50">
        <f>+K28+J5</f>
        <v>138958.84345730365</v>
      </c>
      <c r="M29" s="91">
        <f>+M5+M28</f>
        <v>133930.34660029481</v>
      </c>
    </row>
    <row r="30" spans="2:13" x14ac:dyDescent="0.25">
      <c r="B30" s="64" t="s">
        <v>45</v>
      </c>
      <c r="C30" s="65"/>
      <c r="D30" s="6">
        <f>-D22</f>
        <v>480.00000000000011</v>
      </c>
      <c r="I30" s="47" t="s">
        <v>74</v>
      </c>
      <c r="J30" s="48"/>
      <c r="K30" s="49">
        <f>+K29-J6</f>
        <v>98958.84345730365</v>
      </c>
      <c r="M30" s="91">
        <f>+M7+M28</f>
        <v>97930.346600294812</v>
      </c>
    </row>
    <row r="31" spans="2:13" x14ac:dyDescent="0.25">
      <c r="B31" s="72" t="s">
        <v>46</v>
      </c>
      <c r="C31" s="73"/>
      <c r="D31" s="13">
        <f>SUM(D28:D30)</f>
        <v>2843</v>
      </c>
      <c r="I31" s="19" t="s">
        <v>77</v>
      </c>
      <c r="J31" s="20"/>
      <c r="K31" s="44">
        <f>+J7/$K$30</f>
        <v>0.6063126639701214</v>
      </c>
      <c r="M31" s="99">
        <f>+M7/M30</f>
        <v>0.55141232390815864</v>
      </c>
    </row>
    <row r="32" spans="2:13" x14ac:dyDescent="0.25">
      <c r="B32" s="64" t="s">
        <v>47</v>
      </c>
      <c r="C32" s="65"/>
      <c r="D32" s="24">
        <f>C5-D5</f>
        <v>3500</v>
      </c>
      <c r="I32" s="12" t="s">
        <v>78</v>
      </c>
      <c r="J32" s="10"/>
      <c r="K32" s="39">
        <f>+K28/K30</f>
        <v>0.39368733602987838</v>
      </c>
      <c r="M32" s="99">
        <f>+M28/M30</f>
        <v>0.44858767609184136</v>
      </c>
    </row>
    <row r="33" spans="2:14" x14ac:dyDescent="0.25">
      <c r="B33" s="64" t="s">
        <v>48</v>
      </c>
      <c r="C33" s="65"/>
      <c r="D33" s="24">
        <f t="shared" ref="D33:D34" si="1">C6-D6</f>
        <v>-24500</v>
      </c>
      <c r="I33" s="45" t="s">
        <v>5</v>
      </c>
      <c r="J33" s="11"/>
      <c r="K33" s="46">
        <f>SUM(K31:K32)</f>
        <v>0.99999999999999978</v>
      </c>
      <c r="M33" s="100">
        <f>SUM(M31:M32)</f>
        <v>1</v>
      </c>
    </row>
    <row r="34" spans="2:14" ht="15" customHeight="1" x14ac:dyDescent="0.25">
      <c r="B34" s="64" t="s">
        <v>49</v>
      </c>
      <c r="C34" s="65"/>
      <c r="D34" s="24">
        <f t="shared" si="1"/>
        <v>25000</v>
      </c>
    </row>
    <row r="35" spans="2:14" x14ac:dyDescent="0.25">
      <c r="B35" s="64" t="s">
        <v>50</v>
      </c>
      <c r="C35" s="65"/>
      <c r="D35" s="24">
        <f>G4-F4</f>
        <v>-10000</v>
      </c>
      <c r="I35" s="66" t="s">
        <v>4</v>
      </c>
      <c r="J35" s="67"/>
      <c r="M35" s="90">
        <f>+M28-K28</f>
        <v>4971.5031429911687</v>
      </c>
      <c r="N35" s="63" t="s">
        <v>84</v>
      </c>
    </row>
    <row r="36" spans="2:14" x14ac:dyDescent="0.25">
      <c r="B36" s="64" t="s">
        <v>51</v>
      </c>
      <c r="C36" s="65"/>
      <c r="D36" s="24">
        <f t="shared" ref="D36:D39" si="2">G5-F5</f>
        <v>-5136.99999999999</v>
      </c>
      <c r="I36" s="23" t="s">
        <v>56</v>
      </c>
      <c r="J36" s="13">
        <f>C8</f>
        <v>55702</v>
      </c>
    </row>
    <row r="37" spans="2:14" ht="15" customHeight="1" x14ac:dyDescent="0.25">
      <c r="B37" s="64" t="s">
        <v>52</v>
      </c>
      <c r="C37" s="65"/>
      <c r="D37" s="24">
        <f t="shared" si="2"/>
        <v>42128</v>
      </c>
      <c r="I37" s="5" t="s">
        <v>57</v>
      </c>
      <c r="J37" s="6">
        <v>20000</v>
      </c>
      <c r="M37" s="90">
        <f>+J7-M7</f>
        <v>6000</v>
      </c>
      <c r="N37" s="63" t="s">
        <v>85</v>
      </c>
    </row>
    <row r="38" spans="2:14" x14ac:dyDescent="0.25">
      <c r="B38" s="64" t="s">
        <v>53</v>
      </c>
      <c r="C38" s="65"/>
      <c r="D38" s="24">
        <f t="shared" si="2"/>
        <v>-6986</v>
      </c>
      <c r="I38" s="5" t="s">
        <v>58</v>
      </c>
      <c r="J38" s="6">
        <f>-D29</f>
        <v>-1000</v>
      </c>
      <c r="M38" s="101">
        <f>+M30-K30</f>
        <v>-1028.4968570088386</v>
      </c>
      <c r="N38" s="63" t="s">
        <v>83</v>
      </c>
    </row>
    <row r="39" spans="2:14" x14ac:dyDescent="0.25">
      <c r="B39" s="64" t="s">
        <v>54</v>
      </c>
      <c r="C39" s="65"/>
      <c r="D39" s="24">
        <f t="shared" si="2"/>
        <v>-17591</v>
      </c>
      <c r="I39" s="7" t="s">
        <v>59</v>
      </c>
      <c r="J39" s="8">
        <f>SUM(J36:J38)</f>
        <v>74702</v>
      </c>
      <c r="M39" s="102">
        <f>SUM(M37:M38)</f>
        <v>4971.5031429911614</v>
      </c>
    </row>
    <row r="40" spans="2:14" x14ac:dyDescent="0.25">
      <c r="B40" s="74" t="s">
        <v>55</v>
      </c>
      <c r="C40" s="75"/>
      <c r="D40" s="8">
        <f>SUM(D31:D39)</f>
        <v>9257.0000000000146</v>
      </c>
    </row>
    <row r="41" spans="2:14" x14ac:dyDescent="0.25">
      <c r="B41" s="85" t="s">
        <v>60</v>
      </c>
      <c r="C41" s="86"/>
      <c r="D41" s="26">
        <f>-J37</f>
        <v>-20000</v>
      </c>
      <c r="I41" s="66" t="s">
        <v>64</v>
      </c>
      <c r="J41" s="67"/>
    </row>
    <row r="42" spans="2:14" x14ac:dyDescent="0.25">
      <c r="B42" s="74" t="s">
        <v>61</v>
      </c>
      <c r="C42" s="75"/>
      <c r="D42" s="8">
        <f>SUM(D41)</f>
        <v>-20000</v>
      </c>
      <c r="I42" s="23" t="s">
        <v>65</v>
      </c>
      <c r="J42" s="13">
        <f>F10</f>
        <v>42231</v>
      </c>
      <c r="K42" s="28"/>
    </row>
    <row r="43" spans="2:14" x14ac:dyDescent="0.25">
      <c r="B43" s="64" t="s">
        <v>62</v>
      </c>
      <c r="C43" s="65"/>
      <c r="D43" s="24">
        <f>G9-F9</f>
        <v>-17951.999999999985</v>
      </c>
      <c r="I43" s="5" t="s">
        <v>43</v>
      </c>
      <c r="J43" s="6">
        <f>D25</f>
        <v>1363</v>
      </c>
    </row>
    <row r="44" spans="2:14" x14ac:dyDescent="0.25">
      <c r="B44" s="64" t="s">
        <v>63</v>
      </c>
      <c r="C44" s="65"/>
      <c r="D44" s="24">
        <f>-D30</f>
        <v>-480.00000000000011</v>
      </c>
      <c r="I44" s="5" t="s">
        <v>66</v>
      </c>
      <c r="J44" s="6">
        <v>35265.399999999994</v>
      </c>
    </row>
    <row r="45" spans="2:14" x14ac:dyDescent="0.25">
      <c r="B45" s="64" t="s">
        <v>66</v>
      </c>
      <c r="C45" s="65"/>
      <c r="D45" s="24">
        <f>J44</f>
        <v>35265.399999999994</v>
      </c>
      <c r="I45" s="5" t="s">
        <v>67</v>
      </c>
      <c r="J45" s="6">
        <f>-J43*80%</f>
        <v>-1090.4000000000001</v>
      </c>
    </row>
    <row r="46" spans="2:14" x14ac:dyDescent="0.25">
      <c r="B46" s="64" t="s">
        <v>69</v>
      </c>
      <c r="C46" s="65"/>
      <c r="D46" s="24">
        <f>J45</f>
        <v>-1090.4000000000001</v>
      </c>
      <c r="I46" s="7" t="s">
        <v>68</v>
      </c>
      <c r="J46" s="8">
        <f>SUM(J42:J45)</f>
        <v>77769</v>
      </c>
    </row>
    <row r="47" spans="2:14" x14ac:dyDescent="0.25">
      <c r="B47" s="74" t="s">
        <v>70</v>
      </c>
      <c r="C47" s="75"/>
      <c r="D47" s="8">
        <f>SUM(D43:D46)</f>
        <v>15743.000000000009</v>
      </c>
    </row>
    <row r="48" spans="2:14" x14ac:dyDescent="0.25">
      <c r="B48" s="74" t="s">
        <v>71</v>
      </c>
      <c r="C48" s="75"/>
      <c r="D48" s="8">
        <f>D47+D42+D40</f>
        <v>5000.0000000000236</v>
      </c>
    </row>
    <row r="49" spans="2:4" x14ac:dyDescent="0.25">
      <c r="B49" s="30" t="s">
        <v>56</v>
      </c>
      <c r="C49" s="31"/>
      <c r="D49" s="32">
        <f>C4</f>
        <v>2456</v>
      </c>
    </row>
    <row r="50" spans="2:4" x14ac:dyDescent="0.25">
      <c r="B50" s="33" t="s">
        <v>72</v>
      </c>
      <c r="C50" s="34"/>
      <c r="D50" s="35">
        <f>D4</f>
        <v>7456</v>
      </c>
    </row>
  </sheetData>
  <mergeCells count="39">
    <mergeCell ref="I41:J41"/>
    <mergeCell ref="B48:C48"/>
    <mergeCell ref="B45:C45"/>
    <mergeCell ref="B46:C46"/>
    <mergeCell ref="B47:C47"/>
    <mergeCell ref="B42:C42"/>
    <mergeCell ref="B43:C43"/>
    <mergeCell ref="B44:C44"/>
    <mergeCell ref="B37:C37"/>
    <mergeCell ref="B38:C38"/>
    <mergeCell ref="B31:C31"/>
    <mergeCell ref="B32:C32"/>
    <mergeCell ref="B41:C41"/>
    <mergeCell ref="B39:C39"/>
    <mergeCell ref="B40:C40"/>
    <mergeCell ref="B33:C33"/>
    <mergeCell ref="B34:C34"/>
    <mergeCell ref="B35:C35"/>
    <mergeCell ref="B36:C36"/>
    <mergeCell ref="I9:J9"/>
    <mergeCell ref="I11:J11"/>
    <mergeCell ref="I13:J13"/>
    <mergeCell ref="B27:D27"/>
    <mergeCell ref="B28:C28"/>
    <mergeCell ref="B14:D14"/>
    <mergeCell ref="B15:C15"/>
    <mergeCell ref="B16:C16"/>
    <mergeCell ref="B17:C17"/>
    <mergeCell ref="B18:C18"/>
    <mergeCell ref="B19:C19"/>
    <mergeCell ref="B29:C29"/>
    <mergeCell ref="I35:J35"/>
    <mergeCell ref="B20:C20"/>
    <mergeCell ref="B21:C21"/>
    <mergeCell ref="B22:C22"/>
    <mergeCell ref="B23:C23"/>
    <mergeCell ref="B24:C24"/>
    <mergeCell ref="B25:C25"/>
    <mergeCell ref="B30:C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zoomScale="80" zoomScaleNormal="80" workbookViewId="0">
      <selection activeCell="M40" sqref="M40"/>
    </sheetView>
  </sheetViews>
  <sheetFormatPr defaultRowHeight="15" x14ac:dyDescent="0.25"/>
  <cols>
    <col min="1" max="1" width="9.140625" style="1"/>
    <col min="2" max="2" width="22.28515625" style="1" customWidth="1"/>
    <col min="3" max="3" width="9.140625" style="1"/>
    <col min="4" max="4" width="11.85546875" style="1" bestFit="1" customWidth="1"/>
    <col min="5" max="5" width="26.28515625" style="1" customWidth="1"/>
    <col min="6" max="7" width="9.140625" style="1"/>
    <col min="8" max="8" width="1.5703125" style="1" customWidth="1"/>
    <col min="9" max="9" width="33.7109375" style="1" customWidth="1"/>
    <col min="10" max="10" width="9.140625" style="1"/>
    <col min="11" max="11" width="10.140625" style="1" customWidth="1"/>
    <col min="12" max="12" width="1.85546875" style="1" customWidth="1"/>
    <col min="13" max="13" width="11.85546875" style="1" bestFit="1" customWidth="1"/>
    <col min="14" max="16384" width="9.140625" style="1"/>
  </cols>
  <sheetData>
    <row r="2" spans="2:14" x14ac:dyDescent="0.25">
      <c r="M2" s="87" t="s">
        <v>87</v>
      </c>
    </row>
    <row r="3" spans="2:14" x14ac:dyDescent="0.25">
      <c r="B3" s="59" t="s">
        <v>0</v>
      </c>
      <c r="C3" s="9">
        <v>42825</v>
      </c>
      <c r="D3" s="9">
        <v>42855</v>
      </c>
      <c r="E3" s="59" t="s">
        <v>6</v>
      </c>
      <c r="F3" s="9">
        <v>42825</v>
      </c>
      <c r="G3" s="4">
        <v>42855</v>
      </c>
      <c r="I3" s="19" t="s">
        <v>18</v>
      </c>
      <c r="J3" s="20">
        <f>AVERAGE(C11:D11)</f>
        <v>160000</v>
      </c>
      <c r="K3" s="16"/>
      <c r="M3" s="90">
        <f>+J3-7000-5000</f>
        <v>148000</v>
      </c>
    </row>
    <row r="4" spans="2:14" x14ac:dyDescent="0.25">
      <c r="B4" s="52" t="s">
        <v>1</v>
      </c>
      <c r="C4" s="53">
        <v>2456</v>
      </c>
      <c r="D4" s="53">
        <f>C4+5000</f>
        <v>7456</v>
      </c>
      <c r="E4" s="52" t="s">
        <v>7</v>
      </c>
      <c r="F4" s="53">
        <v>23765</v>
      </c>
      <c r="G4" s="54">
        <f>F4-10000</f>
        <v>13765</v>
      </c>
      <c r="I4" s="12" t="s">
        <v>19</v>
      </c>
      <c r="J4" s="10">
        <f>SUM(F4:G8)/2</f>
        <v>60000</v>
      </c>
      <c r="K4" s="6"/>
      <c r="M4" s="90">
        <f>+J4+3000</f>
        <v>63000</v>
      </c>
    </row>
    <row r="5" spans="2:14" x14ac:dyDescent="0.25">
      <c r="B5" s="52" t="s">
        <v>2</v>
      </c>
      <c r="C5" s="53">
        <v>38653</v>
      </c>
      <c r="D5" s="53">
        <f>C5-3500</f>
        <v>35153</v>
      </c>
      <c r="E5" s="52" t="s">
        <v>8</v>
      </c>
      <c r="F5" s="53">
        <v>8632</v>
      </c>
      <c r="G5" s="54">
        <v>3495.00000000001</v>
      </c>
      <c r="I5" s="12" t="s">
        <v>20</v>
      </c>
      <c r="J5" s="10">
        <f>J3-J4</f>
        <v>100000</v>
      </c>
      <c r="K5" s="6"/>
      <c r="M5" s="91">
        <f>+M3-M4</f>
        <v>85000</v>
      </c>
    </row>
    <row r="6" spans="2:14" x14ac:dyDescent="0.25">
      <c r="B6" s="52" t="s">
        <v>3</v>
      </c>
      <c r="C6" s="53">
        <f>47689-25000+5500</f>
        <v>28189</v>
      </c>
      <c r="D6" s="53">
        <f>170000-117311</f>
        <v>52689</v>
      </c>
      <c r="E6" s="52" t="s">
        <v>13</v>
      </c>
      <c r="F6" s="53">
        <v>0</v>
      </c>
      <c r="G6" s="54">
        <f>67128-25000</f>
        <v>42128</v>
      </c>
      <c r="I6" s="12" t="s">
        <v>24</v>
      </c>
      <c r="J6" s="10">
        <f>AVERAGE(F9:G9)</f>
        <v>40000.000000000007</v>
      </c>
      <c r="K6" s="21">
        <f>J6/$J$5</f>
        <v>0.40000000000000008</v>
      </c>
      <c r="M6" s="90">
        <f>+J6-15000*K6</f>
        <v>34000.000000000007</v>
      </c>
    </row>
    <row r="7" spans="2:14" x14ac:dyDescent="0.25">
      <c r="B7" s="52" t="s">
        <v>12</v>
      </c>
      <c r="C7" s="53">
        <v>25000</v>
      </c>
      <c r="D7" s="53">
        <v>0</v>
      </c>
      <c r="E7" s="52" t="s">
        <v>14</v>
      </c>
      <c r="F7" s="53">
        <v>7896</v>
      </c>
      <c r="G7" s="54">
        <f>-D24</f>
        <v>910</v>
      </c>
      <c r="I7" s="17" t="s">
        <v>25</v>
      </c>
      <c r="J7" s="18">
        <f>AVERAGE(F10:G10)</f>
        <v>60000</v>
      </c>
      <c r="K7" s="22">
        <f t="shared" ref="K7" si="0">J7/$J$5</f>
        <v>0.6</v>
      </c>
      <c r="M7" s="90">
        <f t="shared" ref="M7" si="1">+J7-15000*K7</f>
        <v>51000</v>
      </c>
    </row>
    <row r="8" spans="2:14" x14ac:dyDescent="0.25">
      <c r="B8" s="5" t="s">
        <v>4</v>
      </c>
      <c r="C8" s="10">
        <f>150000-94298</f>
        <v>55702</v>
      </c>
      <c r="D8" s="10">
        <f>170000-95298</f>
        <v>74702</v>
      </c>
      <c r="E8" s="52" t="s">
        <v>9</v>
      </c>
      <c r="F8" s="53">
        <v>18500</v>
      </c>
      <c r="G8" s="54">
        <f>170000-169091</f>
        <v>909</v>
      </c>
    </row>
    <row r="9" spans="2:14" x14ac:dyDescent="0.25">
      <c r="B9" s="5"/>
      <c r="C9" s="10"/>
      <c r="D9" s="10"/>
      <c r="E9" s="56" t="s">
        <v>10</v>
      </c>
      <c r="F9" s="57">
        <v>48976</v>
      </c>
      <c r="G9" s="58">
        <v>31024.000000000015</v>
      </c>
      <c r="I9" s="76" t="s">
        <v>32</v>
      </c>
      <c r="J9" s="77"/>
      <c r="K9" s="14">
        <v>1.4999999999999999E-2</v>
      </c>
      <c r="M9" s="92">
        <f>+K9</f>
        <v>1.4999999999999999E-2</v>
      </c>
    </row>
    <row r="10" spans="2:14" x14ac:dyDescent="0.25">
      <c r="B10" s="5"/>
      <c r="C10" s="10"/>
      <c r="D10" s="10"/>
      <c r="E10" s="56" t="s">
        <v>11</v>
      </c>
      <c r="F10" s="57">
        <f>-107769+150000</f>
        <v>42231</v>
      </c>
      <c r="G10" s="58">
        <f>-92386+170000+170000-169982+170000-169863</f>
        <v>77769</v>
      </c>
      <c r="I10" s="12"/>
      <c r="J10" s="10"/>
      <c r="K10" s="10"/>
    </row>
    <row r="11" spans="2:14" x14ac:dyDescent="0.25">
      <c r="B11" s="61" t="s">
        <v>5</v>
      </c>
      <c r="C11" s="11">
        <f>SUM(C4:C10)</f>
        <v>150000</v>
      </c>
      <c r="D11" s="11">
        <f>SUM(D4:D10)</f>
        <v>170000</v>
      </c>
      <c r="E11" s="61" t="s">
        <v>5</v>
      </c>
      <c r="F11" s="11">
        <f>SUM(F4:F10)</f>
        <v>150000</v>
      </c>
      <c r="G11" s="8">
        <f>SUM(G4:G10)</f>
        <v>170000.00000000003</v>
      </c>
      <c r="I11" s="76" t="s">
        <v>33</v>
      </c>
      <c r="J11" s="77"/>
      <c r="K11" s="43">
        <f>D25/J7</f>
        <v>2.2716666666666666E-2</v>
      </c>
    </row>
    <row r="12" spans="2:14" x14ac:dyDescent="0.25">
      <c r="B12" s="2"/>
      <c r="I12" s="12"/>
      <c r="J12" s="10"/>
      <c r="K12" s="10"/>
    </row>
    <row r="13" spans="2:14" x14ac:dyDescent="0.25">
      <c r="I13" s="78" t="s">
        <v>34</v>
      </c>
      <c r="J13" s="79"/>
      <c r="K13" s="15">
        <f>(K11-K9)*J7</f>
        <v>463</v>
      </c>
    </row>
    <row r="14" spans="2:14" x14ac:dyDescent="0.25">
      <c r="B14" s="66" t="s">
        <v>15</v>
      </c>
      <c r="C14" s="80"/>
      <c r="D14" s="67"/>
      <c r="I14" s="19"/>
      <c r="J14" s="20"/>
      <c r="K14" s="16"/>
    </row>
    <row r="15" spans="2:14" x14ac:dyDescent="0.25">
      <c r="B15" s="72" t="s">
        <v>16</v>
      </c>
      <c r="C15" s="73"/>
      <c r="D15" s="13">
        <f>100000*2.5/0.8</f>
        <v>312500</v>
      </c>
      <c r="I15" s="12" t="s">
        <v>35</v>
      </c>
      <c r="J15" s="10"/>
      <c r="K15" s="6">
        <f>SUM(D19:D21)</f>
        <v>2753</v>
      </c>
      <c r="L15" s="27"/>
      <c r="M15" s="90">
        <f>+K15</f>
        <v>2753</v>
      </c>
    </row>
    <row r="16" spans="2:14" x14ac:dyDescent="0.25">
      <c r="B16" s="64" t="s">
        <v>17</v>
      </c>
      <c r="C16" s="65"/>
      <c r="D16" s="6">
        <f>-D15*20%</f>
        <v>-62500</v>
      </c>
      <c r="I16" s="12" t="s">
        <v>36</v>
      </c>
      <c r="J16" s="10"/>
      <c r="K16" s="6">
        <f>K15*(1+$E$24)</f>
        <v>1650.831060272767</v>
      </c>
      <c r="M16" s="91">
        <f>+K16</f>
        <v>1650.831060272767</v>
      </c>
      <c r="N16" s="1">
        <f>+K16-M16</f>
        <v>0</v>
      </c>
    </row>
    <row r="17" spans="2:13" x14ac:dyDescent="0.25">
      <c r="B17" s="83" t="s">
        <v>21</v>
      </c>
      <c r="C17" s="84"/>
      <c r="D17" s="55">
        <f>SUM(D15:D16)</f>
        <v>250000</v>
      </c>
      <c r="I17" s="19" t="s">
        <v>75</v>
      </c>
      <c r="J17" s="20"/>
      <c r="K17" s="41">
        <f>+K16/D17</f>
        <v>6.6033242410910679E-3</v>
      </c>
      <c r="M17" s="93">
        <f>+M16/D17</f>
        <v>6.6033242410910679E-3</v>
      </c>
    </row>
    <row r="18" spans="2:13" x14ac:dyDescent="0.25">
      <c r="B18" s="68" t="s">
        <v>22</v>
      </c>
      <c r="C18" s="69"/>
      <c r="D18" s="54">
        <v>-150000</v>
      </c>
      <c r="I18" s="12" t="s">
        <v>76</v>
      </c>
      <c r="J18" s="10"/>
      <c r="K18" s="40">
        <f>+D17/J5</f>
        <v>2.5</v>
      </c>
      <c r="M18" s="104">
        <f>+D17/M5</f>
        <v>2.9411764705882355</v>
      </c>
    </row>
    <row r="19" spans="2:13" x14ac:dyDescent="0.25">
      <c r="B19" s="83" t="s">
        <v>23</v>
      </c>
      <c r="C19" s="84"/>
      <c r="D19" s="55">
        <f>SUM(D17:D18)</f>
        <v>100000</v>
      </c>
      <c r="I19" s="17" t="s">
        <v>37</v>
      </c>
      <c r="J19" s="18"/>
      <c r="K19" s="42">
        <f>+K17*K18</f>
        <v>1.6508310602727672E-2</v>
      </c>
      <c r="M19" s="95">
        <f>+M17*M18</f>
        <v>1.9421541885561965E-2</v>
      </c>
    </row>
    <row r="20" spans="2:13" x14ac:dyDescent="0.25">
      <c r="B20" s="68" t="s">
        <v>26</v>
      </c>
      <c r="C20" s="69"/>
      <c r="D20" s="54">
        <v>-45237</v>
      </c>
      <c r="I20" s="12" t="s">
        <v>37</v>
      </c>
      <c r="J20" s="10"/>
      <c r="K20" s="37">
        <f>K16/J5</f>
        <v>1.6508310602727672E-2</v>
      </c>
      <c r="M20" s="103">
        <f>+M16/M5</f>
        <v>1.9421541885561965E-2</v>
      </c>
    </row>
    <row r="21" spans="2:13" x14ac:dyDescent="0.25">
      <c r="B21" s="68" t="s">
        <v>27</v>
      </c>
      <c r="C21" s="69"/>
      <c r="D21" s="54">
        <v>-52010</v>
      </c>
      <c r="I21" s="12" t="s">
        <v>38</v>
      </c>
      <c r="J21" s="10"/>
      <c r="K21" s="37">
        <f>-D22*0.6/J6</f>
        <v>7.1999999999999998E-3</v>
      </c>
      <c r="M21" s="95">
        <f>+K21</f>
        <v>7.1999999999999998E-3</v>
      </c>
    </row>
    <row r="22" spans="2:13" x14ac:dyDescent="0.25">
      <c r="B22" s="70" t="s">
        <v>28</v>
      </c>
      <c r="C22" s="71"/>
      <c r="D22" s="58">
        <f>-J6*1.2%</f>
        <v>-480.00000000000011</v>
      </c>
      <c r="I22" s="12" t="s">
        <v>79</v>
      </c>
      <c r="J22" s="10"/>
      <c r="K22" s="37">
        <f>+K20-K21</f>
        <v>9.3083106027276718E-3</v>
      </c>
      <c r="M22" s="103">
        <f>+M20-M21</f>
        <v>1.2221541885561965E-2</v>
      </c>
    </row>
    <row r="23" spans="2:13" x14ac:dyDescent="0.25">
      <c r="B23" s="72" t="s">
        <v>29</v>
      </c>
      <c r="C23" s="73"/>
      <c r="D23" s="13">
        <f>SUM(D19:D22)</f>
        <v>2273</v>
      </c>
      <c r="I23" s="12" t="s">
        <v>80</v>
      </c>
      <c r="J23" s="10"/>
      <c r="K23" s="51">
        <f>+J6/J7</f>
        <v>0.66666666666666674</v>
      </c>
      <c r="M23" s="96">
        <f>+M6/M7</f>
        <v>0.66666666666666685</v>
      </c>
    </row>
    <row r="24" spans="2:13" x14ac:dyDescent="0.25">
      <c r="B24" s="64" t="s">
        <v>30</v>
      </c>
      <c r="C24" s="65"/>
      <c r="D24" s="6">
        <v>-910</v>
      </c>
      <c r="E24" s="36">
        <f>+D24/D23</f>
        <v>-0.40035195776506821</v>
      </c>
      <c r="I24" s="12" t="s">
        <v>81</v>
      </c>
      <c r="J24" s="10"/>
      <c r="K24" s="37">
        <f>+K20+K22*K23</f>
        <v>2.2713851004546121E-2</v>
      </c>
      <c r="M24" s="103">
        <f>+M20+M22*M23</f>
        <v>2.756923647593661E-2</v>
      </c>
    </row>
    <row r="25" spans="2:13" x14ac:dyDescent="0.25">
      <c r="B25" s="74" t="s">
        <v>31</v>
      </c>
      <c r="C25" s="75"/>
      <c r="D25" s="8">
        <f>SUM(D23:D24)</f>
        <v>1363</v>
      </c>
      <c r="I25" s="12" t="s">
        <v>39</v>
      </c>
      <c r="J25" s="10"/>
      <c r="K25" s="37">
        <f>K9</f>
        <v>1.4999999999999999E-2</v>
      </c>
      <c r="M25" s="95">
        <f>+K25</f>
        <v>1.4999999999999999E-2</v>
      </c>
    </row>
    <row r="26" spans="2:13" x14ac:dyDescent="0.25">
      <c r="I26" s="12" t="s">
        <v>40</v>
      </c>
      <c r="J26" s="10"/>
      <c r="K26" s="37">
        <f>K21*K6+K25*K7</f>
        <v>1.188E-2</v>
      </c>
      <c r="M26" s="95">
        <f>+M21*M6/SUM(M6:M7)+M25*M7/SUM(M6:M7)</f>
        <v>1.188E-2</v>
      </c>
    </row>
    <row r="27" spans="2:13" x14ac:dyDescent="0.25">
      <c r="B27" s="66" t="s">
        <v>42</v>
      </c>
      <c r="C27" s="80"/>
      <c r="D27" s="67"/>
      <c r="I27" s="17" t="s">
        <v>41</v>
      </c>
      <c r="J27" s="18"/>
      <c r="K27" s="38">
        <f>(K20-K26)*J5</f>
        <v>462.83106027276716</v>
      </c>
      <c r="M27" s="97">
        <f>+(M20-M26)*M5</f>
        <v>641.03106027276704</v>
      </c>
    </row>
    <row r="28" spans="2:13" x14ac:dyDescent="0.25">
      <c r="B28" s="81" t="s">
        <v>43</v>
      </c>
      <c r="C28" s="82"/>
      <c r="D28" s="60">
        <f>D25</f>
        <v>1363</v>
      </c>
      <c r="I28" s="47" t="s">
        <v>82</v>
      </c>
      <c r="J28" s="48"/>
      <c r="K28" s="50">
        <f>+K27/K26</f>
        <v>38958.843457303636</v>
      </c>
      <c r="M28" s="98">
        <f>+M27/M26</f>
        <v>53958.843457303621</v>
      </c>
    </row>
    <row r="29" spans="2:13" x14ac:dyDescent="0.25">
      <c r="B29" s="64" t="s">
        <v>44</v>
      </c>
      <c r="C29" s="65"/>
      <c r="D29" s="29">
        <v>1000</v>
      </c>
      <c r="I29" s="47" t="s">
        <v>73</v>
      </c>
      <c r="J29" s="48"/>
      <c r="K29" s="50">
        <f>+K28+J5</f>
        <v>138958.84345730365</v>
      </c>
      <c r="M29" s="91">
        <f>+M5+M28</f>
        <v>138958.84345730362</v>
      </c>
    </row>
    <row r="30" spans="2:13" x14ac:dyDescent="0.25">
      <c r="B30" s="64" t="s">
        <v>45</v>
      </c>
      <c r="C30" s="65"/>
      <c r="D30" s="6">
        <f>-D22</f>
        <v>480.00000000000011</v>
      </c>
      <c r="I30" s="47" t="s">
        <v>74</v>
      </c>
      <c r="J30" s="48"/>
      <c r="K30" s="49">
        <f>+K29-J6</f>
        <v>98958.84345730365</v>
      </c>
      <c r="M30" s="91">
        <f>+M29-M6</f>
        <v>104958.84345730362</v>
      </c>
    </row>
    <row r="31" spans="2:13" x14ac:dyDescent="0.25">
      <c r="B31" s="72" t="s">
        <v>46</v>
      </c>
      <c r="C31" s="73"/>
      <c r="D31" s="13">
        <f>SUM(D28:D30)</f>
        <v>2843</v>
      </c>
      <c r="I31" s="19" t="s">
        <v>77</v>
      </c>
      <c r="J31" s="20"/>
      <c r="K31" s="44">
        <f>+J7/$K$30</f>
        <v>0.6063126639701214</v>
      </c>
      <c r="M31" s="99">
        <f>+M7/M30</f>
        <v>0.48590474437484032</v>
      </c>
    </row>
    <row r="32" spans="2:13" x14ac:dyDescent="0.25">
      <c r="B32" s="64" t="s">
        <v>47</v>
      </c>
      <c r="C32" s="65"/>
      <c r="D32" s="24">
        <f>C5-D5</f>
        <v>3500</v>
      </c>
      <c r="I32" s="12" t="s">
        <v>78</v>
      </c>
      <c r="J32" s="10"/>
      <c r="K32" s="39">
        <f>+K28/K30</f>
        <v>0.39368733602987838</v>
      </c>
      <c r="M32" s="99">
        <f>+M28/M30</f>
        <v>0.51409525562515968</v>
      </c>
    </row>
    <row r="33" spans="2:14" x14ac:dyDescent="0.25">
      <c r="B33" s="64" t="s">
        <v>48</v>
      </c>
      <c r="C33" s="65"/>
      <c r="D33" s="24">
        <f t="shared" ref="D33:D34" si="2">C6-D6</f>
        <v>-24500</v>
      </c>
      <c r="I33" s="45" t="s">
        <v>5</v>
      </c>
      <c r="J33" s="11"/>
      <c r="K33" s="46">
        <f>SUM(K31:K32)</f>
        <v>0.99999999999999978</v>
      </c>
      <c r="M33" s="100">
        <f>SUM(M31:M32)</f>
        <v>1</v>
      </c>
    </row>
    <row r="34" spans="2:14" ht="15" customHeight="1" x14ac:dyDescent="0.25">
      <c r="B34" s="64" t="s">
        <v>49</v>
      </c>
      <c r="C34" s="65"/>
      <c r="D34" s="24">
        <f t="shared" si="2"/>
        <v>25000</v>
      </c>
    </row>
    <row r="35" spans="2:14" x14ac:dyDescent="0.25">
      <c r="B35" s="64" t="s">
        <v>50</v>
      </c>
      <c r="C35" s="65"/>
      <c r="D35" s="24">
        <f>G4-F4</f>
        <v>-10000</v>
      </c>
      <c r="I35" s="66" t="s">
        <v>4</v>
      </c>
      <c r="J35" s="67"/>
      <c r="M35" s="90">
        <f>+M28-K28</f>
        <v>14999.999999999985</v>
      </c>
      <c r="N35" s="63" t="s">
        <v>84</v>
      </c>
    </row>
    <row r="36" spans="2:14" x14ac:dyDescent="0.25">
      <c r="B36" s="64" t="s">
        <v>51</v>
      </c>
      <c r="C36" s="65"/>
      <c r="D36" s="24">
        <f t="shared" ref="D36:D39" si="3">G5-F5</f>
        <v>-5136.99999999999</v>
      </c>
      <c r="I36" s="62" t="s">
        <v>56</v>
      </c>
      <c r="J36" s="13">
        <f>C8</f>
        <v>55702</v>
      </c>
    </row>
    <row r="37" spans="2:14" ht="15" customHeight="1" x14ac:dyDescent="0.25">
      <c r="B37" s="64" t="s">
        <v>52</v>
      </c>
      <c r="C37" s="65"/>
      <c r="D37" s="24">
        <f t="shared" si="3"/>
        <v>42128</v>
      </c>
      <c r="I37" s="5" t="s">
        <v>57</v>
      </c>
      <c r="J37" s="6">
        <v>20000</v>
      </c>
      <c r="M37" s="90">
        <f>+J7-M7</f>
        <v>9000</v>
      </c>
      <c r="N37" s="63" t="s">
        <v>85</v>
      </c>
    </row>
    <row r="38" spans="2:14" x14ac:dyDescent="0.25">
      <c r="B38" s="64" t="s">
        <v>53</v>
      </c>
      <c r="C38" s="65"/>
      <c r="D38" s="24">
        <f t="shared" si="3"/>
        <v>-6986</v>
      </c>
      <c r="I38" s="5" t="s">
        <v>58</v>
      </c>
      <c r="J38" s="6">
        <f>-D29</f>
        <v>-1000</v>
      </c>
      <c r="M38" s="101">
        <f>+M30-K30</f>
        <v>5999.9999999999709</v>
      </c>
      <c r="N38" s="63" t="s">
        <v>83</v>
      </c>
    </row>
    <row r="39" spans="2:14" x14ac:dyDescent="0.25">
      <c r="B39" s="64" t="s">
        <v>54</v>
      </c>
      <c r="C39" s="65"/>
      <c r="D39" s="24">
        <f t="shared" si="3"/>
        <v>-17591</v>
      </c>
      <c r="I39" s="61" t="s">
        <v>59</v>
      </c>
      <c r="J39" s="8">
        <f>SUM(J36:J38)</f>
        <v>74702</v>
      </c>
      <c r="M39" s="102">
        <f>SUM(M37:M38)</f>
        <v>14999.999999999971</v>
      </c>
    </row>
    <row r="40" spans="2:14" x14ac:dyDescent="0.25">
      <c r="B40" s="74" t="s">
        <v>55</v>
      </c>
      <c r="C40" s="75"/>
      <c r="D40" s="8">
        <f>SUM(D31:D39)</f>
        <v>9257.0000000000146</v>
      </c>
    </row>
    <row r="41" spans="2:14" x14ac:dyDescent="0.25">
      <c r="B41" s="85" t="s">
        <v>60</v>
      </c>
      <c r="C41" s="86"/>
      <c r="D41" s="26">
        <f>-J37</f>
        <v>-20000</v>
      </c>
      <c r="I41" s="66" t="s">
        <v>64</v>
      </c>
      <c r="J41" s="67"/>
    </row>
    <row r="42" spans="2:14" x14ac:dyDescent="0.25">
      <c r="B42" s="74" t="s">
        <v>61</v>
      </c>
      <c r="C42" s="75"/>
      <c r="D42" s="8">
        <f>SUM(D41)</f>
        <v>-20000</v>
      </c>
      <c r="I42" s="62" t="s">
        <v>65</v>
      </c>
      <c r="J42" s="13">
        <f>F10</f>
        <v>42231</v>
      </c>
      <c r="K42" s="28"/>
    </row>
    <row r="43" spans="2:14" x14ac:dyDescent="0.25">
      <c r="B43" s="64" t="s">
        <v>62</v>
      </c>
      <c r="C43" s="65"/>
      <c r="D43" s="24">
        <f>G9-F9</f>
        <v>-17951.999999999985</v>
      </c>
      <c r="I43" s="5" t="s">
        <v>43</v>
      </c>
      <c r="J43" s="6">
        <f>D25</f>
        <v>1363</v>
      </c>
    </row>
    <row r="44" spans="2:14" x14ac:dyDescent="0.25">
      <c r="B44" s="64" t="s">
        <v>63</v>
      </c>
      <c r="C44" s="65"/>
      <c r="D44" s="24">
        <f>-D30</f>
        <v>-480.00000000000011</v>
      </c>
      <c r="I44" s="5" t="s">
        <v>66</v>
      </c>
      <c r="J44" s="6">
        <v>35265.399999999994</v>
      </c>
    </row>
    <row r="45" spans="2:14" x14ac:dyDescent="0.25">
      <c r="B45" s="64" t="s">
        <v>66</v>
      </c>
      <c r="C45" s="65"/>
      <c r="D45" s="24">
        <f>J44</f>
        <v>35265.399999999994</v>
      </c>
      <c r="I45" s="5" t="s">
        <v>67</v>
      </c>
      <c r="J45" s="6">
        <f>-J43*80%</f>
        <v>-1090.4000000000001</v>
      </c>
    </row>
    <row r="46" spans="2:14" x14ac:dyDescent="0.25">
      <c r="B46" s="64" t="s">
        <v>69</v>
      </c>
      <c r="C46" s="65"/>
      <c r="D46" s="24">
        <f>J45</f>
        <v>-1090.4000000000001</v>
      </c>
      <c r="I46" s="61" t="s">
        <v>68</v>
      </c>
      <c r="J46" s="8">
        <f>SUM(J42:J45)</f>
        <v>77769</v>
      </c>
    </row>
    <row r="47" spans="2:14" x14ac:dyDescent="0.25">
      <c r="B47" s="74" t="s">
        <v>70</v>
      </c>
      <c r="C47" s="75"/>
      <c r="D47" s="8">
        <f>SUM(D43:D46)</f>
        <v>15743.000000000009</v>
      </c>
    </row>
    <row r="48" spans="2:14" x14ac:dyDescent="0.25">
      <c r="B48" s="74" t="s">
        <v>71</v>
      </c>
      <c r="C48" s="75"/>
      <c r="D48" s="8">
        <f>D47+D42+D40</f>
        <v>5000.0000000000236</v>
      </c>
    </row>
    <row r="49" spans="2:4" x14ac:dyDescent="0.25">
      <c r="B49" s="30" t="s">
        <v>56</v>
      </c>
      <c r="C49" s="31"/>
      <c r="D49" s="32">
        <f>C4</f>
        <v>2456</v>
      </c>
    </row>
    <row r="50" spans="2:4" x14ac:dyDescent="0.25">
      <c r="B50" s="33" t="s">
        <v>72</v>
      </c>
      <c r="C50" s="34"/>
      <c r="D50" s="35">
        <f>D4</f>
        <v>7456</v>
      </c>
    </row>
  </sheetData>
  <mergeCells count="39">
    <mergeCell ref="B46:C46"/>
    <mergeCell ref="B47:C47"/>
    <mergeCell ref="B48:C48"/>
    <mergeCell ref="B41:C41"/>
    <mergeCell ref="I41:J41"/>
    <mergeCell ref="B42:C42"/>
    <mergeCell ref="B43:C43"/>
    <mergeCell ref="B44:C44"/>
    <mergeCell ref="B45:C45"/>
    <mergeCell ref="I35:J35"/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7:D27"/>
    <mergeCell ref="B28:C28"/>
    <mergeCell ref="B29:C29"/>
    <mergeCell ref="B17:C17"/>
    <mergeCell ref="B18:C18"/>
    <mergeCell ref="B19:C19"/>
    <mergeCell ref="B20:C20"/>
    <mergeCell ref="B21:C21"/>
    <mergeCell ref="B22:C22"/>
    <mergeCell ref="I9:J9"/>
    <mergeCell ref="I11:J11"/>
    <mergeCell ref="I13:J13"/>
    <mergeCell ref="B14:D14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tabSelected="1" zoomScale="80" zoomScaleNormal="80" workbookViewId="0">
      <selection activeCell="M6" sqref="M6"/>
    </sheetView>
  </sheetViews>
  <sheetFormatPr defaultRowHeight="15" x14ac:dyDescent="0.25"/>
  <cols>
    <col min="1" max="1" width="9.140625" style="1"/>
    <col min="2" max="2" width="22.28515625" style="1" customWidth="1"/>
    <col min="3" max="3" width="9.140625" style="1"/>
    <col min="4" max="4" width="11.85546875" style="1" bestFit="1" customWidth="1"/>
    <col min="5" max="5" width="26.28515625" style="1" customWidth="1"/>
    <col min="6" max="7" width="9.140625" style="1"/>
    <col min="8" max="8" width="1.5703125" style="1" customWidth="1"/>
    <col min="9" max="9" width="33.7109375" style="1" customWidth="1"/>
    <col min="10" max="10" width="9.140625" style="1"/>
    <col min="11" max="11" width="10.140625" style="1" customWidth="1"/>
    <col min="12" max="12" width="1.85546875" style="1" customWidth="1"/>
    <col min="13" max="13" width="11.85546875" style="1" bestFit="1" customWidth="1"/>
    <col min="14" max="16384" width="9.140625" style="1"/>
  </cols>
  <sheetData>
    <row r="2" spans="2:14" x14ac:dyDescent="0.25">
      <c r="M2" s="105" t="s">
        <v>88</v>
      </c>
    </row>
    <row r="3" spans="2:14" x14ac:dyDescent="0.25">
      <c r="B3" s="59" t="s">
        <v>0</v>
      </c>
      <c r="C3" s="9">
        <v>42825</v>
      </c>
      <c r="D3" s="9">
        <v>42855</v>
      </c>
      <c r="E3" s="59" t="s">
        <v>6</v>
      </c>
      <c r="F3" s="9">
        <v>42825</v>
      </c>
      <c r="G3" s="4">
        <v>42855</v>
      </c>
      <c r="I3" s="19" t="s">
        <v>18</v>
      </c>
      <c r="J3" s="20">
        <f>AVERAGE(C11:D11)</f>
        <v>160000</v>
      </c>
      <c r="K3" s="16"/>
      <c r="M3" s="88">
        <f>+J3</f>
        <v>160000</v>
      </c>
    </row>
    <row r="4" spans="2:14" x14ac:dyDescent="0.25">
      <c r="B4" s="52" t="s">
        <v>1</v>
      </c>
      <c r="C4" s="53">
        <v>2456</v>
      </c>
      <c r="D4" s="53">
        <f>C4+5000</f>
        <v>7456</v>
      </c>
      <c r="E4" s="52" t="s">
        <v>7</v>
      </c>
      <c r="F4" s="53">
        <v>23765</v>
      </c>
      <c r="G4" s="54">
        <f>F4-10000</f>
        <v>13765</v>
      </c>
      <c r="I4" s="12" t="s">
        <v>19</v>
      </c>
      <c r="J4" s="10">
        <f>SUM(F4:G8)/2</f>
        <v>60000</v>
      </c>
      <c r="K4" s="6"/>
      <c r="M4" s="88">
        <f>+J4</f>
        <v>60000</v>
      </c>
    </row>
    <row r="5" spans="2:14" x14ac:dyDescent="0.25">
      <c r="B5" s="52" t="s">
        <v>2</v>
      </c>
      <c r="C5" s="53">
        <v>38653</v>
      </c>
      <c r="D5" s="53">
        <f>C5-3500</f>
        <v>35153</v>
      </c>
      <c r="E5" s="52" t="s">
        <v>8</v>
      </c>
      <c r="F5" s="53">
        <v>8632</v>
      </c>
      <c r="G5" s="54">
        <v>3495.00000000001</v>
      </c>
      <c r="I5" s="12" t="s">
        <v>20</v>
      </c>
      <c r="J5" s="10">
        <f>J3-J4</f>
        <v>100000</v>
      </c>
      <c r="K5" s="6"/>
      <c r="M5" s="89">
        <f>+M3-M4</f>
        <v>100000</v>
      </c>
    </row>
    <row r="6" spans="2:14" x14ac:dyDescent="0.25">
      <c r="B6" s="52" t="s">
        <v>3</v>
      </c>
      <c r="C6" s="53">
        <f>47689-25000+5500</f>
        <v>28189</v>
      </c>
      <c r="D6" s="53">
        <f>170000-117311</f>
        <v>52689</v>
      </c>
      <c r="E6" s="52" t="s">
        <v>13</v>
      </c>
      <c r="F6" s="53">
        <v>0</v>
      </c>
      <c r="G6" s="54">
        <f>67128-25000</f>
        <v>42128</v>
      </c>
      <c r="I6" s="12" t="s">
        <v>24</v>
      </c>
      <c r="J6" s="10">
        <f>AVERAGE(F9:G9)</f>
        <v>40000.000000000007</v>
      </c>
      <c r="K6" s="21">
        <f>J6/$J$5</f>
        <v>0.40000000000000008</v>
      </c>
      <c r="M6" s="88">
        <f>+J6+10000</f>
        <v>50000.000000000007</v>
      </c>
    </row>
    <row r="7" spans="2:14" x14ac:dyDescent="0.25">
      <c r="B7" s="52" t="s">
        <v>12</v>
      </c>
      <c r="C7" s="53">
        <v>25000</v>
      </c>
      <c r="D7" s="53">
        <v>0</v>
      </c>
      <c r="E7" s="52" t="s">
        <v>14</v>
      </c>
      <c r="F7" s="53">
        <v>7896</v>
      </c>
      <c r="G7" s="54">
        <f>-D24</f>
        <v>910</v>
      </c>
      <c r="I7" s="17" t="s">
        <v>25</v>
      </c>
      <c r="J7" s="18">
        <f>AVERAGE(F10:G10)</f>
        <v>60000</v>
      </c>
      <c r="K7" s="22">
        <f t="shared" ref="K7" si="0">J7/$J$5</f>
        <v>0.6</v>
      </c>
      <c r="M7" s="88">
        <f>+J7-10000</f>
        <v>50000</v>
      </c>
    </row>
    <row r="8" spans="2:14" x14ac:dyDescent="0.25">
      <c r="B8" s="5" t="s">
        <v>4</v>
      </c>
      <c r="C8" s="10">
        <f>150000-94298</f>
        <v>55702</v>
      </c>
      <c r="D8" s="10">
        <f>170000-95298</f>
        <v>74702</v>
      </c>
      <c r="E8" s="52" t="s">
        <v>9</v>
      </c>
      <c r="F8" s="53">
        <v>18500</v>
      </c>
      <c r="G8" s="54">
        <f>170000-169091</f>
        <v>909</v>
      </c>
    </row>
    <row r="9" spans="2:14" x14ac:dyDescent="0.25">
      <c r="B9" s="5"/>
      <c r="C9" s="10"/>
      <c r="D9" s="10"/>
      <c r="E9" s="56" t="s">
        <v>10</v>
      </c>
      <c r="F9" s="57">
        <v>48976</v>
      </c>
      <c r="G9" s="58">
        <v>31024.000000000015</v>
      </c>
      <c r="I9" s="76" t="s">
        <v>32</v>
      </c>
      <c r="J9" s="77"/>
      <c r="K9" s="14">
        <v>1.4999999999999999E-2</v>
      </c>
      <c r="M9" s="106">
        <v>1.6E-2</v>
      </c>
    </row>
    <row r="10" spans="2:14" x14ac:dyDescent="0.25">
      <c r="B10" s="5"/>
      <c r="C10" s="10"/>
      <c r="D10" s="10"/>
      <c r="E10" s="56" t="s">
        <v>11</v>
      </c>
      <c r="F10" s="57">
        <f>-107769+150000</f>
        <v>42231</v>
      </c>
      <c r="G10" s="58">
        <f>-92386+170000+170000-169982+170000-169863</f>
        <v>77769</v>
      </c>
      <c r="I10" s="12"/>
      <c r="J10" s="10"/>
      <c r="K10" s="10"/>
    </row>
    <row r="11" spans="2:14" x14ac:dyDescent="0.25">
      <c r="B11" s="61" t="s">
        <v>5</v>
      </c>
      <c r="C11" s="11">
        <f>SUM(C4:C10)</f>
        <v>150000</v>
      </c>
      <c r="D11" s="11">
        <f>SUM(D4:D10)</f>
        <v>170000</v>
      </c>
      <c r="E11" s="61" t="s">
        <v>5</v>
      </c>
      <c r="F11" s="11">
        <f>SUM(F4:F10)</f>
        <v>150000</v>
      </c>
      <c r="G11" s="8">
        <f>SUM(G4:G10)</f>
        <v>170000.00000000003</v>
      </c>
      <c r="I11" s="76" t="s">
        <v>33</v>
      </c>
      <c r="J11" s="77"/>
      <c r="K11" s="43">
        <f>D25/J7</f>
        <v>2.2716666666666666E-2</v>
      </c>
    </row>
    <row r="12" spans="2:14" x14ac:dyDescent="0.25">
      <c r="B12" s="2"/>
      <c r="I12" s="12"/>
      <c r="J12" s="10"/>
      <c r="K12" s="10"/>
    </row>
    <row r="13" spans="2:14" x14ac:dyDescent="0.25">
      <c r="I13" s="78" t="s">
        <v>34</v>
      </c>
      <c r="J13" s="79"/>
      <c r="K13" s="15">
        <f>(K11-K9)*J7</f>
        <v>463</v>
      </c>
    </row>
    <row r="14" spans="2:14" x14ac:dyDescent="0.25">
      <c r="B14" s="66" t="s">
        <v>15</v>
      </c>
      <c r="C14" s="80"/>
      <c r="D14" s="67"/>
      <c r="I14" s="19"/>
      <c r="J14" s="20"/>
      <c r="K14" s="16"/>
    </row>
    <row r="15" spans="2:14" x14ac:dyDescent="0.25">
      <c r="B15" s="72" t="s">
        <v>16</v>
      </c>
      <c r="C15" s="73"/>
      <c r="D15" s="13">
        <f>100000*2.5/0.8</f>
        <v>312500</v>
      </c>
      <c r="I15" s="12" t="s">
        <v>35</v>
      </c>
      <c r="J15" s="10"/>
      <c r="K15" s="6">
        <f>SUM(D19:D21)</f>
        <v>2753</v>
      </c>
      <c r="L15" s="27"/>
      <c r="M15" s="89">
        <f>+K15</f>
        <v>2753</v>
      </c>
    </row>
    <row r="16" spans="2:14" x14ac:dyDescent="0.25">
      <c r="B16" s="64" t="s">
        <v>17</v>
      </c>
      <c r="C16" s="65"/>
      <c r="D16" s="6">
        <f>-D15*20%</f>
        <v>-62500</v>
      </c>
      <c r="I16" s="12" t="s">
        <v>36</v>
      </c>
      <c r="J16" s="10"/>
      <c r="K16" s="6">
        <f>K15*(1+$E$24)</f>
        <v>1650.831060272767</v>
      </c>
      <c r="M16" s="89">
        <f>+K16</f>
        <v>1650.831060272767</v>
      </c>
      <c r="N16" s="1">
        <f>+K16-M16</f>
        <v>0</v>
      </c>
    </row>
    <row r="17" spans="2:13" x14ac:dyDescent="0.25">
      <c r="B17" s="83" t="s">
        <v>21</v>
      </c>
      <c r="C17" s="84"/>
      <c r="D17" s="55">
        <f>SUM(D15:D16)</f>
        <v>250000</v>
      </c>
      <c r="I17" s="19" t="s">
        <v>75</v>
      </c>
      <c r="J17" s="20"/>
      <c r="K17" s="41">
        <f>+K16/D17</f>
        <v>6.6033242410910679E-3</v>
      </c>
      <c r="M17" s="107">
        <f>+M16/D17</f>
        <v>6.6033242410910679E-3</v>
      </c>
    </row>
    <row r="18" spans="2:13" x14ac:dyDescent="0.25">
      <c r="B18" s="68" t="s">
        <v>22</v>
      </c>
      <c r="C18" s="69"/>
      <c r="D18" s="54">
        <v>-150000</v>
      </c>
      <c r="I18" s="12" t="s">
        <v>76</v>
      </c>
      <c r="J18" s="10"/>
      <c r="K18" s="40">
        <f>+D17/J5</f>
        <v>2.5</v>
      </c>
      <c r="M18" s="114">
        <f>+D17/M5</f>
        <v>2.5</v>
      </c>
    </row>
    <row r="19" spans="2:13" x14ac:dyDescent="0.25">
      <c r="B19" s="83" t="s">
        <v>23</v>
      </c>
      <c r="C19" s="84"/>
      <c r="D19" s="55">
        <f>SUM(D17:D18)</f>
        <v>100000</v>
      </c>
      <c r="I19" s="17" t="s">
        <v>37</v>
      </c>
      <c r="J19" s="18"/>
      <c r="K19" s="42">
        <f>+K17*K18</f>
        <v>1.6508310602727672E-2</v>
      </c>
      <c r="M19" s="108">
        <f>+M18*M17</f>
        <v>1.6508310602727672E-2</v>
      </c>
    </row>
    <row r="20" spans="2:13" x14ac:dyDescent="0.25">
      <c r="B20" s="68" t="s">
        <v>26</v>
      </c>
      <c r="C20" s="69"/>
      <c r="D20" s="54">
        <v>-45237</v>
      </c>
      <c r="I20" s="12" t="s">
        <v>37</v>
      </c>
      <c r="J20" s="10"/>
      <c r="K20" s="37">
        <f>K16/J5</f>
        <v>1.6508310602727672E-2</v>
      </c>
      <c r="M20" s="108">
        <f>+M16/M5</f>
        <v>1.6508310602727672E-2</v>
      </c>
    </row>
    <row r="21" spans="2:13" x14ac:dyDescent="0.25">
      <c r="B21" s="68" t="s">
        <v>27</v>
      </c>
      <c r="C21" s="69"/>
      <c r="D21" s="54">
        <v>-52010</v>
      </c>
      <c r="I21" s="12" t="s">
        <v>38</v>
      </c>
      <c r="J21" s="10"/>
      <c r="K21" s="37">
        <f>-D22*0.6/J6</f>
        <v>7.1999999999999998E-3</v>
      </c>
      <c r="M21" s="108">
        <f>+K21</f>
        <v>7.1999999999999998E-3</v>
      </c>
    </row>
    <row r="22" spans="2:13" x14ac:dyDescent="0.25">
      <c r="B22" s="70" t="s">
        <v>28</v>
      </c>
      <c r="C22" s="71"/>
      <c r="D22" s="58">
        <f>-J6*1.2%</f>
        <v>-480.00000000000011</v>
      </c>
      <c r="I22" s="12" t="s">
        <v>79</v>
      </c>
      <c r="J22" s="10"/>
      <c r="K22" s="37">
        <f>+K20-K21</f>
        <v>9.3083106027276718E-3</v>
      </c>
      <c r="M22" s="108">
        <f>+M20-M21</f>
        <v>9.3083106027276718E-3</v>
      </c>
    </row>
    <row r="23" spans="2:13" x14ac:dyDescent="0.25">
      <c r="B23" s="72" t="s">
        <v>29</v>
      </c>
      <c r="C23" s="73"/>
      <c r="D23" s="13">
        <f>SUM(D19:D22)</f>
        <v>2273</v>
      </c>
      <c r="I23" s="12" t="s">
        <v>80</v>
      </c>
      <c r="J23" s="10"/>
      <c r="K23" s="51">
        <f>+J6/J7</f>
        <v>0.66666666666666674</v>
      </c>
      <c r="M23" s="117">
        <f>+M6/M7</f>
        <v>1.0000000000000002</v>
      </c>
    </row>
    <row r="24" spans="2:13" x14ac:dyDescent="0.25">
      <c r="B24" s="64" t="s">
        <v>30</v>
      </c>
      <c r="C24" s="65"/>
      <c r="D24" s="6">
        <v>-910</v>
      </c>
      <c r="E24" s="36">
        <f>+D24/D23</f>
        <v>-0.40035195776506821</v>
      </c>
      <c r="I24" s="12" t="s">
        <v>81</v>
      </c>
      <c r="J24" s="10"/>
      <c r="K24" s="37">
        <f>+K20+K22*K23</f>
        <v>2.2713851004546121E-2</v>
      </c>
      <c r="M24" s="109">
        <f>+M20+M22*M23</f>
        <v>2.5816621205455345E-2</v>
      </c>
    </row>
    <row r="25" spans="2:13" x14ac:dyDescent="0.25">
      <c r="B25" s="74" t="s">
        <v>31</v>
      </c>
      <c r="C25" s="75"/>
      <c r="D25" s="8">
        <f>SUM(D23:D24)</f>
        <v>1363</v>
      </c>
      <c r="I25" s="12" t="s">
        <v>39</v>
      </c>
      <c r="J25" s="10"/>
      <c r="K25" s="37">
        <f>K9</f>
        <v>1.4999999999999999E-2</v>
      </c>
      <c r="M25" s="109">
        <f>+M9</f>
        <v>1.6E-2</v>
      </c>
    </row>
    <row r="26" spans="2:13" x14ac:dyDescent="0.25">
      <c r="I26" s="12" t="s">
        <v>40</v>
      </c>
      <c r="J26" s="10"/>
      <c r="K26" s="37">
        <f>K21*K6+K25*K7</f>
        <v>1.188E-2</v>
      </c>
      <c r="M26" s="109">
        <f>+M21*M6/SUM(M6:M7)+M25*M7/SUM(M6:M7)</f>
        <v>1.1600000000000001E-2</v>
      </c>
    </row>
    <row r="27" spans="2:13" x14ac:dyDescent="0.25">
      <c r="B27" s="66" t="s">
        <v>42</v>
      </c>
      <c r="C27" s="80"/>
      <c r="D27" s="67"/>
      <c r="I27" s="17" t="s">
        <v>41</v>
      </c>
      <c r="J27" s="18"/>
      <c r="K27" s="38">
        <f>(K20-K26)*J5</f>
        <v>462.83106027276716</v>
      </c>
      <c r="M27" s="110">
        <f>+(M20-M26)*M5</f>
        <v>490.83106027276705</v>
      </c>
    </row>
    <row r="28" spans="2:13" x14ac:dyDescent="0.25">
      <c r="B28" s="81" t="s">
        <v>43</v>
      </c>
      <c r="C28" s="82"/>
      <c r="D28" s="60">
        <f>D25</f>
        <v>1363</v>
      </c>
      <c r="I28" s="47" t="s">
        <v>82</v>
      </c>
      <c r="J28" s="48"/>
      <c r="K28" s="50">
        <f>+K27/K26</f>
        <v>38958.843457303636</v>
      </c>
      <c r="M28" s="111">
        <f>+M27/M26</f>
        <v>42313.022437307503</v>
      </c>
    </row>
    <row r="29" spans="2:13" x14ac:dyDescent="0.25">
      <c r="B29" s="64" t="s">
        <v>44</v>
      </c>
      <c r="C29" s="65"/>
      <c r="D29" s="29">
        <v>1000</v>
      </c>
      <c r="I29" s="47" t="s">
        <v>73</v>
      </c>
      <c r="J29" s="48"/>
      <c r="K29" s="50">
        <f>+K28+J5</f>
        <v>138958.84345730365</v>
      </c>
      <c r="M29" s="89">
        <f>+M28+M5</f>
        <v>142313.02243730752</v>
      </c>
    </row>
    <row r="30" spans="2:13" x14ac:dyDescent="0.25">
      <c r="B30" s="64" t="s">
        <v>45</v>
      </c>
      <c r="C30" s="65"/>
      <c r="D30" s="6">
        <f>-D22</f>
        <v>480.00000000000011</v>
      </c>
      <c r="I30" s="47" t="s">
        <v>74</v>
      </c>
      <c r="J30" s="48"/>
      <c r="K30" s="49">
        <f>+K29-J6</f>
        <v>98958.84345730365</v>
      </c>
      <c r="M30" s="89">
        <f>+M29-M6</f>
        <v>92313.022437307518</v>
      </c>
    </row>
    <row r="31" spans="2:13" x14ac:dyDescent="0.25">
      <c r="B31" s="72" t="s">
        <v>46</v>
      </c>
      <c r="C31" s="73"/>
      <c r="D31" s="13">
        <f>SUM(D28:D30)</f>
        <v>2843</v>
      </c>
      <c r="I31" s="19" t="s">
        <v>77</v>
      </c>
      <c r="J31" s="20"/>
      <c r="K31" s="44">
        <f>+J7/$K$30</f>
        <v>0.6063126639701214</v>
      </c>
      <c r="M31" s="112">
        <f>+M7/M30</f>
        <v>0.54163539097592073</v>
      </c>
    </row>
    <row r="32" spans="2:13" x14ac:dyDescent="0.25">
      <c r="B32" s="64" t="s">
        <v>47</v>
      </c>
      <c r="C32" s="65"/>
      <c r="D32" s="24">
        <f>C5-D5</f>
        <v>3500</v>
      </c>
      <c r="I32" s="12" t="s">
        <v>78</v>
      </c>
      <c r="J32" s="10"/>
      <c r="K32" s="39">
        <f>+K28/K30</f>
        <v>0.39368733602987838</v>
      </c>
      <c r="M32" s="112">
        <f>+M28/M30</f>
        <v>0.45836460902407911</v>
      </c>
    </row>
    <row r="33" spans="2:14" x14ac:dyDescent="0.25">
      <c r="B33" s="64" t="s">
        <v>48</v>
      </c>
      <c r="C33" s="65"/>
      <c r="D33" s="24">
        <f t="shared" ref="D33:D34" si="1">C6-D6</f>
        <v>-24500</v>
      </c>
      <c r="I33" s="45" t="s">
        <v>5</v>
      </c>
      <c r="J33" s="11"/>
      <c r="K33" s="46">
        <f>SUM(K31:K32)</f>
        <v>0.99999999999999978</v>
      </c>
      <c r="M33" s="113">
        <f>+SUM(M31:M32)</f>
        <v>0.99999999999999978</v>
      </c>
    </row>
    <row r="34" spans="2:14" ht="15" customHeight="1" x14ac:dyDescent="0.25">
      <c r="B34" s="64" t="s">
        <v>49</v>
      </c>
      <c r="C34" s="65"/>
      <c r="D34" s="24">
        <f t="shared" si="1"/>
        <v>25000</v>
      </c>
    </row>
    <row r="35" spans="2:14" x14ac:dyDescent="0.25">
      <c r="B35" s="64" t="s">
        <v>50</v>
      </c>
      <c r="C35" s="65"/>
      <c r="D35" s="24">
        <f>G4-F4</f>
        <v>-10000</v>
      </c>
      <c r="I35" s="66" t="s">
        <v>4</v>
      </c>
      <c r="J35" s="67"/>
      <c r="M35" s="88">
        <f>+M28-K28</f>
        <v>3354.1789800038678</v>
      </c>
      <c r="N35" s="63" t="s">
        <v>84</v>
      </c>
    </row>
    <row r="36" spans="2:14" x14ac:dyDescent="0.25">
      <c r="B36" s="64" t="s">
        <v>51</v>
      </c>
      <c r="C36" s="65"/>
      <c r="D36" s="24">
        <f t="shared" ref="D36:D39" si="2">G5-F5</f>
        <v>-5136.99999999999</v>
      </c>
      <c r="I36" s="62" t="s">
        <v>56</v>
      </c>
      <c r="J36" s="13">
        <f>C8</f>
        <v>55702</v>
      </c>
    </row>
    <row r="37" spans="2:14" ht="15" customHeight="1" x14ac:dyDescent="0.25">
      <c r="B37" s="64" t="s">
        <v>52</v>
      </c>
      <c r="C37" s="65"/>
      <c r="D37" s="24">
        <f t="shared" si="2"/>
        <v>42128</v>
      </c>
      <c r="I37" s="5" t="s">
        <v>57</v>
      </c>
      <c r="J37" s="6">
        <v>20000</v>
      </c>
      <c r="M37" s="88">
        <f>+J7-M7</f>
        <v>10000</v>
      </c>
      <c r="N37" s="63" t="s">
        <v>85</v>
      </c>
    </row>
    <row r="38" spans="2:14" x14ac:dyDescent="0.25">
      <c r="B38" s="64" t="s">
        <v>53</v>
      </c>
      <c r="C38" s="65"/>
      <c r="D38" s="24">
        <f t="shared" si="2"/>
        <v>-6986</v>
      </c>
      <c r="I38" s="5" t="s">
        <v>58</v>
      </c>
      <c r="J38" s="6">
        <f>-D29</f>
        <v>-1000</v>
      </c>
      <c r="M38" s="115">
        <f>+M30-K30</f>
        <v>-6645.8210199961322</v>
      </c>
      <c r="N38" s="63" t="s">
        <v>83</v>
      </c>
    </row>
    <row r="39" spans="2:14" x14ac:dyDescent="0.25">
      <c r="B39" s="64" t="s">
        <v>54</v>
      </c>
      <c r="C39" s="65"/>
      <c r="D39" s="24">
        <f t="shared" si="2"/>
        <v>-17591</v>
      </c>
      <c r="I39" s="61" t="s">
        <v>59</v>
      </c>
      <c r="J39" s="8">
        <f>SUM(J36:J38)</f>
        <v>74702</v>
      </c>
      <c r="M39" s="116">
        <f>SUM(M37:M38)</f>
        <v>3354.1789800038678</v>
      </c>
    </row>
    <row r="40" spans="2:14" x14ac:dyDescent="0.25">
      <c r="B40" s="74" t="s">
        <v>55</v>
      </c>
      <c r="C40" s="75"/>
      <c r="D40" s="8">
        <f>SUM(D31:D39)</f>
        <v>9257.0000000000146</v>
      </c>
    </row>
    <row r="41" spans="2:14" x14ac:dyDescent="0.25">
      <c r="B41" s="85" t="s">
        <v>60</v>
      </c>
      <c r="C41" s="86"/>
      <c r="D41" s="26">
        <f>-J37</f>
        <v>-20000</v>
      </c>
      <c r="I41" s="66" t="s">
        <v>64</v>
      </c>
      <c r="J41" s="67"/>
    </row>
    <row r="42" spans="2:14" x14ac:dyDescent="0.25">
      <c r="B42" s="74" t="s">
        <v>61</v>
      </c>
      <c r="C42" s="75"/>
      <c r="D42" s="8">
        <f>SUM(D41)</f>
        <v>-20000</v>
      </c>
      <c r="I42" s="62" t="s">
        <v>65</v>
      </c>
      <c r="J42" s="13">
        <f>F10</f>
        <v>42231</v>
      </c>
      <c r="K42" s="28"/>
    </row>
    <row r="43" spans="2:14" x14ac:dyDescent="0.25">
      <c r="B43" s="64" t="s">
        <v>62</v>
      </c>
      <c r="C43" s="65"/>
      <c r="D43" s="24">
        <f>G9-F9</f>
        <v>-17951.999999999985</v>
      </c>
      <c r="I43" s="5" t="s">
        <v>43</v>
      </c>
      <c r="J43" s="6">
        <f>D25</f>
        <v>1363</v>
      </c>
    </row>
    <row r="44" spans="2:14" x14ac:dyDescent="0.25">
      <c r="B44" s="64" t="s">
        <v>63</v>
      </c>
      <c r="C44" s="65"/>
      <c r="D44" s="24">
        <f>-D30</f>
        <v>-480.00000000000011</v>
      </c>
      <c r="I44" s="5" t="s">
        <v>66</v>
      </c>
      <c r="J44" s="6">
        <v>35265.399999999994</v>
      </c>
    </row>
    <row r="45" spans="2:14" x14ac:dyDescent="0.25">
      <c r="B45" s="64" t="s">
        <v>66</v>
      </c>
      <c r="C45" s="65"/>
      <c r="D45" s="24">
        <f>J44</f>
        <v>35265.399999999994</v>
      </c>
      <c r="I45" s="5" t="s">
        <v>67</v>
      </c>
      <c r="J45" s="6">
        <f>-J43*80%</f>
        <v>-1090.4000000000001</v>
      </c>
    </row>
    <row r="46" spans="2:14" x14ac:dyDescent="0.25">
      <c r="B46" s="64" t="s">
        <v>69</v>
      </c>
      <c r="C46" s="65"/>
      <c r="D46" s="24">
        <f>J45</f>
        <v>-1090.4000000000001</v>
      </c>
      <c r="I46" s="61" t="s">
        <v>68</v>
      </c>
      <c r="J46" s="8">
        <f>SUM(J42:J45)</f>
        <v>77769</v>
      </c>
    </row>
    <row r="47" spans="2:14" x14ac:dyDescent="0.25">
      <c r="B47" s="74" t="s">
        <v>70</v>
      </c>
      <c r="C47" s="75"/>
      <c r="D47" s="8">
        <f>SUM(D43:D46)</f>
        <v>15743.000000000009</v>
      </c>
    </row>
    <row r="48" spans="2:14" x14ac:dyDescent="0.25">
      <c r="B48" s="74" t="s">
        <v>71</v>
      </c>
      <c r="C48" s="75"/>
      <c r="D48" s="8">
        <f>D47+D42+D40</f>
        <v>5000.0000000000236</v>
      </c>
    </row>
    <row r="49" spans="2:4" x14ac:dyDescent="0.25">
      <c r="B49" s="30" t="s">
        <v>56</v>
      </c>
      <c r="C49" s="31"/>
      <c r="D49" s="32">
        <f>C4</f>
        <v>2456</v>
      </c>
    </row>
    <row r="50" spans="2:4" x14ac:dyDescent="0.25">
      <c r="B50" s="33" t="s">
        <v>72</v>
      </c>
      <c r="C50" s="34"/>
      <c r="D50" s="35">
        <f>D4</f>
        <v>7456</v>
      </c>
    </row>
  </sheetData>
  <mergeCells count="39">
    <mergeCell ref="B46:C46"/>
    <mergeCell ref="B47:C47"/>
    <mergeCell ref="B48:C48"/>
    <mergeCell ref="B41:C41"/>
    <mergeCell ref="I41:J41"/>
    <mergeCell ref="B42:C42"/>
    <mergeCell ref="B43:C43"/>
    <mergeCell ref="B44:C44"/>
    <mergeCell ref="B45:C45"/>
    <mergeCell ref="I35:J35"/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7:D27"/>
    <mergeCell ref="B28:C28"/>
    <mergeCell ref="B29:C29"/>
    <mergeCell ref="B17:C17"/>
    <mergeCell ref="B18:C18"/>
    <mergeCell ref="B19:C19"/>
    <mergeCell ref="B20:C20"/>
    <mergeCell ref="B21:C21"/>
    <mergeCell ref="B22:C22"/>
    <mergeCell ref="I9:J9"/>
    <mergeCell ref="I11:J11"/>
    <mergeCell ref="I13:J13"/>
    <mergeCell ref="B14:D14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CIA ARREDON - DEC INVESTIM</vt:lpstr>
      <vt:lpstr>CIA ARREDON - DEC OPERACIONAL</vt:lpstr>
      <vt:lpstr>CIA ARREDON - DEC FINANC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Roni Cleber Bonizio</cp:lastModifiedBy>
  <dcterms:created xsi:type="dcterms:W3CDTF">2017-05-24T14:45:37Z</dcterms:created>
  <dcterms:modified xsi:type="dcterms:W3CDTF">2017-06-08T23:42:33Z</dcterms:modified>
</cp:coreProperties>
</file>