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3CURSOS\LEB0306-METEORO\2023\Aula9 - BH + Prod Ating + Irriga\"/>
    </mc:Choice>
  </mc:AlternateContent>
  <xr:revisionPtr revIDLastSave="0" documentId="13_ncr:1_{DB91813B-46E2-47F2-8DDC-159566518293}" xr6:coauthVersionLast="47" xr6:coauthVersionMax="47" xr10:uidLastSave="{00000000-0000-0000-0000-000000000000}"/>
  <bookViews>
    <workbookView xWindow="28680" yWindow="-120" windowWidth="29040" windowHeight="15840" xr2:uid="{B07556F1-F644-44AF-9B6D-F33774F1105F}"/>
  </bookViews>
  <sheets>
    <sheet name="Soja" sheetId="1" r:id="rId1"/>
    <sheet name="Feijão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 s="1"/>
  <c r="N15" i="1"/>
  <c r="AB16" i="1"/>
  <c r="AB17" i="1"/>
  <c r="AB15" i="1"/>
  <c r="AB10" i="1"/>
  <c r="AB11" i="1" s="1"/>
  <c r="AB12" i="1" s="1"/>
  <c r="AB13" i="1" s="1"/>
  <c r="AB9" i="1"/>
  <c r="X9" i="1"/>
  <c r="Y9" i="1" s="1"/>
  <c r="N13" i="1"/>
  <c r="P22" i="2"/>
  <c r="W22" i="2"/>
  <c r="U22" i="2"/>
  <c r="V22" i="2"/>
  <c r="S5" i="2"/>
  <c r="S6" i="2"/>
  <c r="S7" i="2" s="1"/>
  <c r="S8" i="2" s="1"/>
  <c r="R5" i="1"/>
  <c r="R4" i="1"/>
  <c r="N10" i="1"/>
  <c r="N11" i="1"/>
  <c r="N12" i="1" s="1"/>
  <c r="N9" i="1"/>
  <c r="Z18" i="1"/>
  <c r="Y18" i="1"/>
  <c r="AA18" i="1" s="1"/>
  <c r="O18" i="1"/>
  <c r="H17" i="1"/>
  <c r="H18" i="1" s="1"/>
  <c r="AG16" i="2"/>
  <c r="M1" i="2"/>
  <c r="AB22" i="2"/>
  <c r="Z11" i="2"/>
  <c r="Z14" i="2"/>
  <c r="Z6" i="2"/>
  <c r="AB6" i="2" s="1"/>
  <c r="Y14" i="1"/>
  <c r="Y17" i="1"/>
  <c r="AA7" i="2"/>
  <c r="AA8" i="2"/>
  <c r="AA9" i="2"/>
  <c r="AA10" i="2"/>
  <c r="AA11" i="2"/>
  <c r="AA12" i="2"/>
  <c r="AA13" i="2"/>
  <c r="AA14" i="2"/>
  <c r="AA6" i="2"/>
  <c r="AC12" i="2"/>
  <c r="AC13" i="2" s="1"/>
  <c r="AC14" i="2" s="1"/>
  <c r="Y12" i="2"/>
  <c r="Y13" i="2" s="1"/>
  <c r="Z13" i="2" s="1"/>
  <c r="Y7" i="2"/>
  <c r="Y8" i="2" s="1"/>
  <c r="Y9" i="2" s="1"/>
  <c r="Y10" i="2" s="1"/>
  <c r="Z10" i="2" s="1"/>
  <c r="X10" i="1" l="1"/>
  <c r="P18" i="1"/>
  <c r="Z12" i="2"/>
  <c r="Z8" i="2"/>
  <c r="Z7" i="2"/>
  <c r="AB14" i="2"/>
  <c r="Z9" i="2"/>
  <c r="Y10" i="1" l="1"/>
  <c r="X11" i="1"/>
  <c r="T18" i="1"/>
  <c r="P14" i="2"/>
  <c r="Q14" i="2" s="1"/>
  <c r="P10" i="2"/>
  <c r="Q10" i="2" s="1"/>
  <c r="P6" i="2"/>
  <c r="Q6" i="2" s="1"/>
  <c r="P5" i="2"/>
  <c r="Q5" i="2" s="1"/>
  <c r="U5" i="2" s="1"/>
  <c r="X5" i="2" s="1"/>
  <c r="O11" i="2"/>
  <c r="O12" i="2" s="1"/>
  <c r="O7" i="2"/>
  <c r="O8" i="2" s="1"/>
  <c r="O9" i="2" s="1"/>
  <c r="P9" i="2" s="1"/>
  <c r="Q9" i="2" s="1"/>
  <c r="AF15" i="1"/>
  <c r="Y11" i="1" l="1"/>
  <c r="X12" i="1"/>
  <c r="W18" i="1"/>
  <c r="AC18" i="1" s="1"/>
  <c r="U18" i="1"/>
  <c r="O13" i="2"/>
  <c r="P13" i="2" s="1"/>
  <c r="Q13" i="2" s="1"/>
  <c r="P12" i="2"/>
  <c r="Q12" i="2" s="1"/>
  <c r="T6" i="2"/>
  <c r="W6" i="2" s="1"/>
  <c r="U6" i="2"/>
  <c r="X6" i="2" s="1"/>
  <c r="AD6" i="2" s="1"/>
  <c r="P11" i="2"/>
  <c r="Q11" i="2" s="1"/>
  <c r="P8" i="2"/>
  <c r="Q8" i="2" s="1"/>
  <c r="U8" i="2" s="1"/>
  <c r="X8" i="2" s="1"/>
  <c r="AB8" i="2" s="1"/>
  <c r="AD8" i="2" s="1"/>
  <c r="W5" i="2"/>
  <c r="P7" i="2"/>
  <c r="Q7" i="2" s="1"/>
  <c r="V5" i="2"/>
  <c r="Z9" i="1"/>
  <c r="Z10" i="1"/>
  <c r="Z11" i="1"/>
  <c r="Z12" i="1"/>
  <c r="Z13" i="1"/>
  <c r="Z14" i="1"/>
  <c r="Z15" i="1"/>
  <c r="Z16" i="1"/>
  <c r="Z17" i="1"/>
  <c r="Z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  <c r="X15" i="1"/>
  <c r="M1" i="1"/>
  <c r="M5" i="1"/>
  <c r="O5" i="1" s="1"/>
  <c r="P5" i="1" s="1"/>
  <c r="M6" i="1"/>
  <c r="O6" i="1" s="1"/>
  <c r="P6" i="1" s="1"/>
  <c r="M7" i="1"/>
  <c r="O7" i="1" s="1"/>
  <c r="M8" i="1"/>
  <c r="O8" i="1" s="1"/>
  <c r="M9" i="1"/>
  <c r="M10" i="1"/>
  <c r="M11" i="1"/>
  <c r="M12" i="1"/>
  <c r="M13" i="1"/>
  <c r="O13" i="1" s="1"/>
  <c r="M14" i="1"/>
  <c r="M15" i="1"/>
  <c r="M16" i="1"/>
  <c r="M17" i="1"/>
  <c r="O17" i="1" s="1"/>
  <c r="P17" i="1" s="1"/>
  <c r="M18" i="1"/>
  <c r="M19" i="1"/>
  <c r="M20" i="1"/>
  <c r="M4" i="1"/>
  <c r="O4" i="1" s="1"/>
  <c r="P4" i="1" s="1"/>
  <c r="T4" i="1" s="1"/>
  <c r="W4" i="1" s="1"/>
  <c r="J5" i="1"/>
  <c r="J6" i="1"/>
  <c r="J7" i="1"/>
  <c r="J8" i="1"/>
  <c r="Y8" i="1" s="1"/>
  <c r="J9" i="1"/>
  <c r="J10" i="1"/>
  <c r="J11" i="1"/>
  <c r="J12" i="1"/>
  <c r="J13" i="1"/>
  <c r="J14" i="1"/>
  <c r="J15" i="1"/>
  <c r="J16" i="1"/>
  <c r="J17" i="1"/>
  <c r="AA17" i="1" s="1"/>
  <c r="J18" i="1"/>
  <c r="J19" i="1"/>
  <c r="J20" i="1"/>
  <c r="J4" i="1"/>
  <c r="G5" i="1"/>
  <c r="G6" i="1"/>
  <c r="G7" i="1"/>
  <c r="G8" i="1"/>
  <c r="H8" i="1" s="1"/>
  <c r="G9" i="1"/>
  <c r="G10" i="1"/>
  <c r="G11" i="1"/>
  <c r="G12" i="1"/>
  <c r="G13" i="1"/>
  <c r="G14" i="1"/>
  <c r="G15" i="1"/>
  <c r="G16" i="1"/>
  <c r="G17" i="1"/>
  <c r="G18" i="1"/>
  <c r="G19" i="1"/>
  <c r="G20" i="1"/>
  <c r="G4" i="1"/>
  <c r="X13" i="1" l="1"/>
  <c r="Y13" i="1" s="1"/>
  <c r="AA13" i="1" s="1"/>
  <c r="Y12" i="1"/>
  <c r="X16" i="1"/>
  <c r="Y16" i="1" s="1"/>
  <c r="Y15" i="1"/>
  <c r="P13" i="1"/>
  <c r="R6" i="2"/>
  <c r="V6" i="2"/>
  <c r="R8" i="2"/>
  <c r="R9" i="2" s="1"/>
  <c r="S9" i="2" s="1"/>
  <c r="V8" i="2"/>
  <c r="U7" i="2"/>
  <c r="R7" i="2"/>
  <c r="AA8" i="1"/>
  <c r="AA15" i="1"/>
  <c r="AA14" i="1"/>
  <c r="AA12" i="1"/>
  <c r="AA11" i="1"/>
  <c r="H9" i="1"/>
  <c r="H10" i="1" s="1"/>
  <c r="H11" i="1" s="1"/>
  <c r="H12" i="1" s="1"/>
  <c r="H13" i="1" s="1"/>
  <c r="H14" i="1" s="1"/>
  <c r="H15" i="1" s="1"/>
  <c r="H16" i="1" s="1"/>
  <c r="H19" i="1" s="1"/>
  <c r="H20" i="1" s="1"/>
  <c r="AA16" i="1"/>
  <c r="O9" i="1"/>
  <c r="T17" i="1"/>
  <c r="W17" i="1" s="1"/>
  <c r="AC17" i="1" s="1"/>
  <c r="T5" i="1"/>
  <c r="W5" i="1" s="1"/>
  <c r="O16" i="1"/>
  <c r="O15" i="1"/>
  <c r="P7" i="1"/>
  <c r="O12" i="1"/>
  <c r="AA10" i="1"/>
  <c r="O10" i="1"/>
  <c r="AA9" i="1"/>
  <c r="P8" i="1"/>
  <c r="U4" i="1"/>
  <c r="O11" i="1"/>
  <c r="O14" i="1"/>
  <c r="V4" i="1"/>
  <c r="O21" i="1" l="1"/>
  <c r="AA21" i="1"/>
  <c r="R10" i="2"/>
  <c r="S10" i="2" s="1"/>
  <c r="X7" i="2"/>
  <c r="AB7" i="2" s="1"/>
  <c r="AD7" i="2" s="1"/>
  <c r="V7" i="2"/>
  <c r="T7" i="2"/>
  <c r="W7" i="2" s="1"/>
  <c r="T8" i="2"/>
  <c r="W8" i="2" s="1"/>
  <c r="P9" i="1"/>
  <c r="P12" i="1"/>
  <c r="P15" i="1"/>
  <c r="T8" i="1"/>
  <c r="P16" i="1"/>
  <c r="P14" i="1"/>
  <c r="P10" i="1"/>
  <c r="P11" i="1"/>
  <c r="U5" i="1"/>
  <c r="U17" i="1"/>
  <c r="R11" i="2" l="1"/>
  <c r="S11" i="2" s="1"/>
  <c r="W9" i="2"/>
  <c r="T10" i="2"/>
  <c r="U10" i="2" s="1"/>
  <c r="T9" i="2"/>
  <c r="U9" i="2" s="1"/>
  <c r="T9" i="1"/>
  <c r="W8" i="1"/>
  <c r="AC8" i="1" s="1"/>
  <c r="U8" i="1"/>
  <c r="T15" i="1"/>
  <c r="R12" i="2" l="1"/>
  <c r="S12" i="2" s="1"/>
  <c r="W10" i="2"/>
  <c r="X9" i="2"/>
  <c r="AB9" i="2" s="1"/>
  <c r="AD9" i="2" s="1"/>
  <c r="V9" i="2"/>
  <c r="X10" i="2"/>
  <c r="AB10" i="2" s="1"/>
  <c r="AD10" i="2" s="1"/>
  <c r="V10" i="2"/>
  <c r="W9" i="1"/>
  <c r="AC9" i="1" s="1"/>
  <c r="U9" i="1"/>
  <c r="W15" i="1"/>
  <c r="AC15" i="1" s="1"/>
  <c r="U15" i="1"/>
  <c r="R13" i="2" l="1"/>
  <c r="S13" i="2" s="1"/>
  <c r="T12" i="2"/>
  <c r="U12" i="2" s="1"/>
  <c r="W11" i="2"/>
  <c r="T11" i="2"/>
  <c r="U11" i="2" s="1"/>
  <c r="V11" i="2" s="1"/>
  <c r="X11" i="2"/>
  <c r="AB11" i="2" s="1"/>
  <c r="AD11" i="2" s="1"/>
  <c r="R14" i="2" l="1"/>
  <c r="T13" i="2"/>
  <c r="U13" i="2" s="1"/>
  <c r="W12" i="2"/>
  <c r="X12" i="2"/>
  <c r="AB12" i="2" s="1"/>
  <c r="AD12" i="2" s="1"/>
  <c r="V12" i="2"/>
  <c r="S14" i="2" l="1"/>
  <c r="W14" i="2" s="1"/>
  <c r="W13" i="2"/>
  <c r="X13" i="2"/>
  <c r="AB13" i="2" s="1"/>
  <c r="AD13" i="2" s="1"/>
  <c r="V13" i="2"/>
  <c r="Q5" i="1"/>
  <c r="Q6" i="1" s="1"/>
  <c r="R6" i="1" s="1"/>
  <c r="S5" i="1"/>
  <c r="V5" i="1" s="1"/>
  <c r="T14" i="2" l="1"/>
  <c r="U14" i="2" s="1"/>
  <c r="X14" i="2" s="1"/>
  <c r="AD14" i="2" s="1"/>
  <c r="AD22" i="2" s="1"/>
  <c r="AG13" i="2" s="1"/>
  <c r="AG14" i="2" s="1"/>
  <c r="AG15" i="2" s="1"/>
  <c r="V14" i="2"/>
  <c r="AG17" i="2" s="1"/>
  <c r="AG18" i="2" s="1"/>
  <c r="Q7" i="1"/>
  <c r="R7" i="1" s="1"/>
  <c r="R8" i="1" s="1"/>
  <c r="R9" i="1" l="1"/>
  <c r="Q8" i="1"/>
  <c r="AG20" i="2"/>
  <c r="V7" i="1"/>
  <c r="S8" i="1"/>
  <c r="V8" i="1" s="1"/>
  <c r="S7" i="1"/>
  <c r="T7" i="1" s="1"/>
  <c r="S6" i="1"/>
  <c r="T6" i="1" s="1"/>
  <c r="V6" i="1"/>
  <c r="Q9" i="1" l="1"/>
  <c r="Q10" i="1" s="1"/>
  <c r="S9" i="1"/>
  <c r="V9" i="1" s="1"/>
  <c r="U7" i="1"/>
  <c r="W7" i="1"/>
  <c r="W6" i="1"/>
  <c r="U6" i="1"/>
  <c r="R10" i="1" l="1"/>
  <c r="Q11" i="1"/>
  <c r="R11" i="1" l="1"/>
  <c r="Q12" i="1"/>
  <c r="V10" i="1"/>
  <c r="S10" i="1"/>
  <c r="T10" i="1" s="1"/>
  <c r="W10" i="1" l="1"/>
  <c r="AC10" i="1" s="1"/>
  <c r="U10" i="1"/>
  <c r="R12" i="1"/>
  <c r="Q13" i="1"/>
  <c r="V11" i="1"/>
  <c r="S11" i="1"/>
  <c r="T11" i="1" s="1"/>
  <c r="Q14" i="1" l="1"/>
  <c r="R14" i="1" s="1"/>
  <c r="R13" i="1"/>
  <c r="W11" i="1"/>
  <c r="AC11" i="1" s="1"/>
  <c r="U11" i="1"/>
  <c r="S12" i="1"/>
  <c r="T12" i="1" s="1"/>
  <c r="V12" i="1"/>
  <c r="W12" i="1" l="1"/>
  <c r="AC12" i="1" s="1"/>
  <c r="U12" i="1"/>
  <c r="S13" i="1"/>
  <c r="T13" i="1" s="1"/>
  <c r="V13" i="1"/>
  <c r="R15" i="1"/>
  <c r="S14" i="1"/>
  <c r="T14" i="1" s="1"/>
  <c r="V14" i="1"/>
  <c r="W14" i="1" l="1"/>
  <c r="AC14" i="1" s="1"/>
  <c r="U14" i="1"/>
  <c r="Q15" i="1"/>
  <c r="Q16" i="1" s="1"/>
  <c r="R16" i="1" s="1"/>
  <c r="S15" i="1"/>
  <c r="V15" i="1"/>
  <c r="W13" i="1"/>
  <c r="AC13" i="1" s="1"/>
  <c r="U13" i="1"/>
  <c r="R17" i="1" l="1"/>
  <c r="S16" i="1"/>
  <c r="T16" i="1" s="1"/>
  <c r="T21" i="1" s="1"/>
  <c r="V16" i="1"/>
  <c r="W16" i="1" l="1"/>
  <c r="AC16" i="1" s="1"/>
  <c r="U16" i="1"/>
  <c r="R18" i="1"/>
  <c r="Q17" i="1"/>
  <c r="S17" i="1"/>
  <c r="V17" i="1" s="1"/>
  <c r="U21" i="1" l="1"/>
  <c r="AF16" i="1" s="1"/>
  <c r="AF17" i="1" s="1"/>
  <c r="AC21" i="1"/>
  <c r="AF12" i="1" s="1"/>
  <c r="AF13" i="1" s="1"/>
  <c r="Q18" i="1"/>
  <c r="S18" i="1"/>
  <c r="V18" i="1" s="1"/>
  <c r="V21" i="1" s="1"/>
  <c r="AF14" i="1" l="1"/>
  <c r="AF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 Marin</author>
  </authors>
  <commentList>
    <comment ref="H8" authorId="0" shapeId="0" xr:uid="{9F888F3C-CC8D-4CD1-819A-C23003C80C86}">
      <text>
        <r>
          <rPr>
            <b/>
            <sz val="9"/>
            <color indexed="81"/>
            <rFont val="Segoe UI"/>
            <family val="2"/>
          </rPr>
          <t>Fabio Marin:</t>
        </r>
        <r>
          <rPr>
            <sz val="9"/>
            <color indexed="81"/>
            <rFont val="Segoe UI"/>
            <family val="2"/>
          </rPr>
          <t xml:space="preserve">
Data de semeadura informada no exercício.
</t>
        </r>
      </text>
    </comment>
    <comment ref="H18" authorId="0" shapeId="0" xr:uid="{6E6DB2B1-1102-421F-8B52-75C4CFE21DD0}">
      <text>
        <r>
          <rPr>
            <b/>
            <sz val="9"/>
            <color indexed="81"/>
            <rFont val="Segoe UI"/>
            <family val="2"/>
          </rPr>
          <t>Fabio Marin:</t>
        </r>
        <r>
          <rPr>
            <sz val="9"/>
            <color indexed="81"/>
            <rFont val="Segoe UI"/>
            <family val="2"/>
          </rPr>
          <t xml:space="preserve">
maturação fisiologica vai ocorrer aqui. Para o BH nesta linha. </t>
        </r>
      </text>
    </comment>
    <comment ref="AF19" authorId="0" shapeId="0" xr:uid="{C2230EE7-EC69-4DCA-A22A-E4D5D8469095}">
      <text>
        <r>
          <rPr>
            <b/>
            <sz val="9"/>
            <color indexed="81"/>
            <rFont val="Segoe UI"/>
            <family val="2"/>
          </rPr>
          <t>Fabio Marin:</t>
        </r>
        <r>
          <rPr>
            <sz val="9"/>
            <color indexed="81"/>
            <rFont val="Segoe UI"/>
            <family val="2"/>
          </rPr>
          <t xml:space="preserve">
considerando que tivermos lucro na operacao, recomenda-se a irrigaçao com base nos dados apresentados.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 Marin</author>
  </authors>
  <commentList>
    <comment ref="H14" authorId="0" shapeId="0" xr:uid="{C89B9298-D8AE-4A23-8537-1843A195E468}">
      <text>
        <r>
          <rPr>
            <b/>
            <sz val="9"/>
            <color indexed="81"/>
            <rFont val="Segoe UI"/>
            <family val="2"/>
          </rPr>
          <t>Fabio Marin:</t>
        </r>
        <r>
          <rPr>
            <sz val="9"/>
            <color indexed="81"/>
            <rFont val="Segoe UI"/>
            <family val="2"/>
          </rPr>
          <t xml:space="preserve">
maturacao fisiologica 
</t>
        </r>
      </text>
    </comment>
    <comment ref="AG20" authorId="0" shapeId="0" xr:uid="{345E002D-9DC5-4A48-8666-F1E65D4B402F}">
      <text>
        <r>
          <rPr>
            <b/>
            <sz val="9"/>
            <color indexed="81"/>
            <rFont val="Segoe UI"/>
            <family val="2"/>
          </rPr>
          <t>Fabio Marin:</t>
        </r>
        <r>
          <rPr>
            <sz val="9"/>
            <color indexed="81"/>
            <rFont val="Segoe UI"/>
            <family val="2"/>
          </rPr>
          <t xml:space="preserve">
considerando que tivermos lucro na operacao, recomenda-se a irrigaçao com base nos dados apresentados. 
</t>
        </r>
      </text>
    </comment>
  </commentList>
</comments>
</file>

<file path=xl/sharedStrings.xml><?xml version="1.0" encoding="utf-8"?>
<sst xmlns="http://schemas.openxmlformats.org/spreadsheetml/2006/main" count="177" uniqueCount="100">
  <si>
    <t>Período</t>
  </si>
  <si>
    <t>Tmax</t>
  </si>
  <si>
    <t>Tmin</t>
  </si>
  <si>
    <t>GD</t>
  </si>
  <si>
    <t>GD acum</t>
  </si>
  <si>
    <t xml:space="preserve">Qo </t>
  </si>
  <si>
    <t>Qg</t>
  </si>
  <si>
    <t>N.</t>
  </si>
  <si>
    <t>dias</t>
  </si>
  <si>
    <t>Chuva</t>
  </si>
  <si>
    <t xml:space="preserve">ETo </t>
  </si>
  <si>
    <t>Kc</t>
  </si>
  <si>
    <t>ETc</t>
  </si>
  <si>
    <t>P-ETc</t>
  </si>
  <si>
    <t>NAC</t>
  </si>
  <si>
    <t>ARM</t>
  </si>
  <si>
    <t>ALT</t>
  </si>
  <si>
    <t>ETR</t>
  </si>
  <si>
    <t>DEF</t>
  </si>
  <si>
    <t>EXC</t>
  </si>
  <si>
    <t>ETr/</t>
  </si>
  <si>
    <t>IAF</t>
  </si>
  <si>
    <t>aPAR</t>
  </si>
  <si>
    <t xml:space="preserve">Yp </t>
  </si>
  <si>
    <t>Ky</t>
  </si>
  <si>
    <t xml:space="preserve">Yw </t>
  </si>
  <si>
    <t>(oC)</t>
  </si>
  <si>
    <t>(MJ/m2.d)</t>
  </si>
  <si>
    <t>(mm)</t>
  </si>
  <si>
    <r>
      <t>kg ha</t>
    </r>
    <r>
      <rPr>
        <vertAlign val="superscript"/>
        <sz val="6"/>
        <color rgb="FF000000"/>
        <rFont val="Calibri"/>
        <family val="2"/>
      </rPr>
      <t>-1</t>
    </r>
    <r>
      <rPr>
        <sz val="6"/>
        <color rgb="FF000000"/>
        <rFont val="Calibri"/>
        <family val="2"/>
      </rPr>
      <t xml:space="preserve"> d</t>
    </r>
    <r>
      <rPr>
        <vertAlign val="superscript"/>
        <sz val="6"/>
        <color rgb="FF000000"/>
        <rFont val="Calibri"/>
        <family val="2"/>
      </rPr>
      <t>-1</t>
    </r>
  </si>
  <si>
    <t>21-31/10/2017</t>
  </si>
  <si>
    <t>1-10/11/2017</t>
  </si>
  <si>
    <t>11-20/11/2017</t>
  </si>
  <si>
    <t>21-30/11/2017</t>
  </si>
  <si>
    <t>1-10/12/2017</t>
  </si>
  <si>
    <t>11-20/12/2017</t>
  </si>
  <si>
    <t>21-31/12/2017</t>
  </si>
  <si>
    <t>1-10/1/2018</t>
  </si>
  <si>
    <t>11-20/1/2018</t>
  </si>
  <si>
    <t>21-31/1/2018</t>
  </si>
  <si>
    <t>1-10/2/2018</t>
  </si>
  <si>
    <t>11-20/2/2018</t>
  </si>
  <si>
    <t>21-28/2/2018</t>
  </si>
  <si>
    <t>1-10/3/2018</t>
  </si>
  <si>
    <t>11-20/3/2018</t>
  </si>
  <si>
    <t>21-31/3/2018</t>
  </si>
  <si>
    <t>1-10/4/2018</t>
  </si>
  <si>
    <t>Características do cultivar de soja</t>
  </si>
  <si>
    <t>Valor</t>
  </si>
  <si>
    <t>Eficiência de uso da Radiação (RUE)</t>
  </si>
  <si>
    <t>Coeficiente de extinção (k)</t>
  </si>
  <si>
    <t>Umidade do Grão (U)</t>
  </si>
  <si>
    <t>Índice de Colheita (IC)</t>
  </si>
  <si>
    <t>Relação PAR-Qg</t>
  </si>
  <si>
    <t>PAR ≈ 0,5 Qg</t>
  </si>
  <si>
    <t>Tb</t>
  </si>
  <si>
    <r>
      <t>T</t>
    </r>
    <r>
      <rPr>
        <vertAlign val="subscript"/>
        <sz val="8"/>
        <color theme="1"/>
        <rFont val="Times New Roman"/>
        <family val="1"/>
      </rPr>
      <t>O1</t>
    </r>
  </si>
  <si>
    <r>
      <t>T</t>
    </r>
    <r>
      <rPr>
        <vertAlign val="subscript"/>
        <sz val="8"/>
        <color theme="1"/>
        <rFont val="Times New Roman"/>
        <family val="1"/>
      </rPr>
      <t>O2</t>
    </r>
  </si>
  <si>
    <t>TB</t>
  </si>
  <si>
    <t>CAD</t>
  </si>
  <si>
    <r>
      <t>θ</t>
    </r>
    <r>
      <rPr>
        <vertAlign val="subscript"/>
        <sz val="11"/>
        <color theme="1"/>
        <rFont val="Times New Roman"/>
        <family val="1"/>
      </rPr>
      <t>CC%</t>
    </r>
    <r>
      <rPr>
        <sz val="11"/>
        <color theme="1"/>
        <rFont val="Times New Roman"/>
        <family val="1"/>
      </rPr>
      <t xml:space="preserve"> = 20%, θ</t>
    </r>
    <r>
      <rPr>
        <vertAlign val="subscript"/>
        <sz val="11"/>
        <color theme="1"/>
        <rFont val="Times New Roman"/>
        <family val="1"/>
      </rPr>
      <t>PMP%</t>
    </r>
    <r>
      <rPr>
        <sz val="11"/>
        <color theme="1"/>
        <rFont val="Times New Roman"/>
        <family val="1"/>
      </rPr>
      <t xml:space="preserve"> = 13%, Z</t>
    </r>
    <r>
      <rPr>
        <vertAlign val="subscript"/>
        <sz val="11"/>
        <color theme="1"/>
        <rFont val="Times New Roman"/>
        <family val="1"/>
      </rPr>
      <t>ef</t>
    </r>
    <r>
      <rPr>
        <sz val="11"/>
        <color theme="1"/>
        <rFont val="Times New Roman"/>
        <family val="1"/>
      </rPr>
      <t xml:space="preserve"> = 46 cm</t>
    </r>
  </si>
  <si>
    <t>Solo:</t>
  </si>
  <si>
    <t>mm</t>
  </si>
  <si>
    <t>Ftar</t>
  </si>
  <si>
    <t>Tmed</t>
  </si>
  <si>
    <t>Yp</t>
  </si>
  <si>
    <t>Yw</t>
  </si>
  <si>
    <t>Delta prod</t>
  </si>
  <si>
    <t>Sacas/ha</t>
  </si>
  <si>
    <t>Lucro da irrigação</t>
  </si>
  <si>
    <t>Custo fixo irrigação por ano</t>
  </si>
  <si>
    <t>Custo Variável Irrigação</t>
  </si>
  <si>
    <t xml:space="preserve">Custo total </t>
  </si>
  <si>
    <t>Saldo Liquido</t>
  </si>
  <si>
    <t>GD-Ac</t>
  </si>
  <si>
    <t>PAR</t>
  </si>
  <si>
    <t>P</t>
  </si>
  <si>
    <t>ETr/ETc</t>
  </si>
  <si>
    <r>
      <t>(</t>
    </r>
    <r>
      <rPr>
        <vertAlign val="superscript"/>
        <sz val="8"/>
        <color rgb="FF000000"/>
        <rFont val="Calibri"/>
        <family val="2"/>
      </rPr>
      <t>o</t>
    </r>
    <r>
      <rPr>
        <sz val="8"/>
        <color rgb="FF000000"/>
        <rFont val="Calibri"/>
        <family val="2"/>
      </rPr>
      <t>C dia)</t>
    </r>
  </si>
  <si>
    <t>MJ/m2.d)</t>
  </si>
  <si>
    <r>
      <t>kg ha</t>
    </r>
    <r>
      <rPr>
        <vertAlign val="superscript"/>
        <sz val="6"/>
        <color rgb="FF000000"/>
        <rFont val="Calibri"/>
        <family val="2"/>
      </rPr>
      <t>-1</t>
    </r>
  </si>
  <si>
    <t>21-31/10</t>
  </si>
  <si>
    <t>21-30/11</t>
  </si>
  <si>
    <t>21-31/12</t>
  </si>
  <si>
    <t>21-28/2</t>
  </si>
  <si>
    <t>21-31/3</t>
  </si>
  <si>
    <r>
      <t>θ</t>
    </r>
    <r>
      <rPr>
        <vertAlign val="subscript"/>
        <sz val="10"/>
        <color theme="1"/>
        <rFont val="Times New Roman"/>
        <family val="1"/>
      </rPr>
      <t>CC%</t>
    </r>
    <r>
      <rPr>
        <sz val="10"/>
        <color theme="1"/>
        <rFont val="Times New Roman"/>
        <family val="1"/>
      </rPr>
      <t xml:space="preserve"> = 32%, θ</t>
    </r>
    <r>
      <rPr>
        <vertAlign val="subscript"/>
        <sz val="10"/>
        <color theme="1"/>
        <rFont val="Times New Roman"/>
        <family val="1"/>
      </rPr>
      <t>PMP%</t>
    </r>
    <r>
      <rPr>
        <sz val="10"/>
        <color theme="1"/>
        <rFont val="Times New Roman"/>
        <family val="1"/>
      </rPr>
      <t xml:space="preserve"> = 19%, Z</t>
    </r>
    <r>
      <rPr>
        <vertAlign val="subscript"/>
        <sz val="10"/>
        <color theme="1"/>
        <rFont val="Times New Roman"/>
        <family val="1"/>
      </rPr>
      <t>ef</t>
    </r>
    <r>
      <rPr>
        <sz val="10"/>
        <color theme="1"/>
        <rFont val="Times New Roman"/>
        <family val="1"/>
      </rPr>
      <t xml:space="preserve"> = 32 cm</t>
    </r>
  </si>
  <si>
    <t xml:space="preserve">  01-10/11</t>
  </si>
  <si>
    <t xml:space="preserve">  11-20/11</t>
  </si>
  <si>
    <t xml:space="preserve">  01-10/12</t>
  </si>
  <si>
    <t xml:space="preserve">  11-20/12</t>
  </si>
  <si>
    <t xml:space="preserve">  01-10/01</t>
  </si>
  <si>
    <t xml:space="preserve">  11-20/01</t>
  </si>
  <si>
    <t>21-31/01</t>
  </si>
  <si>
    <t xml:space="preserve">  01-10/02</t>
  </si>
  <si>
    <t xml:space="preserve">  11-20/02</t>
  </si>
  <si>
    <t xml:space="preserve">  01-10/03</t>
  </si>
  <si>
    <t xml:space="preserve">  11-20/03</t>
  </si>
  <si>
    <t xml:space="preserve">  01-10/04</t>
  </si>
  <si>
    <t>Cotação da Saca de Soja Piaui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</si>
</sst>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rgb="FF000000"/>
      <name val="Calibri"/>
      <family val="2"/>
    </font>
    <font>
      <sz val="6"/>
      <color rgb="FF000000"/>
      <name val="Calibri"/>
      <family val="2"/>
    </font>
    <font>
      <vertAlign val="superscript"/>
      <sz val="6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bscript"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vertAlign val="subscript"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63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9" fontId="9" fillId="0" borderId="7" xfId="0" applyNumberFormat="1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2" fillId="0" borderId="0" xfId="0" applyFont="1"/>
    <xf numFmtId="0" fontId="15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2" fontId="16" fillId="2" borderId="7" xfId="0" applyNumberFormat="1" applyFont="1" applyFill="1" applyBorder="1" applyAlignment="1">
      <alignment horizontal="center" vertical="center"/>
    </xf>
    <xf numFmtId="164" fontId="16" fillId="2" borderId="7" xfId="0" applyNumberFormat="1" applyFont="1" applyFill="1" applyBorder="1" applyAlignment="1">
      <alignment horizontal="center" vertical="center"/>
    </xf>
    <xf numFmtId="2" fontId="15" fillId="2" borderId="7" xfId="0" applyNumberFormat="1" applyFont="1" applyFill="1" applyBorder="1" applyAlignment="1">
      <alignment horizontal="center" vertical="center"/>
    </xf>
    <xf numFmtId="2" fontId="15" fillId="2" borderId="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7" fillId="0" borderId="0" xfId="0" applyFont="1"/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/>
    </xf>
    <xf numFmtId="2" fontId="18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C2F2A-8E50-4EA7-9B8E-1DC88774FB7F}">
  <dimension ref="C1:AF31"/>
  <sheetViews>
    <sheetView tabSelected="1" topLeftCell="G1" workbookViewId="0">
      <selection activeCell="N18" sqref="N18"/>
    </sheetView>
  </sheetViews>
  <sheetFormatPr defaultRowHeight="15" x14ac:dyDescent="0.25"/>
  <cols>
    <col min="25" max="25" width="10" bestFit="1" customWidth="1"/>
    <col min="26" max="26" width="10" customWidth="1"/>
    <col min="31" max="31" width="25.5703125" bestFit="1" customWidth="1"/>
    <col min="32" max="32" width="10.5703125" bestFit="1" customWidth="1"/>
  </cols>
  <sheetData>
    <row r="1" spans="3:32" ht="17.25" thickBot="1" x14ac:dyDescent="0.35">
      <c r="E1" t="s">
        <v>61</v>
      </c>
      <c r="G1" s="26" t="s">
        <v>60</v>
      </c>
      <c r="L1" t="s">
        <v>59</v>
      </c>
      <c r="M1">
        <f>(0.2-0.13)*460</f>
        <v>32.200000000000003</v>
      </c>
      <c r="N1" t="s">
        <v>62</v>
      </c>
    </row>
    <row r="2" spans="3:32" ht="15.75" thickBot="1" x14ac:dyDescent="0.3">
      <c r="C2" s="56" t="s">
        <v>0</v>
      </c>
      <c r="D2" s="1" t="s">
        <v>1</v>
      </c>
      <c r="E2" s="1" t="s">
        <v>2</v>
      </c>
      <c r="F2" s="1" t="s">
        <v>64</v>
      </c>
      <c r="G2" s="2" t="s">
        <v>3</v>
      </c>
      <c r="H2" s="2" t="s">
        <v>4</v>
      </c>
      <c r="I2" s="1" t="s">
        <v>5</v>
      </c>
      <c r="J2" s="1" t="s">
        <v>6</v>
      </c>
      <c r="K2" s="3" t="s">
        <v>7</v>
      </c>
      <c r="L2" s="1" t="s">
        <v>9</v>
      </c>
      <c r="M2" s="1" t="s">
        <v>10</v>
      </c>
      <c r="N2" s="1" t="s">
        <v>11</v>
      </c>
      <c r="O2" s="1" t="s">
        <v>12</v>
      </c>
      <c r="P2" s="5" t="s">
        <v>13</v>
      </c>
      <c r="Q2" s="59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6" t="s">
        <v>20</v>
      </c>
      <c r="X2" s="61" t="s">
        <v>21</v>
      </c>
      <c r="Y2" s="61" t="s">
        <v>22</v>
      </c>
      <c r="Z2" s="8" t="s">
        <v>63</v>
      </c>
      <c r="AA2" s="1" t="s">
        <v>23</v>
      </c>
      <c r="AB2" s="56" t="s">
        <v>24</v>
      </c>
      <c r="AC2" s="1" t="s">
        <v>25</v>
      </c>
    </row>
    <row r="3" spans="3:32" ht="15.75" thickBot="1" x14ac:dyDescent="0.3">
      <c r="C3" s="58"/>
      <c r="D3" s="9" t="s">
        <v>26</v>
      </c>
      <c r="E3" s="9" t="s">
        <v>26</v>
      </c>
      <c r="F3" s="9" t="s">
        <v>26</v>
      </c>
      <c r="G3" s="10"/>
      <c r="H3" s="10"/>
      <c r="I3" s="9" t="s">
        <v>27</v>
      </c>
      <c r="J3" s="9" t="s">
        <v>27</v>
      </c>
      <c r="K3" s="4" t="s">
        <v>8</v>
      </c>
      <c r="L3" s="9" t="s">
        <v>28</v>
      </c>
      <c r="M3" s="9" t="s">
        <v>28</v>
      </c>
      <c r="N3" s="11"/>
      <c r="O3" s="9" t="s">
        <v>28</v>
      </c>
      <c r="P3" s="9" t="s">
        <v>28</v>
      </c>
      <c r="Q3" s="60"/>
      <c r="R3" s="9" t="s">
        <v>28</v>
      </c>
      <c r="S3" s="9" t="s">
        <v>28</v>
      </c>
      <c r="T3" s="9" t="s">
        <v>28</v>
      </c>
      <c r="U3" s="9" t="s">
        <v>28</v>
      </c>
      <c r="V3" s="9" t="s">
        <v>28</v>
      </c>
      <c r="W3" s="7" t="s">
        <v>12</v>
      </c>
      <c r="X3" s="62"/>
      <c r="Y3" s="62"/>
      <c r="Z3" s="36"/>
      <c r="AA3" s="9" t="s">
        <v>29</v>
      </c>
      <c r="AB3" s="57"/>
      <c r="AC3" s="9" t="s">
        <v>29</v>
      </c>
    </row>
    <row r="4" spans="3:32" ht="15.75" thickBot="1" x14ac:dyDescent="0.3">
      <c r="C4" s="12" t="s">
        <v>30</v>
      </c>
      <c r="D4" s="13">
        <v>32.700000000000003</v>
      </c>
      <c r="E4" s="13">
        <v>19</v>
      </c>
      <c r="F4" s="13">
        <f>AVERAGE(D4:E4)</f>
        <v>25.85</v>
      </c>
      <c r="G4" s="14">
        <f>(AVERAGE(D4:E4)-7)*K4</f>
        <v>207.35000000000002</v>
      </c>
      <c r="H4" s="14">
        <v>0</v>
      </c>
      <c r="I4" s="13">
        <v>40.299999999999997</v>
      </c>
      <c r="J4" s="24">
        <f>0.16*I4*SQRT(D4-E4)</f>
        <v>23.866311922875727</v>
      </c>
      <c r="K4" s="13">
        <v>11</v>
      </c>
      <c r="L4" s="13">
        <v>59</v>
      </c>
      <c r="M4" s="25">
        <f>0.01*I4*1/2.45*0.36*(3*D4-E4)*K4</f>
        <v>51.524125714285709</v>
      </c>
      <c r="N4" s="34">
        <v>0.4</v>
      </c>
      <c r="O4" s="28">
        <f>M4*N4</f>
        <v>20.609650285714284</v>
      </c>
      <c r="P4" s="28">
        <f>L4-O4</f>
        <v>38.390349714285719</v>
      </c>
      <c r="Q4" s="53">
        <v>0</v>
      </c>
      <c r="R4" s="33">
        <f>M1</f>
        <v>32.200000000000003</v>
      </c>
      <c r="S4" s="30">
        <v>0</v>
      </c>
      <c r="T4" s="28">
        <f>IF(P4&gt;0,O4,L4+ABS(S4))</f>
        <v>20.609650285714284</v>
      </c>
      <c r="U4" s="28">
        <f>O4-T4</f>
        <v>0</v>
      </c>
      <c r="V4" s="28">
        <f>IF(R4&lt;$M$1,0,P4-S4)</f>
        <v>38.390349714285719</v>
      </c>
      <c r="W4" s="32">
        <f>T4/O4</f>
        <v>1</v>
      </c>
      <c r="X4" s="29"/>
      <c r="Y4" s="29"/>
      <c r="Z4" s="29"/>
      <c r="AA4" s="30"/>
      <c r="AB4" s="27"/>
      <c r="AC4" s="30"/>
    </row>
    <row r="5" spans="3:32" ht="15.75" thickBot="1" x14ac:dyDescent="0.3">
      <c r="C5" s="12" t="s">
        <v>31</v>
      </c>
      <c r="D5" s="13">
        <v>29.9</v>
      </c>
      <c r="E5" s="13">
        <v>21.5</v>
      </c>
      <c r="F5" s="13">
        <f t="shared" ref="F5:F20" si="0">AVERAGE(D5:E5)</f>
        <v>25.7</v>
      </c>
      <c r="G5" s="14">
        <f t="shared" ref="G5:G20" si="1">(AVERAGE(D5:E5)-7)*K5</f>
        <v>187</v>
      </c>
      <c r="H5" s="14">
        <v>0</v>
      </c>
      <c r="I5" s="13">
        <v>40.700000000000003</v>
      </c>
      <c r="J5" s="24">
        <f t="shared" ref="J5:J20" si="2">0.16*I5*SQRT(D5-E5)</f>
        <v>18.873569074237125</v>
      </c>
      <c r="K5" s="13">
        <v>10</v>
      </c>
      <c r="L5" s="13">
        <v>54</v>
      </c>
      <c r="M5" s="25">
        <f t="shared" ref="M5:M20" si="3">0.01*I5*1/2.45*0.36*(3*D5-E5)*K5</f>
        <v>40.786383673469373</v>
      </c>
      <c r="N5" s="34">
        <v>0.4</v>
      </c>
      <c r="O5" s="28">
        <f t="shared" ref="O5:O17" si="4">M5*N5</f>
        <v>16.31455346938775</v>
      </c>
      <c r="P5" s="28">
        <f t="shared" ref="P5:P17" si="5">L5-O5</f>
        <v>37.685446530612253</v>
      </c>
      <c r="Q5" s="33">
        <f>IF(P5&lt;0,Q4+P5,($M$1*LN(R5/$M$1))
)</f>
        <v>0</v>
      </c>
      <c r="R5" s="33">
        <f>MIN(IF(P5&gt;0,R4+P5,$M$1*EXP(Q5/$M$1)),$M$1)</f>
        <v>32.200000000000003</v>
      </c>
      <c r="S5" s="28">
        <f>R5-R4</f>
        <v>0</v>
      </c>
      <c r="T5" s="28">
        <f t="shared" ref="T5:T17" si="6">IF(P5&gt;0,O5,L5+ABS(S5))</f>
        <v>16.31455346938775</v>
      </c>
      <c r="U5" s="28">
        <f t="shared" ref="U5:U17" si="7">O5-T5</f>
        <v>0</v>
      </c>
      <c r="V5" s="28">
        <f t="shared" ref="V5:V17" si="8">IF(R5&lt;$M$1,0,P5-S5)</f>
        <v>37.685446530612253</v>
      </c>
      <c r="W5" s="32">
        <f t="shared" ref="W5:W17" si="9">T5/O5</f>
        <v>1</v>
      </c>
      <c r="X5" s="29"/>
      <c r="Y5" s="29"/>
      <c r="Z5" s="29"/>
      <c r="AA5" s="30"/>
      <c r="AB5" s="27"/>
      <c r="AC5" s="30"/>
    </row>
    <row r="6" spans="3:32" ht="15.75" thickBot="1" x14ac:dyDescent="0.3">
      <c r="C6" s="12" t="s">
        <v>32</v>
      </c>
      <c r="D6" s="13">
        <v>28.6</v>
      </c>
      <c r="E6" s="13">
        <v>20</v>
      </c>
      <c r="F6" s="13">
        <f t="shared" si="0"/>
        <v>24.3</v>
      </c>
      <c r="G6" s="14">
        <f t="shared" si="1"/>
        <v>173</v>
      </c>
      <c r="H6" s="14">
        <v>0</v>
      </c>
      <c r="I6" s="13">
        <v>41</v>
      </c>
      <c r="J6" s="24">
        <f t="shared" si="2"/>
        <v>19.237696327783119</v>
      </c>
      <c r="K6" s="13">
        <v>10</v>
      </c>
      <c r="L6" s="13">
        <v>0</v>
      </c>
      <c r="M6" s="25">
        <f t="shared" si="3"/>
        <v>39.641142857142867</v>
      </c>
      <c r="N6" s="34">
        <v>0.4</v>
      </c>
      <c r="O6" s="28">
        <f t="shared" si="4"/>
        <v>15.856457142857147</v>
      </c>
      <c r="P6" s="28">
        <f t="shared" si="5"/>
        <v>-15.856457142857147</v>
      </c>
      <c r="Q6" s="33">
        <f t="shared" ref="Q6:Q17" si="10">IF(P6&lt;0,Q5+P6,($M$1*LN(R6/$M$1))
)</f>
        <v>-15.856457142857147</v>
      </c>
      <c r="R6" s="33">
        <f t="shared" ref="R6:R18" si="11">MIN(IF(P6&gt;0,R5+P6,$M$1*EXP(Q6/$M$1)),$M$1)</f>
        <v>19.678563485141822</v>
      </c>
      <c r="S6" s="28">
        <f t="shared" ref="S6:S17" si="12">R6-R5</f>
        <v>-12.521436514858181</v>
      </c>
      <c r="T6" s="28">
        <f t="shared" si="6"/>
        <v>12.521436514858181</v>
      </c>
      <c r="U6" s="28">
        <f t="shared" si="7"/>
        <v>3.3350206279989667</v>
      </c>
      <c r="V6" s="28">
        <f t="shared" si="8"/>
        <v>0</v>
      </c>
      <c r="W6" s="32">
        <f t="shared" si="9"/>
        <v>0.78967428865398903</v>
      </c>
      <c r="X6" s="29"/>
      <c r="Y6" s="29"/>
      <c r="Z6" s="29"/>
      <c r="AA6" s="30"/>
      <c r="AB6" s="27"/>
      <c r="AC6" s="30"/>
    </row>
    <row r="7" spans="3:32" ht="15.75" thickBot="1" x14ac:dyDescent="0.3">
      <c r="C7" s="12" t="s">
        <v>33</v>
      </c>
      <c r="D7" s="13">
        <v>33.200000000000003</v>
      </c>
      <c r="E7" s="13">
        <v>19.2</v>
      </c>
      <c r="F7" s="13">
        <f t="shared" si="0"/>
        <v>26.200000000000003</v>
      </c>
      <c r="G7" s="14">
        <f t="shared" si="1"/>
        <v>192.00000000000003</v>
      </c>
      <c r="H7" s="14">
        <v>0</v>
      </c>
      <c r="I7" s="13">
        <v>40.9</v>
      </c>
      <c r="J7" s="24">
        <f t="shared" si="2"/>
        <v>24.485405939048672</v>
      </c>
      <c r="K7" s="13">
        <v>10</v>
      </c>
      <c r="L7" s="13">
        <v>12</v>
      </c>
      <c r="M7" s="25">
        <f t="shared" si="3"/>
        <v>48.318759183673464</v>
      </c>
      <c r="N7" s="34">
        <v>0.4</v>
      </c>
      <c r="O7" s="28">
        <f t="shared" si="4"/>
        <v>19.327503673469387</v>
      </c>
      <c r="P7" s="28">
        <f t="shared" si="5"/>
        <v>-7.327503673469387</v>
      </c>
      <c r="Q7" s="33">
        <f t="shared" si="10"/>
        <v>-23.183960816326532</v>
      </c>
      <c r="R7" s="33">
        <f t="shared" si="11"/>
        <v>15.673441714664152</v>
      </c>
      <c r="S7" s="28">
        <f t="shared" si="12"/>
        <v>-4.00512177047767</v>
      </c>
      <c r="T7" s="28">
        <f t="shared" si="6"/>
        <v>16.005121770477672</v>
      </c>
      <c r="U7" s="28">
        <f t="shared" si="7"/>
        <v>3.3223819029917152</v>
      </c>
      <c r="V7" s="28">
        <f t="shared" si="8"/>
        <v>0</v>
      </c>
      <c r="W7" s="32">
        <f t="shared" si="9"/>
        <v>0.82810082672226804</v>
      </c>
      <c r="X7" s="29"/>
      <c r="Y7" s="29"/>
      <c r="Z7" s="29"/>
      <c r="AA7" s="30"/>
      <c r="AB7" s="27"/>
      <c r="AC7" s="30"/>
    </row>
    <row r="8" spans="3:32" ht="15.75" thickBot="1" x14ac:dyDescent="0.3">
      <c r="C8" s="12" t="s">
        <v>34</v>
      </c>
      <c r="D8" s="13">
        <v>33.799999999999997</v>
      </c>
      <c r="E8" s="13">
        <v>18.600000000000001</v>
      </c>
      <c r="F8" s="13">
        <f t="shared" si="0"/>
        <v>26.2</v>
      </c>
      <c r="G8" s="14">
        <f t="shared" si="1"/>
        <v>192</v>
      </c>
      <c r="H8" s="22">
        <f t="shared" ref="H8:H20" si="13">G8+H7</f>
        <v>192</v>
      </c>
      <c r="I8" s="13">
        <v>41.5</v>
      </c>
      <c r="J8" s="24">
        <f t="shared" si="2"/>
        <v>25.887485779812607</v>
      </c>
      <c r="K8" s="13">
        <v>10</v>
      </c>
      <c r="L8" s="13">
        <v>62</v>
      </c>
      <c r="M8" s="25">
        <f t="shared" si="3"/>
        <v>50.491102040816315</v>
      </c>
      <c r="N8" s="34">
        <v>0.4</v>
      </c>
      <c r="O8" s="28">
        <f t="shared" si="4"/>
        <v>20.196440816326529</v>
      </c>
      <c r="P8" s="28">
        <f t="shared" si="5"/>
        <v>41.803559183673471</v>
      </c>
      <c r="Q8" s="33">
        <f t="shared" si="10"/>
        <v>0</v>
      </c>
      <c r="R8" s="33">
        <f t="shared" si="11"/>
        <v>32.200000000000003</v>
      </c>
      <c r="S8" s="28">
        <f t="shared" si="12"/>
        <v>16.526558285335852</v>
      </c>
      <c r="T8" s="28">
        <f t="shared" si="6"/>
        <v>20.196440816326529</v>
      </c>
      <c r="U8" s="28">
        <f t="shared" si="7"/>
        <v>0</v>
      </c>
      <c r="V8" s="28">
        <f t="shared" si="8"/>
        <v>25.277000898337619</v>
      </c>
      <c r="W8" s="32">
        <f t="shared" si="9"/>
        <v>1</v>
      </c>
      <c r="X8" s="35">
        <v>0.1</v>
      </c>
      <c r="Y8" s="35">
        <f>J8/2*(1-EXP(-$X$24*X8))</f>
        <v>0.65587411952584418</v>
      </c>
      <c r="Z8" s="35">
        <f>IF(OR(F8&gt;$X$31,F8&lt;$X$28),0,IF(AND(F8&gt;$X$29,F8&lt;$X$30),1,IF(AND(F8&gt;$X$28,F8&lt;$X$29),(F8-$X$29)/($X$29-$X$28),1-($X$31-F8)/($X$31-$X$30))))</f>
        <v>1</v>
      </c>
      <c r="AA8" s="33">
        <f>$X$23*Y8*$X$26*(1/(1-$X$25))*Z8*K8*10</f>
        <v>64.531982334956624</v>
      </c>
      <c r="AB8" s="34">
        <v>0.2</v>
      </c>
      <c r="AC8" s="33">
        <f>AA8*(1-AB8*(1-W8))</f>
        <v>64.531982334956624</v>
      </c>
    </row>
    <row r="9" spans="3:32" ht="15.75" thickBot="1" x14ac:dyDescent="0.3">
      <c r="C9" s="12" t="s">
        <v>35</v>
      </c>
      <c r="D9" s="13">
        <v>31.3</v>
      </c>
      <c r="E9" s="13">
        <v>20.2</v>
      </c>
      <c r="F9" s="13">
        <f t="shared" si="0"/>
        <v>25.75</v>
      </c>
      <c r="G9" s="14">
        <f t="shared" si="1"/>
        <v>187.5</v>
      </c>
      <c r="H9" s="14">
        <f t="shared" si="13"/>
        <v>379.5</v>
      </c>
      <c r="I9" s="13">
        <v>41.7</v>
      </c>
      <c r="J9" s="24">
        <f t="shared" si="2"/>
        <v>22.228877218609135</v>
      </c>
      <c r="K9" s="13">
        <v>10</v>
      </c>
      <c r="L9" s="13">
        <v>60</v>
      </c>
      <c r="M9" s="25">
        <f t="shared" si="3"/>
        <v>45.158546938775508</v>
      </c>
      <c r="N9" s="34">
        <f>(1.15-0.4)/6+N8</f>
        <v>0.52500000000000002</v>
      </c>
      <c r="O9" s="28">
        <f t="shared" si="4"/>
        <v>23.708237142857143</v>
      </c>
      <c r="P9" s="28">
        <f t="shared" si="5"/>
        <v>36.291762857142857</v>
      </c>
      <c r="Q9" s="33">
        <f t="shared" si="10"/>
        <v>0</v>
      </c>
      <c r="R9" s="33">
        <f t="shared" si="11"/>
        <v>32.200000000000003</v>
      </c>
      <c r="S9" s="28">
        <f t="shared" si="12"/>
        <v>0</v>
      </c>
      <c r="T9" s="28">
        <f t="shared" si="6"/>
        <v>23.708237142857143</v>
      </c>
      <c r="U9" s="28">
        <f t="shared" si="7"/>
        <v>0</v>
      </c>
      <c r="V9" s="28">
        <f t="shared" si="8"/>
        <v>36.291762857142857</v>
      </c>
      <c r="W9" s="32">
        <f t="shared" si="9"/>
        <v>1</v>
      </c>
      <c r="X9" s="35">
        <f t="shared" ref="X9:X12" si="14">(6.5-0-1)/6+X8</f>
        <v>1.0166666666666666</v>
      </c>
      <c r="Y9" s="35">
        <f t="shared" ref="Y9:Y17" si="15">J9/2*(1-EXP(-$X$24*X9))</f>
        <v>4.5636963059066771</v>
      </c>
      <c r="Z9" s="35">
        <f t="shared" ref="Z9:Z17" si="16">IF(OR(F9&gt;$X$31,F9&lt;$X$28),0,IF(AND(F9&gt;$X$29,F9&lt;$X$30),1,IF(AND(F9&gt;$X$28,F9&lt;$X$29),(F9-$X$29)/($X$29-$X$28),1-($X$31-F9)/($X$31-$X$30))))</f>
        <v>1</v>
      </c>
      <c r="AA9" s="33">
        <f t="shared" ref="AA9:AA17" si="17">$X$23*Y9*$X$26*(1/(1-$X$25))*Z9*K9*10</f>
        <v>449.02575147771444</v>
      </c>
      <c r="AB9" s="35">
        <f>(1-0.2)/6+AB8</f>
        <v>0.33333333333333337</v>
      </c>
      <c r="AC9" s="33">
        <f t="shared" ref="AC9:AC17" si="18">AA9*(1-AB9*(1-W9))</f>
        <v>449.02575147771444</v>
      </c>
    </row>
    <row r="10" spans="3:32" ht="15.75" thickBot="1" x14ac:dyDescent="0.3">
      <c r="C10" s="12" t="s">
        <v>36</v>
      </c>
      <c r="D10" s="13">
        <v>33.200000000000003</v>
      </c>
      <c r="E10" s="13">
        <v>20.2</v>
      </c>
      <c r="F10" s="13">
        <f t="shared" si="0"/>
        <v>26.700000000000003</v>
      </c>
      <c r="G10" s="14">
        <f t="shared" si="1"/>
        <v>216.70000000000005</v>
      </c>
      <c r="H10" s="14">
        <f t="shared" si="13"/>
        <v>596.20000000000005</v>
      </c>
      <c r="I10" s="13">
        <v>41.6</v>
      </c>
      <c r="J10" s="24">
        <f t="shared" si="2"/>
        <v>23.998549289488317</v>
      </c>
      <c r="K10" s="13">
        <v>11</v>
      </c>
      <c r="L10" s="13">
        <v>27</v>
      </c>
      <c r="M10" s="25">
        <f t="shared" si="3"/>
        <v>53.387911836734702</v>
      </c>
      <c r="N10" s="34">
        <f t="shared" ref="N10:N13" si="19">(1.15-0.4)/6+N9</f>
        <v>0.65</v>
      </c>
      <c r="O10" s="28">
        <f t="shared" si="4"/>
        <v>34.702142693877555</v>
      </c>
      <c r="P10" s="32">
        <f t="shared" si="5"/>
        <v>-7.7021426938775548</v>
      </c>
      <c r="Q10" s="32">
        <f t="shared" si="10"/>
        <v>-7.7021426938775548</v>
      </c>
      <c r="R10" s="33">
        <f t="shared" si="11"/>
        <v>25.349765372701636</v>
      </c>
      <c r="S10" s="28">
        <f t="shared" si="12"/>
        <v>-6.8502346272983665</v>
      </c>
      <c r="T10" s="28">
        <f t="shared" si="6"/>
        <v>33.850234627298363</v>
      </c>
      <c r="U10" s="28">
        <f t="shared" si="7"/>
        <v>0.85190806657919182</v>
      </c>
      <c r="V10" s="28">
        <f t="shared" si="8"/>
        <v>0</v>
      </c>
      <c r="W10" s="32">
        <f t="shared" si="9"/>
        <v>0.97545085114500751</v>
      </c>
      <c r="X10" s="35">
        <f t="shared" si="14"/>
        <v>1.9333333333333331</v>
      </c>
      <c r="Y10" s="35">
        <f t="shared" si="15"/>
        <v>7.6084683855428885</v>
      </c>
      <c r="Z10" s="35">
        <f t="shared" si="16"/>
        <v>1</v>
      </c>
      <c r="AA10" s="33">
        <f t="shared" si="17"/>
        <v>823.46365883071087</v>
      </c>
      <c r="AB10" s="35">
        <f t="shared" ref="AB10:AB13" si="20">(1-0.2)/6+AB9</f>
        <v>0.46666666666666667</v>
      </c>
      <c r="AC10" s="33">
        <f t="shared" si="18"/>
        <v>814.02983725996535</v>
      </c>
    </row>
    <row r="11" spans="3:32" ht="15.75" thickBot="1" x14ac:dyDescent="0.3">
      <c r="C11" s="12" t="s">
        <v>37</v>
      </c>
      <c r="D11" s="13">
        <v>33</v>
      </c>
      <c r="E11" s="13">
        <v>20.7</v>
      </c>
      <c r="F11" s="13">
        <f t="shared" si="0"/>
        <v>26.85</v>
      </c>
      <c r="G11" s="14">
        <f t="shared" si="1"/>
        <v>198.5</v>
      </c>
      <c r="H11" s="14">
        <f t="shared" si="13"/>
        <v>794.7</v>
      </c>
      <c r="I11" s="13">
        <v>41.6</v>
      </c>
      <c r="J11" s="24">
        <f t="shared" si="2"/>
        <v>23.343494442777846</v>
      </c>
      <c r="K11" s="13">
        <v>10</v>
      </c>
      <c r="L11" s="13">
        <v>21</v>
      </c>
      <c r="M11" s="25">
        <f t="shared" si="3"/>
        <v>47.862073469387752</v>
      </c>
      <c r="N11" s="34">
        <f t="shared" si="19"/>
        <v>0.77500000000000002</v>
      </c>
      <c r="O11" s="28">
        <f t="shared" si="4"/>
        <v>37.093106938775506</v>
      </c>
      <c r="P11" s="28">
        <f t="shared" si="5"/>
        <v>-16.093106938775506</v>
      </c>
      <c r="Q11" s="33">
        <f t="shared" si="10"/>
        <v>-23.795249632653061</v>
      </c>
      <c r="R11" s="33">
        <f t="shared" si="11"/>
        <v>15.378701684837763</v>
      </c>
      <c r="S11" s="28">
        <f t="shared" si="12"/>
        <v>-9.9710636878638734</v>
      </c>
      <c r="T11" s="28">
        <f t="shared" si="6"/>
        <v>30.971063687863875</v>
      </c>
      <c r="U11" s="28">
        <f t="shared" si="7"/>
        <v>6.1220432509116307</v>
      </c>
      <c r="V11" s="28">
        <f t="shared" si="8"/>
        <v>0</v>
      </c>
      <c r="W11" s="32">
        <f t="shared" si="9"/>
        <v>0.83495469222849283</v>
      </c>
      <c r="X11" s="35">
        <f t="shared" si="14"/>
        <v>2.8499999999999996</v>
      </c>
      <c r="Y11" s="35">
        <f t="shared" si="15"/>
        <v>9.0201262133072007</v>
      </c>
      <c r="Z11" s="35">
        <f t="shared" si="16"/>
        <v>1</v>
      </c>
      <c r="AA11" s="33">
        <f t="shared" si="17"/>
        <v>887.49747570011073</v>
      </c>
      <c r="AB11" s="35">
        <f t="shared" si="20"/>
        <v>0.6</v>
      </c>
      <c r="AC11" s="33">
        <f t="shared" si="18"/>
        <v>799.61109928609449</v>
      </c>
      <c r="AE11" t="s">
        <v>99</v>
      </c>
      <c r="AF11" s="54">
        <v>115</v>
      </c>
    </row>
    <row r="12" spans="3:32" ht="15.75" thickBot="1" x14ac:dyDescent="0.3">
      <c r="C12" s="12" t="s">
        <v>38</v>
      </c>
      <c r="D12" s="13">
        <v>30.5</v>
      </c>
      <c r="E12" s="13">
        <v>20.9</v>
      </c>
      <c r="F12" s="13">
        <f t="shared" si="0"/>
        <v>25.7</v>
      </c>
      <c r="G12" s="14">
        <f t="shared" si="1"/>
        <v>187</v>
      </c>
      <c r="H12" s="14">
        <f t="shared" si="13"/>
        <v>981.7</v>
      </c>
      <c r="I12" s="13">
        <v>41.9</v>
      </c>
      <c r="J12" s="24">
        <f t="shared" si="2"/>
        <v>20.771584282379617</v>
      </c>
      <c r="K12" s="13">
        <v>10</v>
      </c>
      <c r="L12" s="13">
        <v>0</v>
      </c>
      <c r="M12" s="25">
        <f t="shared" si="3"/>
        <v>43.466546938775501</v>
      </c>
      <c r="N12" s="34">
        <f t="shared" si="19"/>
        <v>0.9</v>
      </c>
      <c r="O12" s="28">
        <f t="shared" si="4"/>
        <v>39.119892244897954</v>
      </c>
      <c r="P12" s="28">
        <f t="shared" si="5"/>
        <v>-39.119892244897954</v>
      </c>
      <c r="Q12" s="33">
        <f t="shared" si="10"/>
        <v>-62.915141877551015</v>
      </c>
      <c r="R12" s="33">
        <f t="shared" si="11"/>
        <v>4.5634552134046755</v>
      </c>
      <c r="S12" s="28">
        <f t="shared" si="12"/>
        <v>-10.815246471433088</v>
      </c>
      <c r="T12" s="28">
        <f t="shared" si="6"/>
        <v>10.815246471433088</v>
      </c>
      <c r="U12" s="28">
        <f t="shared" si="7"/>
        <v>28.304645773464866</v>
      </c>
      <c r="V12" s="28">
        <f t="shared" si="8"/>
        <v>0</v>
      </c>
      <c r="W12" s="32">
        <f t="shared" si="9"/>
        <v>0.27646411712301228</v>
      </c>
      <c r="X12" s="35">
        <f t="shared" si="14"/>
        <v>3.7666666666666662</v>
      </c>
      <c r="Y12" s="35">
        <f t="shared" si="15"/>
        <v>8.9209139908358619</v>
      </c>
      <c r="Z12" s="35">
        <f t="shared" si="16"/>
        <v>1</v>
      </c>
      <c r="AA12" s="33">
        <f t="shared" si="17"/>
        <v>877.73590530522961</v>
      </c>
      <c r="AB12" s="35">
        <f t="shared" si="20"/>
        <v>0.73333333333333328</v>
      </c>
      <c r="AC12" s="33">
        <f t="shared" si="18"/>
        <v>412.01539497480525</v>
      </c>
      <c r="AE12" t="s">
        <v>67</v>
      </c>
      <c r="AF12" s="37">
        <f>AA21-AC21</f>
        <v>2187.2866577161967</v>
      </c>
    </row>
    <row r="13" spans="3:32" ht="15.75" thickBot="1" x14ac:dyDescent="0.3">
      <c r="C13" s="12" t="s">
        <v>39</v>
      </c>
      <c r="D13" s="13">
        <v>30.2</v>
      </c>
      <c r="E13" s="13">
        <v>20.100000000000001</v>
      </c>
      <c r="F13" s="13">
        <f t="shared" si="0"/>
        <v>25.15</v>
      </c>
      <c r="G13" s="14">
        <f t="shared" si="1"/>
        <v>199.64999999999998</v>
      </c>
      <c r="H13" s="14">
        <f t="shared" si="13"/>
        <v>1181.3499999999999</v>
      </c>
      <c r="I13" s="13">
        <v>41.7</v>
      </c>
      <c r="J13" s="24">
        <f t="shared" si="2"/>
        <v>21.203947707915145</v>
      </c>
      <c r="K13" s="13">
        <v>11</v>
      </c>
      <c r="L13" s="13">
        <v>15</v>
      </c>
      <c r="M13" s="25">
        <f t="shared" si="3"/>
        <v>47.517575510204082</v>
      </c>
      <c r="N13" s="34">
        <f t="shared" si="19"/>
        <v>1.0249999999999999</v>
      </c>
      <c r="O13" s="28">
        <f t="shared" si="4"/>
        <v>48.705514897959183</v>
      </c>
      <c r="P13" s="28">
        <f t="shared" si="5"/>
        <v>-33.705514897959183</v>
      </c>
      <c r="Q13" s="33">
        <f t="shared" si="10"/>
        <v>-96.620656775510199</v>
      </c>
      <c r="R13" s="33">
        <f t="shared" si="11"/>
        <v>1.6021154909599227</v>
      </c>
      <c r="S13" s="28">
        <f t="shared" si="12"/>
        <v>-2.9613397224447526</v>
      </c>
      <c r="T13" s="28">
        <f t="shared" si="6"/>
        <v>17.961339722444752</v>
      </c>
      <c r="U13" s="28">
        <f t="shared" si="7"/>
        <v>30.744175175514432</v>
      </c>
      <c r="V13" s="28">
        <f t="shared" si="8"/>
        <v>0</v>
      </c>
      <c r="W13" s="32">
        <f t="shared" si="9"/>
        <v>0.36877424989910851</v>
      </c>
      <c r="X13" s="35">
        <f>(6.5-0-1)/6+X12</f>
        <v>4.6833333333333327</v>
      </c>
      <c r="Y13" s="35">
        <f t="shared" si="15"/>
        <v>9.6735743481738847</v>
      </c>
      <c r="Z13" s="35">
        <f t="shared" si="16"/>
        <v>1</v>
      </c>
      <c r="AA13" s="33">
        <f t="shared" si="17"/>
        <v>1046.9698397977622</v>
      </c>
      <c r="AB13" s="35">
        <f t="shared" si="20"/>
        <v>0.86666666666666659</v>
      </c>
      <c r="AC13" s="33">
        <f t="shared" si="18"/>
        <v>474.2120936663232</v>
      </c>
      <c r="AE13" t="s">
        <v>68</v>
      </c>
      <c r="AF13">
        <f>AF12/60</f>
        <v>36.454777628603281</v>
      </c>
    </row>
    <row r="14" spans="3:32" ht="15.75" thickBot="1" x14ac:dyDescent="0.3">
      <c r="C14" s="12" t="s">
        <v>40</v>
      </c>
      <c r="D14" s="13">
        <v>29.6</v>
      </c>
      <c r="E14" s="13">
        <v>20.6</v>
      </c>
      <c r="F14" s="13">
        <f t="shared" si="0"/>
        <v>25.1</v>
      </c>
      <c r="G14" s="14">
        <f t="shared" si="1"/>
        <v>181</v>
      </c>
      <c r="H14" s="23">
        <f t="shared" si="13"/>
        <v>1362.35</v>
      </c>
      <c r="I14" s="13">
        <v>40.9</v>
      </c>
      <c r="J14" s="24">
        <f t="shared" si="2"/>
        <v>19.631999999999998</v>
      </c>
      <c r="K14" s="13">
        <v>10</v>
      </c>
      <c r="L14" s="13">
        <v>14</v>
      </c>
      <c r="M14" s="25">
        <f t="shared" si="3"/>
        <v>40.986808163265309</v>
      </c>
      <c r="N14" s="34">
        <v>1.1499999999999999</v>
      </c>
      <c r="O14" s="28">
        <f t="shared" si="4"/>
        <v>47.134829387755104</v>
      </c>
      <c r="P14" s="28">
        <f t="shared" si="5"/>
        <v>-33.134829387755104</v>
      </c>
      <c r="Q14" s="33">
        <f t="shared" si="10"/>
        <v>-129.75548616326529</v>
      </c>
      <c r="R14" s="33">
        <f t="shared" si="11"/>
        <v>0.57252033142348702</v>
      </c>
      <c r="S14" s="28">
        <f t="shared" si="12"/>
        <v>-1.0295951595364357</v>
      </c>
      <c r="T14" s="28">
        <f t="shared" si="6"/>
        <v>15.029595159536436</v>
      </c>
      <c r="U14" s="28">
        <f t="shared" si="7"/>
        <v>32.10523422821867</v>
      </c>
      <c r="V14" s="28">
        <f t="shared" si="8"/>
        <v>0</v>
      </c>
      <c r="W14" s="32">
        <f t="shared" si="9"/>
        <v>0.31886389225885031</v>
      </c>
      <c r="X14" s="35">
        <v>6.5</v>
      </c>
      <c r="Y14" s="35">
        <f t="shared" si="15"/>
        <v>9.4817901843251722</v>
      </c>
      <c r="Z14" s="35">
        <f t="shared" si="16"/>
        <v>1</v>
      </c>
      <c r="AA14" s="33">
        <f t="shared" si="17"/>
        <v>932.92096526233877</v>
      </c>
      <c r="AB14" s="34">
        <v>1</v>
      </c>
      <c r="AC14" s="33">
        <f t="shared" si="18"/>
        <v>297.474810153433</v>
      </c>
      <c r="AE14" t="s">
        <v>69</v>
      </c>
      <c r="AF14" s="55">
        <f>AF11*AF13</f>
        <v>4192.2994272893775</v>
      </c>
    </row>
    <row r="15" spans="3:32" ht="15.75" thickBot="1" x14ac:dyDescent="0.3">
      <c r="C15" s="12" t="s">
        <v>41</v>
      </c>
      <c r="D15" s="13">
        <v>30.3</v>
      </c>
      <c r="E15" s="13">
        <v>20.7</v>
      </c>
      <c r="F15" s="13">
        <f t="shared" si="0"/>
        <v>25.5</v>
      </c>
      <c r="G15" s="14">
        <f t="shared" si="1"/>
        <v>185</v>
      </c>
      <c r="H15" s="14">
        <f t="shared" si="13"/>
        <v>1547.35</v>
      </c>
      <c r="I15" s="13">
        <v>40.299999999999997</v>
      </c>
      <c r="J15" s="24">
        <f t="shared" si="2"/>
        <v>19.978397293076338</v>
      </c>
      <c r="K15" s="13">
        <v>10</v>
      </c>
      <c r="L15" s="13">
        <v>44</v>
      </c>
      <c r="M15" s="25">
        <f t="shared" si="3"/>
        <v>41.569861224489784</v>
      </c>
      <c r="N15" s="34">
        <f>(0.5-1.15)/4+N14</f>
        <v>0.98749999999999993</v>
      </c>
      <c r="O15" s="28">
        <f t="shared" si="4"/>
        <v>41.050237959183661</v>
      </c>
      <c r="P15" s="28">
        <f t="shared" si="5"/>
        <v>2.9497620408163385</v>
      </c>
      <c r="Q15" s="33">
        <f t="shared" si="10"/>
        <v>-71.254004153798576</v>
      </c>
      <c r="R15" s="33">
        <f t="shared" si="11"/>
        <v>3.5222823722398253</v>
      </c>
      <c r="S15" s="28">
        <f t="shared" si="12"/>
        <v>2.9497620408163385</v>
      </c>
      <c r="T15" s="28">
        <f t="shared" si="6"/>
        <v>41.050237959183661</v>
      </c>
      <c r="U15" s="28">
        <f t="shared" si="7"/>
        <v>0</v>
      </c>
      <c r="V15" s="28">
        <f t="shared" si="8"/>
        <v>0</v>
      </c>
      <c r="W15" s="32">
        <f t="shared" si="9"/>
        <v>1</v>
      </c>
      <c r="X15" s="35">
        <f t="shared" ref="X15:X16" si="21">(0.7-6.5)/4+X14</f>
        <v>5.05</v>
      </c>
      <c r="Y15" s="35">
        <f t="shared" si="15"/>
        <v>9.2663067770520033</v>
      </c>
      <c r="Z15" s="35">
        <f t="shared" si="16"/>
        <v>1</v>
      </c>
      <c r="AA15" s="33">
        <f t="shared" si="17"/>
        <v>911.7193794432776</v>
      </c>
      <c r="AB15" s="34">
        <f>(0.85-1)/4+AB14</f>
        <v>0.96250000000000002</v>
      </c>
      <c r="AC15" s="33">
        <f t="shared" si="18"/>
        <v>911.7193794432776</v>
      </c>
      <c r="AE15" t="s">
        <v>70</v>
      </c>
      <c r="AF15">
        <f>15100/25</f>
        <v>604</v>
      </c>
    </row>
    <row r="16" spans="3:32" ht="15.75" thickBot="1" x14ac:dyDescent="0.3">
      <c r="C16" s="12" t="s">
        <v>42</v>
      </c>
      <c r="D16" s="13">
        <v>33.200000000000003</v>
      </c>
      <c r="E16" s="13">
        <v>20.3</v>
      </c>
      <c r="F16" s="13">
        <f t="shared" si="0"/>
        <v>26.75</v>
      </c>
      <c r="G16" s="14">
        <f t="shared" si="1"/>
        <v>158</v>
      </c>
      <c r="H16" s="14">
        <f t="shared" si="13"/>
        <v>1705.35</v>
      </c>
      <c r="I16" s="13">
        <v>39.9</v>
      </c>
      <c r="J16" s="24">
        <f t="shared" si="2"/>
        <v>22.92913828297959</v>
      </c>
      <c r="K16" s="13">
        <v>8</v>
      </c>
      <c r="L16" s="13">
        <v>11</v>
      </c>
      <c r="M16" s="25">
        <f t="shared" si="3"/>
        <v>37.193965714285724</v>
      </c>
      <c r="N16" s="34">
        <f t="shared" ref="N16:N17" si="22">(0.5-1.15)/4+N15</f>
        <v>0.82499999999999996</v>
      </c>
      <c r="O16" s="28">
        <f t="shared" si="4"/>
        <v>30.685021714285721</v>
      </c>
      <c r="P16" s="28">
        <f t="shared" si="5"/>
        <v>-19.685021714285721</v>
      </c>
      <c r="Q16" s="33">
        <f>P16+Q15</f>
        <v>-90.9390258680843</v>
      </c>
      <c r="R16" s="33">
        <f t="shared" si="11"/>
        <v>1.9112798622697829</v>
      </c>
      <c r="S16" s="28">
        <f t="shared" si="12"/>
        <v>-1.6110025099700425</v>
      </c>
      <c r="T16" s="28">
        <f t="shared" si="6"/>
        <v>12.611002509970042</v>
      </c>
      <c r="U16" s="28">
        <f t="shared" si="7"/>
        <v>18.074019204315679</v>
      </c>
      <c r="V16" s="28">
        <f t="shared" si="8"/>
        <v>0</v>
      </c>
      <c r="W16" s="32">
        <f t="shared" si="9"/>
        <v>0.41098235573673597</v>
      </c>
      <c r="X16" s="35">
        <f t="shared" si="21"/>
        <v>3.5999999999999996</v>
      </c>
      <c r="Y16" s="35">
        <f t="shared" si="15"/>
        <v>9.7011381554570839</v>
      </c>
      <c r="Z16" s="35">
        <f t="shared" si="16"/>
        <v>1</v>
      </c>
      <c r="AA16" s="33">
        <f t="shared" si="17"/>
        <v>763.60223090310478</v>
      </c>
      <c r="AB16" s="34">
        <f t="shared" ref="AB16:AB17" si="23">(0.85-1)/4+AB15</f>
        <v>0.92500000000000004</v>
      </c>
      <c r="AC16" s="33">
        <f t="shared" si="18"/>
        <v>347.560182742439</v>
      </c>
      <c r="AE16" t="s">
        <v>71</v>
      </c>
      <c r="AF16">
        <f>U21*13.8</f>
        <v>1603.5879546462616</v>
      </c>
    </row>
    <row r="17" spans="3:32" ht="15.75" thickBot="1" x14ac:dyDescent="0.3">
      <c r="C17" s="12" t="s">
        <v>43</v>
      </c>
      <c r="D17" s="13">
        <v>32.6</v>
      </c>
      <c r="E17" s="13">
        <v>19.2</v>
      </c>
      <c r="F17" s="13">
        <f t="shared" si="0"/>
        <v>25.9</v>
      </c>
      <c r="G17" s="14">
        <f t="shared" si="1"/>
        <v>189</v>
      </c>
      <c r="H17" s="14">
        <f t="shared" si="13"/>
        <v>1894.35</v>
      </c>
      <c r="I17" s="13">
        <v>38.4</v>
      </c>
      <c r="J17" s="24">
        <f t="shared" si="2"/>
        <v>22.49073281153818</v>
      </c>
      <c r="K17" s="13">
        <v>10</v>
      </c>
      <c r="L17" s="13">
        <v>69</v>
      </c>
      <c r="M17" s="25">
        <f t="shared" si="3"/>
        <v>44.349648979591834</v>
      </c>
      <c r="N17" s="34">
        <f t="shared" si="22"/>
        <v>0.66249999999999998</v>
      </c>
      <c r="O17" s="28">
        <f t="shared" si="4"/>
        <v>29.381642448979587</v>
      </c>
      <c r="P17" s="28">
        <f t="shared" si="5"/>
        <v>39.618357551020409</v>
      </c>
      <c r="Q17" s="33">
        <f t="shared" si="10"/>
        <v>0</v>
      </c>
      <c r="R17" s="33">
        <f t="shared" si="11"/>
        <v>32.200000000000003</v>
      </c>
      <c r="S17" s="28">
        <f t="shared" si="12"/>
        <v>30.28872013773022</v>
      </c>
      <c r="T17" s="28">
        <f t="shared" si="6"/>
        <v>29.381642448979587</v>
      </c>
      <c r="U17" s="28">
        <f t="shared" si="7"/>
        <v>0</v>
      </c>
      <c r="V17" s="28">
        <f t="shared" si="8"/>
        <v>9.3296374132901896</v>
      </c>
      <c r="W17" s="32">
        <f t="shared" si="9"/>
        <v>1</v>
      </c>
      <c r="X17" s="35">
        <v>0.7</v>
      </c>
      <c r="Y17" s="35">
        <f t="shared" si="15"/>
        <v>3.4310603087424165</v>
      </c>
      <c r="Z17" s="35">
        <f t="shared" si="16"/>
        <v>1</v>
      </c>
      <c r="AA17" s="33">
        <f t="shared" si="17"/>
        <v>337.58478440040329</v>
      </c>
      <c r="AB17" s="34">
        <f t="shared" si="23"/>
        <v>0.88750000000000007</v>
      </c>
      <c r="AC17" s="33">
        <f t="shared" si="18"/>
        <v>337.58478440040329</v>
      </c>
      <c r="AE17" t="s">
        <v>72</v>
      </c>
      <c r="AF17">
        <f>AF15+AF16</f>
        <v>2207.5879546462616</v>
      </c>
    </row>
    <row r="18" spans="3:32" ht="15.75" thickBot="1" x14ac:dyDescent="0.3">
      <c r="C18" s="12" t="s">
        <v>44</v>
      </c>
      <c r="D18" s="13">
        <v>33.6</v>
      </c>
      <c r="E18" s="13">
        <v>19.2</v>
      </c>
      <c r="F18" s="13">
        <f t="shared" si="0"/>
        <v>26.4</v>
      </c>
      <c r="G18" s="14">
        <f t="shared" si="1"/>
        <v>194</v>
      </c>
      <c r="H18" s="22">
        <f t="shared" si="13"/>
        <v>2088.35</v>
      </c>
      <c r="I18" s="13">
        <v>37.4</v>
      </c>
      <c r="J18" s="24">
        <f t="shared" si="2"/>
        <v>22.707683422137102</v>
      </c>
      <c r="K18" s="13">
        <v>10</v>
      </c>
      <c r="L18" s="13">
        <v>53</v>
      </c>
      <c r="M18" s="25">
        <f t="shared" si="3"/>
        <v>44.843363265306124</v>
      </c>
      <c r="N18" s="32">
        <v>0.5</v>
      </c>
      <c r="O18" s="28">
        <f t="shared" ref="O18" si="24">M18*N18</f>
        <v>22.421681632653062</v>
      </c>
      <c r="P18" s="28">
        <f t="shared" ref="P18" si="25">L18-O18</f>
        <v>30.578318367346938</v>
      </c>
      <c r="Q18" s="33">
        <f t="shared" ref="Q18" si="26">IF(P18&lt;0,Q17+P18,($M$1*LN(R18/$M$1))
)</f>
        <v>0</v>
      </c>
      <c r="R18" s="33">
        <f t="shared" si="11"/>
        <v>32.200000000000003</v>
      </c>
      <c r="S18" s="28">
        <f t="shared" ref="S18" si="27">R18-R17</f>
        <v>0</v>
      </c>
      <c r="T18" s="28">
        <f t="shared" ref="T18" si="28">IF(P18&gt;0,O18,L18+ABS(S18))</f>
        <v>22.421681632653062</v>
      </c>
      <c r="U18" s="28">
        <f t="shared" ref="U18" si="29">O18-T18</f>
        <v>0</v>
      </c>
      <c r="V18" s="28">
        <f t="shared" ref="V18" si="30">IF(R18&lt;$M$1,0,P18-S18)</f>
        <v>30.578318367346938</v>
      </c>
      <c r="W18" s="32">
        <f t="shared" ref="W18" si="31">T18/O18</f>
        <v>1</v>
      </c>
      <c r="X18" s="35">
        <v>0.7</v>
      </c>
      <c r="Y18" s="35">
        <f t="shared" ref="Y18" si="32">J18/2*(1-EXP(-$X$24*X18))</f>
        <v>3.464157079542233</v>
      </c>
      <c r="Z18" s="35">
        <f t="shared" ref="Z18" si="33">IF(OR(F18&gt;$X$31,F18&lt;$X$28),0,IF(AND(F18&gt;$X$29,F18&lt;$X$30),1,IF(AND(F18&gt;$X$28,F18&lt;$X$29),(F18-$X$29)/($X$29-$X$28),1-($X$31-F18)/($X$31-$X$30))))</f>
        <v>1</v>
      </c>
      <c r="AA18" s="33">
        <f t="shared" ref="AA18" si="34">$X$23*Y18*$X$26*(1/(1-$X$25))*Z18*K18*10</f>
        <v>340.84120230898293</v>
      </c>
      <c r="AB18" s="32">
        <v>0.85</v>
      </c>
      <c r="AC18" s="33">
        <f t="shared" ref="AC18" si="35">AA18*(1-AB18*(1-W18))</f>
        <v>340.84120230898293</v>
      </c>
    </row>
    <row r="19" spans="3:32" ht="15.75" thickBot="1" x14ac:dyDescent="0.3">
      <c r="C19" s="12" t="s">
        <v>45</v>
      </c>
      <c r="D19" s="13">
        <v>33.5</v>
      </c>
      <c r="E19" s="13">
        <v>20.100000000000001</v>
      </c>
      <c r="F19" s="13">
        <f t="shared" si="0"/>
        <v>26.8</v>
      </c>
      <c r="G19" s="14">
        <f t="shared" si="1"/>
        <v>217.8</v>
      </c>
      <c r="H19" s="14">
        <f t="shared" si="13"/>
        <v>2306.15</v>
      </c>
      <c r="I19" s="13">
        <v>36.6</v>
      </c>
      <c r="J19" s="24">
        <f t="shared" si="2"/>
        <v>21.436479710997325</v>
      </c>
      <c r="K19" s="13">
        <v>11</v>
      </c>
      <c r="L19" s="13">
        <v>66</v>
      </c>
      <c r="M19" s="25">
        <f t="shared" si="3"/>
        <v>47.562671020408168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6"/>
      <c r="AA19" s="15"/>
      <c r="AB19" s="15"/>
      <c r="AC19" s="15"/>
      <c r="AE19" t="s">
        <v>73</v>
      </c>
      <c r="AF19">
        <f>AF14-AF17</f>
        <v>1984.7114726431159</v>
      </c>
    </row>
    <row r="20" spans="3:32" ht="15.75" thickBot="1" x14ac:dyDescent="0.3">
      <c r="C20" s="12" t="s">
        <v>46</v>
      </c>
      <c r="D20" s="13">
        <v>32.299999999999997</v>
      </c>
      <c r="E20" s="13">
        <v>21.5</v>
      </c>
      <c r="F20" s="13">
        <f t="shared" si="0"/>
        <v>26.9</v>
      </c>
      <c r="G20" s="14">
        <f t="shared" si="1"/>
        <v>199</v>
      </c>
      <c r="H20" s="14">
        <f t="shared" si="13"/>
        <v>2505.15</v>
      </c>
      <c r="I20" s="13">
        <v>34.799999999999997</v>
      </c>
      <c r="J20" s="24">
        <f t="shared" si="2"/>
        <v>18.298315201132588</v>
      </c>
      <c r="K20" s="13">
        <v>10</v>
      </c>
      <c r="L20" s="13">
        <v>27</v>
      </c>
      <c r="M20" s="25">
        <f t="shared" si="3"/>
        <v>38.555559183673459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5"/>
      <c r="AB20" s="15"/>
      <c r="AC20" s="15"/>
    </row>
    <row r="21" spans="3:32" ht="15.75" thickBot="1" x14ac:dyDescent="0.3">
      <c r="O21" s="40">
        <f>SUM(O8:O18)</f>
        <v>374.19874787755094</v>
      </c>
      <c r="T21" s="40">
        <f>SUM(T8:T18)</f>
        <v>257.99672217854652</v>
      </c>
      <c r="U21" s="40">
        <f>SUM(U8:U18)</f>
        <v>116.20202569900445</v>
      </c>
      <c r="V21" s="40">
        <f>SUM(V8:V18)</f>
        <v>101.4767195361176</v>
      </c>
      <c r="Z21" s="38" t="s">
        <v>65</v>
      </c>
      <c r="AA21" s="39">
        <f>SUM(AA8:AA18)</f>
        <v>7435.8931757645914</v>
      </c>
      <c r="AB21" s="38" t="s">
        <v>66</v>
      </c>
      <c r="AC21" s="39">
        <f>SUM(AC8:AC18)</f>
        <v>5248.6065180483947</v>
      </c>
    </row>
    <row r="22" spans="3:32" ht="42.75" thickBot="1" x14ac:dyDescent="0.3">
      <c r="W22" s="17" t="s">
        <v>47</v>
      </c>
      <c r="X22" s="18" t="s">
        <v>48</v>
      </c>
    </row>
    <row r="23" spans="3:32" ht="45.75" thickBot="1" x14ac:dyDescent="0.3">
      <c r="W23" s="19" t="s">
        <v>49</v>
      </c>
      <c r="X23" s="20">
        <v>2.14</v>
      </c>
    </row>
    <row r="24" spans="3:32" ht="34.5" thickBot="1" x14ac:dyDescent="0.3">
      <c r="W24" s="19" t="s">
        <v>50</v>
      </c>
      <c r="X24" s="20">
        <v>0.52</v>
      </c>
    </row>
    <row r="25" spans="3:32" ht="23.25" thickBot="1" x14ac:dyDescent="0.3">
      <c r="W25" s="19" t="s">
        <v>51</v>
      </c>
      <c r="X25" s="21">
        <v>0.13</v>
      </c>
    </row>
    <row r="26" spans="3:32" ht="34.5" thickBot="1" x14ac:dyDescent="0.3">
      <c r="W26" s="19" t="s">
        <v>52</v>
      </c>
      <c r="X26" s="21">
        <v>0.4</v>
      </c>
    </row>
    <row r="27" spans="3:32" ht="23.25" thickBot="1" x14ac:dyDescent="0.3">
      <c r="W27" s="19" t="s">
        <v>53</v>
      </c>
      <c r="X27" s="20" t="s">
        <v>54</v>
      </c>
    </row>
    <row r="28" spans="3:32" ht="15.75" thickBot="1" x14ac:dyDescent="0.3">
      <c r="W28" s="19" t="s">
        <v>55</v>
      </c>
      <c r="X28" s="20">
        <v>7</v>
      </c>
    </row>
    <row r="29" spans="3:32" ht="15.75" thickBot="1" x14ac:dyDescent="0.3">
      <c r="W29" s="19" t="s">
        <v>56</v>
      </c>
      <c r="X29" s="20">
        <v>22</v>
      </c>
    </row>
    <row r="30" spans="3:32" ht="15.75" thickBot="1" x14ac:dyDescent="0.3">
      <c r="W30" s="19" t="s">
        <v>57</v>
      </c>
      <c r="X30" s="20">
        <v>34</v>
      </c>
    </row>
    <row r="31" spans="3:32" ht="15.75" thickBot="1" x14ac:dyDescent="0.3">
      <c r="W31" s="19" t="s">
        <v>58</v>
      </c>
      <c r="X31" s="20">
        <v>40</v>
      </c>
    </row>
  </sheetData>
  <mergeCells count="5">
    <mergeCell ref="AB2:AB3"/>
    <mergeCell ref="C2:C3"/>
    <mergeCell ref="Q2:Q3"/>
    <mergeCell ref="X2:X3"/>
    <mergeCell ref="Y2:Y3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9141-D814-4F5E-957F-379BC100E2C6}">
  <dimension ref="C1:AG32"/>
  <sheetViews>
    <sheetView topLeftCell="I1" workbookViewId="0">
      <selection activeCell="W22" sqref="W22"/>
    </sheetView>
  </sheetViews>
  <sheetFormatPr defaultRowHeight="15" x14ac:dyDescent="0.25"/>
  <cols>
    <col min="25" max="25" width="10" bestFit="1" customWidth="1"/>
  </cols>
  <sheetData>
    <row r="1" spans="3:33" x14ac:dyDescent="0.25">
      <c r="H1" s="44" t="s">
        <v>86</v>
      </c>
      <c r="L1" t="s">
        <v>59</v>
      </c>
      <c r="M1">
        <f>(0.32-0.19)*320</f>
        <v>41.6</v>
      </c>
      <c r="N1" t="s">
        <v>62</v>
      </c>
    </row>
    <row r="2" spans="3:33" ht="15.75" thickBot="1" x14ac:dyDescent="0.3"/>
    <row r="3" spans="3:33" ht="15.75" thickBot="1" x14ac:dyDescent="0.3">
      <c r="C3" s="56" t="s">
        <v>0</v>
      </c>
      <c r="D3" s="1" t="s">
        <v>1</v>
      </c>
      <c r="E3" s="1" t="s">
        <v>2</v>
      </c>
      <c r="F3" s="2" t="s">
        <v>64</v>
      </c>
      <c r="G3" s="2" t="s">
        <v>3</v>
      </c>
      <c r="H3" s="2" t="s">
        <v>74</v>
      </c>
      <c r="I3" s="1" t="s">
        <v>5</v>
      </c>
      <c r="J3" s="1" t="s">
        <v>6</v>
      </c>
      <c r="K3" s="41" t="s">
        <v>75</v>
      </c>
      <c r="L3" s="3" t="s">
        <v>7</v>
      </c>
      <c r="M3" s="1" t="s">
        <v>76</v>
      </c>
      <c r="N3" s="1" t="s">
        <v>10</v>
      </c>
      <c r="O3" s="1" t="s">
        <v>11</v>
      </c>
      <c r="P3" s="1" t="s">
        <v>12</v>
      </c>
      <c r="Q3" s="5" t="s">
        <v>13</v>
      </c>
      <c r="R3" s="59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9" t="s">
        <v>77</v>
      </c>
      <c r="Y3" s="61" t="s">
        <v>21</v>
      </c>
      <c r="Z3" s="61" t="s">
        <v>22</v>
      </c>
      <c r="AA3" s="8" t="s">
        <v>63</v>
      </c>
      <c r="AB3" s="1" t="s">
        <v>23</v>
      </c>
      <c r="AC3" s="56" t="s">
        <v>24</v>
      </c>
      <c r="AD3" s="1" t="s">
        <v>25</v>
      </c>
    </row>
    <row r="4" spans="3:33" ht="15.75" thickBot="1" x14ac:dyDescent="0.3">
      <c r="C4" s="58"/>
      <c r="D4" s="9" t="s">
        <v>26</v>
      </c>
      <c r="E4" s="9" t="s">
        <v>26</v>
      </c>
      <c r="F4" s="10" t="s">
        <v>26</v>
      </c>
      <c r="G4" s="42" t="s">
        <v>78</v>
      </c>
      <c r="H4" s="42" t="s">
        <v>78</v>
      </c>
      <c r="I4" s="9" t="s">
        <v>27</v>
      </c>
      <c r="J4" s="9" t="s">
        <v>27</v>
      </c>
      <c r="K4" s="43" t="s">
        <v>79</v>
      </c>
      <c r="L4" s="4" t="s">
        <v>8</v>
      </c>
      <c r="M4" s="9" t="s">
        <v>28</v>
      </c>
      <c r="N4" s="9" t="s">
        <v>28</v>
      </c>
      <c r="O4" s="11"/>
      <c r="P4" s="9" t="s">
        <v>28</v>
      </c>
      <c r="Q4" s="9" t="s">
        <v>28</v>
      </c>
      <c r="R4" s="60"/>
      <c r="S4" s="9" t="s">
        <v>28</v>
      </c>
      <c r="T4" s="9" t="s">
        <v>28</v>
      </c>
      <c r="U4" s="9" t="s">
        <v>28</v>
      </c>
      <c r="V4" s="9" t="s">
        <v>28</v>
      </c>
      <c r="W4" s="9" t="s">
        <v>28</v>
      </c>
      <c r="X4" s="60"/>
      <c r="Y4" s="62"/>
      <c r="Z4" s="62"/>
      <c r="AA4" s="36"/>
      <c r="AB4" s="9" t="s">
        <v>80</v>
      </c>
      <c r="AC4" s="57"/>
      <c r="AD4" s="9" t="s">
        <v>80</v>
      </c>
    </row>
    <row r="5" spans="3:33" ht="15.75" thickBot="1" x14ac:dyDescent="0.3">
      <c r="C5" s="48" t="s">
        <v>81</v>
      </c>
      <c r="D5" s="45">
        <v>33.4</v>
      </c>
      <c r="E5" s="45">
        <v>19</v>
      </c>
      <c r="F5" s="42">
        <v>26.2</v>
      </c>
      <c r="G5" s="42">
        <v>200.2</v>
      </c>
      <c r="H5" s="42"/>
      <c r="I5" s="45">
        <v>40.299999999999997</v>
      </c>
      <c r="J5" s="45">
        <v>24.5</v>
      </c>
      <c r="K5" s="42">
        <v>12.2</v>
      </c>
      <c r="L5" s="45">
        <v>11</v>
      </c>
      <c r="M5" s="45">
        <v>59</v>
      </c>
      <c r="N5" s="45">
        <v>53</v>
      </c>
      <c r="O5" s="34">
        <v>0.4</v>
      </c>
      <c r="P5" s="28">
        <f>N5*O5</f>
        <v>21.200000000000003</v>
      </c>
      <c r="Q5" s="28">
        <f>M5-P5</f>
        <v>37.799999999999997</v>
      </c>
      <c r="R5" s="31">
        <v>0</v>
      </c>
      <c r="S5" s="33">
        <f>M1</f>
        <v>41.6</v>
      </c>
      <c r="T5" s="30">
        <v>0</v>
      </c>
      <c r="U5" s="28">
        <f>IF(Q5&gt;0,P5,M5+ABS(T5))</f>
        <v>21.200000000000003</v>
      </c>
      <c r="V5" s="28">
        <f>P5-U5</f>
        <v>0</v>
      </c>
      <c r="W5" s="28">
        <f>IF(S5&lt;$M$1,0,Q5-T5)</f>
        <v>37.799999999999997</v>
      </c>
      <c r="X5" s="32">
        <f>U5/P5</f>
        <v>1</v>
      </c>
      <c r="Y5" s="42"/>
      <c r="Z5" s="42"/>
      <c r="AA5" s="42"/>
      <c r="AB5" s="45"/>
      <c r="AC5" s="45"/>
      <c r="AD5" s="46"/>
    </row>
    <row r="6" spans="3:33" ht="15.75" thickBot="1" x14ac:dyDescent="0.3">
      <c r="C6" s="48" t="s">
        <v>87</v>
      </c>
      <c r="D6" s="45">
        <v>30.1</v>
      </c>
      <c r="E6" s="45">
        <v>21</v>
      </c>
      <c r="F6" s="42">
        <v>25.55</v>
      </c>
      <c r="G6" s="42">
        <v>175.5</v>
      </c>
      <c r="H6" s="42">
        <v>175.5</v>
      </c>
      <c r="I6" s="45">
        <v>40.700000000000003</v>
      </c>
      <c r="J6" s="45">
        <v>19.600000000000001</v>
      </c>
      <c r="K6" s="42">
        <v>9.8000000000000007</v>
      </c>
      <c r="L6" s="45">
        <v>10</v>
      </c>
      <c r="M6" s="45">
        <v>56</v>
      </c>
      <c r="N6" s="45">
        <v>41</v>
      </c>
      <c r="O6" s="34">
        <v>0.4</v>
      </c>
      <c r="P6" s="28">
        <f t="shared" ref="P6:P14" si="0">N6*O6</f>
        <v>16.400000000000002</v>
      </c>
      <c r="Q6" s="28">
        <f t="shared" ref="Q6:Q14" si="1">M6-P6</f>
        <v>39.599999999999994</v>
      </c>
      <c r="R6" s="28">
        <f>IF(Q6&lt;0,R5+Q6,($M$1*LN(S6/$M$1))
)</f>
        <v>0</v>
      </c>
      <c r="S6" s="33">
        <f>MIN(IF(Q6&gt;0,S5+Q6,$M$1*EXP(R6/$M$1)),$M$1)</f>
        <v>41.6</v>
      </c>
      <c r="T6" s="28">
        <f>S6-S5</f>
        <v>0</v>
      </c>
      <c r="U6" s="28">
        <f t="shared" ref="U6:U13" si="2">IF(Q6&gt;0,P6,M6+ABS(T6))</f>
        <v>16.400000000000002</v>
      </c>
      <c r="V6" s="28">
        <f t="shared" ref="V6:V14" si="3">P6-U6</f>
        <v>0</v>
      </c>
      <c r="W6" s="28">
        <f t="shared" ref="W6:W14" si="4">IF(S6&lt;$M$1,0,Q6-T6)</f>
        <v>39.599999999999994</v>
      </c>
      <c r="X6" s="32">
        <f t="shared" ref="X6:X14" si="5">U6/P6</f>
        <v>1</v>
      </c>
      <c r="Y6" s="49">
        <v>1</v>
      </c>
      <c r="Z6" s="35">
        <f>K6*(1-EXP(-$X$25*Y6))</f>
        <v>3.9151433276397944</v>
      </c>
      <c r="AA6" s="35">
        <f>IF(OR(F6&gt;$X$32,F6&lt;$X$29),0,IF(AND(F6&gt;$X$30,F6&lt;$X$31),1,IF(AND(F6&gt;$X$29,F6&lt;$X$30),(F6-$X$30)/($X$30-$X$29),1-($X$32-F6)/($X$32-$X$31))))</f>
        <v>1</v>
      </c>
      <c r="AB6" s="33">
        <f t="shared" ref="AB6:AB14" si="6">$X$24*Z6*$X$27*(1/(1-$X$26))*AA6*L6*10</f>
        <v>240.57880723634881</v>
      </c>
      <c r="AC6" s="34">
        <v>0.2</v>
      </c>
      <c r="AD6" s="33">
        <f>AB6*(1-AC6*(1-X6))</f>
        <v>240.57880723634881</v>
      </c>
    </row>
    <row r="7" spans="3:33" ht="15.75" thickBot="1" x14ac:dyDescent="0.3">
      <c r="C7" s="48" t="s">
        <v>88</v>
      </c>
      <c r="D7" s="45">
        <v>28.7</v>
      </c>
      <c r="E7" s="45">
        <v>19.100000000000001</v>
      </c>
      <c r="F7" s="42">
        <v>23.9</v>
      </c>
      <c r="G7" s="42">
        <v>159</v>
      </c>
      <c r="H7" s="42">
        <v>335</v>
      </c>
      <c r="I7" s="45">
        <v>41</v>
      </c>
      <c r="J7" s="45">
        <v>20.3</v>
      </c>
      <c r="K7" s="42">
        <v>10.199999999999999</v>
      </c>
      <c r="L7" s="45">
        <v>10</v>
      </c>
      <c r="M7" s="45">
        <v>67</v>
      </c>
      <c r="N7" s="45">
        <v>40</v>
      </c>
      <c r="O7" s="34">
        <f>(1.15-0.4)/5+O6</f>
        <v>0.55000000000000004</v>
      </c>
      <c r="P7" s="28">
        <f t="shared" si="0"/>
        <v>22</v>
      </c>
      <c r="Q7" s="28">
        <f t="shared" si="1"/>
        <v>45</v>
      </c>
      <c r="R7" s="28">
        <f t="shared" ref="R7:R14" si="7">IF(Q7&lt;0,R6+Q7,($M$1*LN(S7/$M$1))
)</f>
        <v>0</v>
      </c>
      <c r="S7" s="33">
        <f t="shared" ref="S7:S14" si="8">MIN(IF(Q7&gt;0,S6+Q7,$M$1*EXP(R7/$M$1)),$M$1)</f>
        <v>41.6</v>
      </c>
      <c r="T7" s="28">
        <f t="shared" ref="T7:T14" si="9">S7-S6</f>
        <v>0</v>
      </c>
      <c r="U7" s="28">
        <f t="shared" si="2"/>
        <v>22</v>
      </c>
      <c r="V7" s="28">
        <f t="shared" si="3"/>
        <v>0</v>
      </c>
      <c r="W7" s="28">
        <f t="shared" si="4"/>
        <v>45</v>
      </c>
      <c r="X7" s="32">
        <f t="shared" si="5"/>
        <v>1</v>
      </c>
      <c r="Y7" s="49">
        <f>(3.5-1)/5+Y6</f>
        <v>1.5</v>
      </c>
      <c r="Z7" s="35">
        <f t="shared" ref="Z7:Z14" si="10">K7*(1-EXP(-$X$25*Y7))</f>
        <v>5.4535939040620027</v>
      </c>
      <c r="AA7" s="35">
        <f t="shared" ref="AA7:AA14" si="11">IF(OR(F7&gt;$X$32,F7&lt;$X$29),0,IF(AND(F7&gt;$X$30,F7&lt;$X$31),1,IF(AND(F7&gt;$X$29,F7&lt;$X$30),(F7-$X$30)/($X$30-$X$29),1-($X$32-F7)/($X$32-$X$31))))</f>
        <v>1</v>
      </c>
      <c r="AB7" s="33">
        <f t="shared" si="6"/>
        <v>335.1139426564996</v>
      </c>
      <c r="AC7" s="34">
        <v>0.4</v>
      </c>
      <c r="AD7" s="33">
        <f t="shared" ref="AD7:AD14" si="12">AB7*(1-AC7*(1-X7))</f>
        <v>335.1139426564996</v>
      </c>
    </row>
    <row r="8" spans="3:33" ht="15.75" thickBot="1" x14ac:dyDescent="0.3">
      <c r="C8" s="48" t="s">
        <v>82</v>
      </c>
      <c r="D8" s="45">
        <v>33.6</v>
      </c>
      <c r="E8" s="45">
        <v>18.7</v>
      </c>
      <c r="F8" s="42">
        <v>26.15</v>
      </c>
      <c r="G8" s="42">
        <v>181.5</v>
      </c>
      <c r="H8" s="42">
        <v>516</v>
      </c>
      <c r="I8" s="45">
        <v>40.9</v>
      </c>
      <c r="J8" s="45">
        <v>25.3</v>
      </c>
      <c r="K8" s="42">
        <v>12.6</v>
      </c>
      <c r="L8" s="45">
        <v>10</v>
      </c>
      <c r="M8" s="45">
        <v>74</v>
      </c>
      <c r="N8" s="45">
        <v>49</v>
      </c>
      <c r="O8" s="34">
        <f>(1.15-0.4)/5+O7</f>
        <v>0.7</v>
      </c>
      <c r="P8" s="28">
        <f t="shared" si="0"/>
        <v>34.299999999999997</v>
      </c>
      <c r="Q8" s="28">
        <f t="shared" si="1"/>
        <v>39.700000000000003</v>
      </c>
      <c r="R8" s="28">
        <f t="shared" si="7"/>
        <v>0</v>
      </c>
      <c r="S8" s="33">
        <f t="shared" si="8"/>
        <v>41.6</v>
      </c>
      <c r="T8" s="28">
        <f t="shared" si="9"/>
        <v>0</v>
      </c>
      <c r="U8" s="28">
        <f t="shared" si="2"/>
        <v>34.299999999999997</v>
      </c>
      <c r="V8" s="28">
        <f t="shared" si="3"/>
        <v>0</v>
      </c>
      <c r="W8" s="28">
        <f t="shared" si="4"/>
        <v>39.700000000000003</v>
      </c>
      <c r="X8" s="32">
        <f t="shared" si="5"/>
        <v>1</v>
      </c>
      <c r="Y8" s="49">
        <f t="shared" ref="Y8:Y10" si="13">(3.5-1)/5+Y7</f>
        <v>2</v>
      </c>
      <c r="Z8" s="35">
        <f t="shared" si="10"/>
        <v>8.0565037538192126</v>
      </c>
      <c r="AA8" s="35">
        <f t="shared" si="11"/>
        <v>1</v>
      </c>
      <c r="AB8" s="33">
        <f t="shared" si="6"/>
        <v>495.05826514847718</v>
      </c>
      <c r="AC8" s="34">
        <v>0.6</v>
      </c>
      <c r="AD8" s="33">
        <f t="shared" si="12"/>
        <v>495.05826514847718</v>
      </c>
    </row>
    <row r="9" spans="3:33" ht="15.75" thickBot="1" x14ac:dyDescent="0.3">
      <c r="C9" s="48" t="s">
        <v>89</v>
      </c>
      <c r="D9" s="45">
        <v>34</v>
      </c>
      <c r="E9" s="45">
        <v>18.600000000000001</v>
      </c>
      <c r="F9" s="42">
        <v>26.3</v>
      </c>
      <c r="G9" s="42">
        <v>183</v>
      </c>
      <c r="H9" s="42">
        <v>699</v>
      </c>
      <c r="I9" s="45">
        <v>41.5</v>
      </c>
      <c r="J9" s="45">
        <v>26.1</v>
      </c>
      <c r="K9" s="42">
        <v>13</v>
      </c>
      <c r="L9" s="45">
        <v>10</v>
      </c>
      <c r="M9" s="45">
        <v>32</v>
      </c>
      <c r="N9" s="45">
        <v>51</v>
      </c>
      <c r="O9" s="34">
        <f>(1.15-0.4)/5+O8</f>
        <v>0.84999999999999987</v>
      </c>
      <c r="P9" s="28">
        <f t="shared" si="0"/>
        <v>43.349999999999994</v>
      </c>
      <c r="Q9" s="28">
        <f t="shared" si="1"/>
        <v>-11.349999999999994</v>
      </c>
      <c r="R9" s="28">
        <f t="shared" si="7"/>
        <v>-11.349999999999994</v>
      </c>
      <c r="S9" s="33">
        <f t="shared" si="8"/>
        <v>31.666635819334552</v>
      </c>
      <c r="T9" s="28">
        <f t="shared" si="9"/>
        <v>-9.9333641806654498</v>
      </c>
      <c r="U9" s="28">
        <f t="shared" si="2"/>
        <v>41.93336418066545</v>
      </c>
      <c r="V9" s="28">
        <f t="shared" si="3"/>
        <v>1.4166358193345445</v>
      </c>
      <c r="W9" s="28">
        <f t="shared" si="4"/>
        <v>0</v>
      </c>
      <c r="X9" s="32">
        <f t="shared" si="5"/>
        <v>0.96732097302573139</v>
      </c>
      <c r="Y9" s="49">
        <f t="shared" si="13"/>
        <v>2.5</v>
      </c>
      <c r="Z9" s="35">
        <f t="shared" si="10"/>
        <v>9.3673974131217044</v>
      </c>
      <c r="AA9" s="35">
        <f t="shared" si="11"/>
        <v>1</v>
      </c>
      <c r="AB9" s="33">
        <f t="shared" si="6"/>
        <v>575.6104203511336</v>
      </c>
      <c r="AC9" s="34">
        <v>0.8</v>
      </c>
      <c r="AD9" s="33">
        <f t="shared" si="12"/>
        <v>560.56210958847385</v>
      </c>
    </row>
    <row r="10" spans="3:33" ht="15.75" thickBot="1" x14ac:dyDescent="0.3">
      <c r="C10" s="48" t="s">
        <v>90</v>
      </c>
      <c r="D10" s="45">
        <v>32</v>
      </c>
      <c r="E10" s="45">
        <v>19.3</v>
      </c>
      <c r="F10" s="42">
        <v>25.65</v>
      </c>
      <c r="G10" s="42">
        <v>176.5</v>
      </c>
      <c r="H10" s="42">
        <v>876</v>
      </c>
      <c r="I10" s="45">
        <v>41.7</v>
      </c>
      <c r="J10" s="45">
        <v>23.8</v>
      </c>
      <c r="K10" s="42">
        <v>11.9</v>
      </c>
      <c r="L10" s="45">
        <v>10</v>
      </c>
      <c r="M10" s="45">
        <v>9</v>
      </c>
      <c r="N10" s="45">
        <v>47</v>
      </c>
      <c r="O10" s="34">
        <v>1.1499999999999999</v>
      </c>
      <c r="P10" s="28">
        <f t="shared" si="0"/>
        <v>54.05</v>
      </c>
      <c r="Q10" s="28">
        <f t="shared" si="1"/>
        <v>-45.05</v>
      </c>
      <c r="R10" s="28">
        <f t="shared" si="7"/>
        <v>-56.399999999999991</v>
      </c>
      <c r="S10" s="33">
        <f t="shared" si="8"/>
        <v>10.722356309695545</v>
      </c>
      <c r="T10" s="28">
        <f t="shared" si="9"/>
        <v>-20.944279509639006</v>
      </c>
      <c r="U10" s="28">
        <f t="shared" si="2"/>
        <v>29.944279509639006</v>
      </c>
      <c r="V10" s="28">
        <f t="shared" si="3"/>
        <v>24.105720490360991</v>
      </c>
      <c r="W10" s="28">
        <f t="shared" si="4"/>
        <v>0</v>
      </c>
      <c r="X10" s="32">
        <f t="shared" si="5"/>
        <v>0.55401072173245158</v>
      </c>
      <c r="Y10" s="49">
        <f t="shared" si="13"/>
        <v>3</v>
      </c>
      <c r="Z10" s="35">
        <f t="shared" si="10"/>
        <v>9.3232255589395159</v>
      </c>
      <c r="AA10" s="35">
        <f t="shared" si="11"/>
        <v>1</v>
      </c>
      <c r="AB10" s="33">
        <f t="shared" si="6"/>
        <v>572.89613607000763</v>
      </c>
      <c r="AC10" s="34">
        <v>0.9</v>
      </c>
      <c r="AD10" s="33">
        <f t="shared" si="12"/>
        <v>342.9411552466907</v>
      </c>
    </row>
    <row r="11" spans="3:33" ht="15.75" thickBot="1" x14ac:dyDescent="0.3">
      <c r="C11" s="48" t="s">
        <v>83</v>
      </c>
      <c r="D11" s="45">
        <v>33.9</v>
      </c>
      <c r="E11" s="45">
        <v>20</v>
      </c>
      <c r="F11" s="42">
        <v>26.95</v>
      </c>
      <c r="G11" s="42">
        <v>208.5</v>
      </c>
      <c r="H11" s="42">
        <v>1084</v>
      </c>
      <c r="I11" s="45">
        <v>41.6</v>
      </c>
      <c r="J11" s="45">
        <v>24.8</v>
      </c>
      <c r="K11" s="42">
        <v>12.4</v>
      </c>
      <c r="L11" s="45">
        <v>11</v>
      </c>
      <c r="M11" s="45">
        <v>6</v>
      </c>
      <c r="N11" s="45">
        <v>55</v>
      </c>
      <c r="O11" s="34">
        <f>(0.35-1.15)/4+O10</f>
        <v>0.95</v>
      </c>
      <c r="P11" s="28">
        <f t="shared" si="0"/>
        <v>52.25</v>
      </c>
      <c r="Q11" s="28">
        <f t="shared" si="1"/>
        <v>-46.25</v>
      </c>
      <c r="R11" s="28">
        <f t="shared" si="7"/>
        <v>-102.64999999999999</v>
      </c>
      <c r="S11" s="33">
        <f t="shared" si="8"/>
        <v>3.5273683759073147</v>
      </c>
      <c r="T11" s="28">
        <f t="shared" si="9"/>
        <v>-7.1949879337882301</v>
      </c>
      <c r="U11" s="28">
        <f t="shared" si="2"/>
        <v>13.19498793378823</v>
      </c>
      <c r="V11" s="28">
        <f t="shared" si="3"/>
        <v>39.055012066211773</v>
      </c>
      <c r="W11" s="28">
        <f t="shared" si="4"/>
        <v>0</v>
      </c>
      <c r="X11" s="32">
        <f t="shared" si="5"/>
        <v>0.25253565423518143</v>
      </c>
      <c r="Y11" s="49">
        <v>3.5</v>
      </c>
      <c r="Z11" s="35">
        <f t="shared" si="10"/>
        <v>10.319316443597696</v>
      </c>
      <c r="AA11" s="35">
        <f t="shared" si="11"/>
        <v>1</v>
      </c>
      <c r="AB11" s="33">
        <f t="shared" si="6"/>
        <v>697.51462388759319</v>
      </c>
      <c r="AC11" s="34">
        <v>1</v>
      </c>
      <c r="AD11" s="33">
        <f t="shared" si="12"/>
        <v>176.14731188205985</v>
      </c>
    </row>
    <row r="12" spans="3:33" ht="15.75" thickBot="1" x14ac:dyDescent="0.3">
      <c r="C12" s="48" t="s">
        <v>91</v>
      </c>
      <c r="D12" s="45">
        <v>34</v>
      </c>
      <c r="E12" s="45">
        <v>20.6</v>
      </c>
      <c r="F12" s="42">
        <v>27.3</v>
      </c>
      <c r="G12" s="42">
        <v>193</v>
      </c>
      <c r="H12" s="42">
        <v>1277</v>
      </c>
      <c r="I12" s="45">
        <v>41.6</v>
      </c>
      <c r="J12" s="45">
        <v>24.4</v>
      </c>
      <c r="K12" s="42">
        <v>12.2</v>
      </c>
      <c r="L12" s="45">
        <v>10</v>
      </c>
      <c r="M12" s="45">
        <v>11</v>
      </c>
      <c r="N12" s="45">
        <v>50</v>
      </c>
      <c r="O12" s="34">
        <f>(0.35-1.15)/4+O11</f>
        <v>0.75</v>
      </c>
      <c r="P12" s="28">
        <f t="shared" si="0"/>
        <v>37.5</v>
      </c>
      <c r="Q12" s="28">
        <f t="shared" si="1"/>
        <v>-26.5</v>
      </c>
      <c r="R12" s="28">
        <f t="shared" si="7"/>
        <v>-129.14999999999998</v>
      </c>
      <c r="S12" s="33">
        <f t="shared" si="8"/>
        <v>1.8655069879817685</v>
      </c>
      <c r="T12" s="28">
        <f t="shared" si="9"/>
        <v>-1.6618613879255462</v>
      </c>
      <c r="U12" s="28">
        <f t="shared" si="2"/>
        <v>12.661861387925546</v>
      </c>
      <c r="V12" s="28">
        <f t="shared" si="3"/>
        <v>24.838138612074452</v>
      </c>
      <c r="W12" s="28">
        <f t="shared" si="4"/>
        <v>0</v>
      </c>
      <c r="X12" s="32">
        <f t="shared" si="5"/>
        <v>0.33764963701134787</v>
      </c>
      <c r="Y12" s="49">
        <f>(1.5-3.5)/3+Y11</f>
        <v>2.8333333333333335</v>
      </c>
      <c r="Z12" s="35">
        <f t="shared" si="10"/>
        <v>9.3238978660184646</v>
      </c>
      <c r="AA12" s="35">
        <f t="shared" si="11"/>
        <v>1</v>
      </c>
      <c r="AB12" s="33">
        <f t="shared" si="6"/>
        <v>572.93744818085872</v>
      </c>
      <c r="AC12" s="34">
        <f>(0.85-AC11)/4+AC11</f>
        <v>0.96250000000000002</v>
      </c>
      <c r="AD12" s="33">
        <f t="shared" si="12"/>
        <v>207.68282116243924</v>
      </c>
    </row>
    <row r="13" spans="3:33" ht="15.75" thickBot="1" x14ac:dyDescent="0.3">
      <c r="C13" s="48" t="s">
        <v>92</v>
      </c>
      <c r="D13" s="45">
        <v>31.4</v>
      </c>
      <c r="E13" s="45">
        <v>20</v>
      </c>
      <c r="F13" s="42">
        <v>25.7</v>
      </c>
      <c r="G13" s="42">
        <v>177</v>
      </c>
      <c r="H13" s="42">
        <v>1454</v>
      </c>
      <c r="I13" s="45">
        <v>41.9</v>
      </c>
      <c r="J13" s="45">
        <v>22.6</v>
      </c>
      <c r="K13" s="42">
        <v>11.3</v>
      </c>
      <c r="L13" s="45">
        <v>10</v>
      </c>
      <c r="M13" s="45">
        <v>0</v>
      </c>
      <c r="N13" s="45">
        <v>46</v>
      </c>
      <c r="O13" s="34">
        <f>(0.35-1.15)/4+O12</f>
        <v>0.55000000000000004</v>
      </c>
      <c r="P13" s="28">
        <f t="shared" si="0"/>
        <v>25.3</v>
      </c>
      <c r="Q13" s="28">
        <f t="shared" si="1"/>
        <v>-25.3</v>
      </c>
      <c r="R13" s="28">
        <f t="shared" si="7"/>
        <v>-154.44999999999999</v>
      </c>
      <c r="S13" s="33">
        <f t="shared" si="8"/>
        <v>1.0154783503938198</v>
      </c>
      <c r="T13" s="28">
        <f t="shared" si="9"/>
        <v>-0.85002863758794867</v>
      </c>
      <c r="U13" s="28">
        <f t="shared" si="2"/>
        <v>0.85002863758794867</v>
      </c>
      <c r="V13" s="28">
        <f t="shared" si="3"/>
        <v>24.44997136241205</v>
      </c>
      <c r="W13" s="28">
        <f t="shared" si="4"/>
        <v>0</v>
      </c>
      <c r="X13" s="32">
        <f t="shared" si="5"/>
        <v>3.3597969865136308E-2</v>
      </c>
      <c r="Y13" s="49">
        <f>(1.5-3.5)/3+Y12</f>
        <v>2.166666666666667</v>
      </c>
      <c r="Z13" s="35">
        <f t="shared" si="10"/>
        <v>7.5573170306656161</v>
      </c>
      <c r="AA13" s="35">
        <f t="shared" si="11"/>
        <v>1</v>
      </c>
      <c r="AB13" s="33">
        <f t="shared" si="6"/>
        <v>464.38410167745269</v>
      </c>
      <c r="AC13" s="34">
        <f t="shared" ref="AC13:AC14" si="14">(0.85-AC12)/4+AC12</f>
        <v>0.93437499999999996</v>
      </c>
      <c r="AD13" s="33">
        <f t="shared" si="12"/>
        <v>45.05366465117104</v>
      </c>
      <c r="AF13" t="s">
        <v>67</v>
      </c>
      <c r="AG13" s="37">
        <f>AB22-AD22</f>
        <v>1721.1990311756658</v>
      </c>
    </row>
    <row r="14" spans="3:33" ht="15.75" thickBot="1" x14ac:dyDescent="0.3">
      <c r="C14" s="48" t="s">
        <v>93</v>
      </c>
      <c r="D14" s="45">
        <v>31.1</v>
      </c>
      <c r="E14" s="45">
        <v>20</v>
      </c>
      <c r="F14" s="42">
        <v>25.55</v>
      </c>
      <c r="G14" s="42">
        <v>193.1</v>
      </c>
      <c r="H14" s="47">
        <v>1647</v>
      </c>
      <c r="I14" s="45">
        <v>41.7</v>
      </c>
      <c r="J14" s="45">
        <v>22.2</v>
      </c>
      <c r="K14" s="42">
        <v>11.1</v>
      </c>
      <c r="L14" s="45">
        <v>11</v>
      </c>
      <c r="M14" s="45">
        <v>9</v>
      </c>
      <c r="N14" s="45">
        <v>49</v>
      </c>
      <c r="O14" s="34">
        <v>0.35</v>
      </c>
      <c r="P14" s="28">
        <f t="shared" si="0"/>
        <v>17.149999999999999</v>
      </c>
      <c r="Q14" s="28">
        <f t="shared" si="1"/>
        <v>-8.1499999999999986</v>
      </c>
      <c r="R14" s="28">
        <f t="shared" si="7"/>
        <v>-162.6</v>
      </c>
      <c r="S14" s="33">
        <f t="shared" si="8"/>
        <v>0.83480786793730544</v>
      </c>
      <c r="T14" s="28">
        <f t="shared" si="9"/>
        <v>-0.1806704824565144</v>
      </c>
      <c r="U14" s="28">
        <f>IF(M14+ABS(T14)&gt;P14,P14,IF(Q14&gt;0,P14,M14+ABS(T14)))</f>
        <v>9.1806704824565148</v>
      </c>
      <c r="V14" s="28">
        <f t="shared" si="3"/>
        <v>7.9693295175434837</v>
      </c>
      <c r="W14" s="28">
        <f t="shared" si="4"/>
        <v>0</v>
      </c>
      <c r="X14" s="32">
        <f t="shared" si="5"/>
        <v>0.53531606311699798</v>
      </c>
      <c r="Y14" s="49">
        <v>1.5</v>
      </c>
      <c r="Z14" s="35">
        <f t="shared" si="10"/>
        <v>5.9347933661851213</v>
      </c>
      <c r="AA14" s="35">
        <f t="shared" si="11"/>
        <v>1</v>
      </c>
      <c r="AB14" s="33">
        <f t="shared" si="6"/>
        <v>401.15110194469224</v>
      </c>
      <c r="AC14" s="34">
        <f t="shared" si="14"/>
        <v>0.91328124999999993</v>
      </c>
      <c r="AD14" s="33">
        <f t="shared" si="12"/>
        <v>230.90773840523767</v>
      </c>
      <c r="AF14" t="s">
        <v>68</v>
      </c>
      <c r="AG14">
        <f>AG13/60</f>
        <v>28.68665051959443</v>
      </c>
    </row>
    <row r="15" spans="3:33" ht="15.75" thickBot="1" x14ac:dyDescent="0.3">
      <c r="C15" s="48" t="s">
        <v>94</v>
      </c>
      <c r="D15" s="45">
        <v>29.9</v>
      </c>
      <c r="E15" s="45">
        <v>19.7</v>
      </c>
      <c r="F15" s="42">
        <v>24.8</v>
      </c>
      <c r="G15" s="42">
        <v>168</v>
      </c>
      <c r="H15" s="42">
        <v>1815</v>
      </c>
      <c r="I15" s="45">
        <v>40.9</v>
      </c>
      <c r="J15" s="45">
        <v>20.9</v>
      </c>
      <c r="K15" s="42">
        <v>10.4</v>
      </c>
      <c r="L15" s="45">
        <v>10</v>
      </c>
      <c r="M15" s="45">
        <v>53</v>
      </c>
      <c r="N15" s="45">
        <v>42</v>
      </c>
      <c r="O15" s="34"/>
      <c r="P15" s="28"/>
      <c r="Q15" s="28"/>
      <c r="R15" s="28"/>
      <c r="S15" s="33"/>
      <c r="T15" s="28"/>
      <c r="U15" s="28"/>
      <c r="V15" s="28"/>
      <c r="W15" s="28"/>
      <c r="X15" s="32"/>
      <c r="Y15" s="42"/>
      <c r="Z15" s="33"/>
      <c r="AA15" s="35"/>
      <c r="AB15" s="33"/>
      <c r="AC15" s="32"/>
      <c r="AD15" s="33"/>
      <c r="AF15" t="s">
        <v>69</v>
      </c>
      <c r="AG15">
        <f>239.67 *AG14</f>
        <v>6875.3295300311966</v>
      </c>
    </row>
    <row r="16" spans="3:33" ht="15.75" thickBot="1" x14ac:dyDescent="0.3">
      <c r="C16" s="48" t="s">
        <v>95</v>
      </c>
      <c r="D16" s="45">
        <v>30.9</v>
      </c>
      <c r="E16" s="45">
        <v>19.899999999999999</v>
      </c>
      <c r="F16" s="42">
        <v>25.4</v>
      </c>
      <c r="G16" s="42">
        <v>174</v>
      </c>
      <c r="H16" s="42">
        <v>1989</v>
      </c>
      <c r="I16" s="45">
        <v>40.299999999999997</v>
      </c>
      <c r="J16" s="45">
        <v>21.4</v>
      </c>
      <c r="K16" s="42">
        <v>10.7</v>
      </c>
      <c r="L16" s="45">
        <v>10</v>
      </c>
      <c r="M16" s="45">
        <v>65</v>
      </c>
      <c r="N16" s="45">
        <v>43</v>
      </c>
      <c r="O16" s="34"/>
      <c r="P16" s="28"/>
      <c r="Q16" s="28"/>
      <c r="R16" s="28"/>
      <c r="S16" s="33"/>
      <c r="T16" s="28"/>
      <c r="U16" s="28"/>
      <c r="V16" s="28"/>
      <c r="W16" s="28"/>
      <c r="X16" s="32"/>
      <c r="Y16" s="42"/>
      <c r="Z16" s="42"/>
      <c r="AA16" s="42"/>
      <c r="AB16" s="45"/>
      <c r="AC16" s="45"/>
      <c r="AD16" s="46"/>
      <c r="AF16" t="s">
        <v>70</v>
      </c>
      <c r="AG16">
        <f>15700/30</f>
        <v>523.33333333333337</v>
      </c>
    </row>
    <row r="17" spans="3:33" ht="15.75" thickBot="1" x14ac:dyDescent="0.3">
      <c r="C17" s="48" t="s">
        <v>84</v>
      </c>
      <c r="D17" s="45">
        <v>33.700000000000003</v>
      </c>
      <c r="E17" s="45">
        <v>19.899999999999999</v>
      </c>
      <c r="F17" s="42">
        <v>26.8</v>
      </c>
      <c r="G17" s="42">
        <v>150.4</v>
      </c>
      <c r="H17" s="42">
        <v>2139</v>
      </c>
      <c r="I17" s="45">
        <v>39.9</v>
      </c>
      <c r="J17" s="45">
        <v>23.7</v>
      </c>
      <c r="K17" s="42">
        <v>11.9</v>
      </c>
      <c r="L17" s="45">
        <v>8</v>
      </c>
      <c r="M17" s="45">
        <v>9</v>
      </c>
      <c r="N17" s="45">
        <v>38</v>
      </c>
      <c r="O17" s="34"/>
      <c r="P17" s="28"/>
      <c r="Q17" s="28"/>
      <c r="R17" s="28"/>
      <c r="S17" s="33"/>
      <c r="T17" s="28"/>
      <c r="U17" s="28"/>
      <c r="V17" s="28"/>
      <c r="W17" s="28"/>
      <c r="X17" s="32"/>
      <c r="Y17" s="42"/>
      <c r="Z17" s="42"/>
      <c r="AA17" s="42"/>
      <c r="AB17" s="45"/>
      <c r="AC17" s="45"/>
      <c r="AD17" s="46"/>
      <c r="AF17" t="s">
        <v>71</v>
      </c>
      <c r="AG17">
        <f>V22*13.5</f>
        <v>1644.7699062171534</v>
      </c>
    </row>
    <row r="18" spans="3:33" ht="15.75" thickBot="1" x14ac:dyDescent="0.3">
      <c r="C18" s="48" t="s">
        <v>96</v>
      </c>
      <c r="D18" s="45">
        <v>32.9</v>
      </c>
      <c r="E18" s="45">
        <v>19</v>
      </c>
      <c r="F18" s="42">
        <v>25.95</v>
      </c>
      <c r="G18" s="42">
        <v>179.5</v>
      </c>
      <c r="H18" s="42">
        <v>2319</v>
      </c>
      <c r="I18" s="45">
        <v>38.4</v>
      </c>
      <c r="J18" s="45">
        <v>22.9</v>
      </c>
      <c r="K18" s="42">
        <v>11.5</v>
      </c>
      <c r="L18" s="45">
        <v>10</v>
      </c>
      <c r="M18" s="45">
        <v>2</v>
      </c>
      <c r="N18" s="45">
        <v>45</v>
      </c>
      <c r="O18" s="34"/>
      <c r="P18" s="28"/>
      <c r="Q18" s="28"/>
      <c r="R18" s="28"/>
      <c r="S18" s="33"/>
      <c r="T18" s="28"/>
      <c r="U18" s="28"/>
      <c r="V18" s="28"/>
      <c r="W18" s="28"/>
      <c r="X18" s="32"/>
      <c r="Y18" s="42"/>
      <c r="Z18" s="42"/>
      <c r="AA18" s="42"/>
      <c r="AB18" s="45"/>
      <c r="AC18" s="45"/>
      <c r="AD18" s="46"/>
      <c r="AF18" t="s">
        <v>72</v>
      </c>
      <c r="AG18">
        <f>AG16+AG17</f>
        <v>2168.1032395504867</v>
      </c>
    </row>
    <row r="19" spans="3:33" ht="15.75" thickBot="1" x14ac:dyDescent="0.3">
      <c r="C19" s="48" t="s">
        <v>97</v>
      </c>
      <c r="D19" s="45">
        <v>33.6</v>
      </c>
      <c r="E19" s="45">
        <v>18.600000000000001</v>
      </c>
      <c r="F19" s="42">
        <v>26.1</v>
      </c>
      <c r="G19" s="42">
        <v>181</v>
      </c>
      <c r="H19" s="42">
        <v>2500</v>
      </c>
      <c r="I19" s="45">
        <v>37.4</v>
      </c>
      <c r="J19" s="45">
        <v>23.2</v>
      </c>
      <c r="K19" s="42">
        <v>11.6</v>
      </c>
      <c r="L19" s="45">
        <v>10</v>
      </c>
      <c r="M19" s="45">
        <v>79</v>
      </c>
      <c r="N19" s="45">
        <v>45</v>
      </c>
      <c r="O19" s="45"/>
      <c r="P19" s="46"/>
      <c r="Q19" s="46"/>
      <c r="R19" s="46"/>
      <c r="S19" s="33"/>
      <c r="T19" s="46"/>
      <c r="U19" s="46"/>
      <c r="V19" s="46"/>
      <c r="W19" s="46"/>
      <c r="X19" s="46"/>
      <c r="Y19" s="42"/>
      <c r="Z19" s="42"/>
      <c r="AA19" s="42"/>
      <c r="AB19" s="45"/>
      <c r="AC19" s="45"/>
      <c r="AD19" s="46"/>
    </row>
    <row r="20" spans="3:33" ht="15.75" thickBot="1" x14ac:dyDescent="0.3">
      <c r="C20" s="48" t="s">
        <v>85</v>
      </c>
      <c r="D20" s="45">
        <v>34</v>
      </c>
      <c r="E20" s="45">
        <v>19.399999999999999</v>
      </c>
      <c r="F20" s="42">
        <v>26.7</v>
      </c>
      <c r="G20" s="42">
        <v>205.7</v>
      </c>
      <c r="H20" s="42">
        <v>2706</v>
      </c>
      <c r="I20" s="45">
        <v>36.6</v>
      </c>
      <c r="J20" s="45">
        <v>22.4</v>
      </c>
      <c r="K20" s="42">
        <v>11.2</v>
      </c>
      <c r="L20" s="45">
        <v>11</v>
      </c>
      <c r="M20" s="45">
        <v>48</v>
      </c>
      <c r="N20" s="45">
        <v>49</v>
      </c>
      <c r="O20" s="45"/>
      <c r="P20" s="46"/>
      <c r="Q20" s="46"/>
      <c r="R20" s="46"/>
      <c r="S20" s="46"/>
      <c r="T20" s="46"/>
      <c r="U20" s="46"/>
      <c r="V20" s="46"/>
      <c r="W20" s="46"/>
      <c r="X20" s="46"/>
      <c r="Y20" s="42"/>
      <c r="Z20" s="42"/>
      <c r="AA20" s="42"/>
      <c r="AB20" s="45"/>
      <c r="AC20" s="45"/>
      <c r="AD20" s="46"/>
      <c r="AF20" t="s">
        <v>73</v>
      </c>
      <c r="AG20">
        <f>AG15-AG18</f>
        <v>4707.2262904807103</v>
      </c>
    </row>
    <row r="21" spans="3:33" ht="15.75" thickBot="1" x14ac:dyDescent="0.3">
      <c r="C21" s="48" t="s">
        <v>98</v>
      </c>
      <c r="D21" s="45">
        <v>33</v>
      </c>
      <c r="E21" s="45">
        <v>20.7</v>
      </c>
      <c r="F21" s="42">
        <v>26.85</v>
      </c>
      <c r="G21" s="42">
        <v>188.5</v>
      </c>
      <c r="H21" s="42">
        <v>2894</v>
      </c>
      <c r="I21" s="45">
        <v>34.799999999999997</v>
      </c>
      <c r="J21" s="45">
        <v>19.5</v>
      </c>
      <c r="K21" s="42">
        <v>9.8000000000000007</v>
      </c>
      <c r="L21" s="45">
        <v>10</v>
      </c>
      <c r="M21" s="45">
        <v>91</v>
      </c>
      <c r="N21" s="45">
        <v>40</v>
      </c>
      <c r="O21" s="45"/>
      <c r="P21" s="46"/>
      <c r="Q21" s="46"/>
      <c r="R21" s="46"/>
      <c r="S21" s="46"/>
      <c r="T21" s="46"/>
      <c r="U21" s="46"/>
      <c r="V21" s="46"/>
      <c r="W21" s="46"/>
      <c r="X21" s="46"/>
      <c r="Y21" s="42"/>
      <c r="Z21" s="42"/>
      <c r="AA21" s="42"/>
      <c r="AB21" s="45"/>
      <c r="AC21" s="45"/>
      <c r="AD21" s="46"/>
    </row>
    <row r="22" spans="3:33" ht="15.75" thickBot="1" x14ac:dyDescent="0.3">
      <c r="P22" s="40">
        <f>SUM(P6:P14)</f>
        <v>302.3</v>
      </c>
      <c r="U22" s="40">
        <f>SUM(U6:U14)</f>
        <v>180.4651921320627</v>
      </c>
      <c r="V22" s="40">
        <f>SUM(V6:V14)</f>
        <v>121.83480786793729</v>
      </c>
      <c r="W22" s="40">
        <f>SUM(W6:W14)</f>
        <v>124.3</v>
      </c>
      <c r="AA22" s="38" t="s">
        <v>65</v>
      </c>
      <c r="AB22" s="39">
        <f>SUM(AB5:AB21)</f>
        <v>4355.2448471530633</v>
      </c>
      <c r="AC22" s="38" t="s">
        <v>66</v>
      </c>
      <c r="AD22" s="39">
        <f>SUM(AD5:AD21)</f>
        <v>2634.0458159773975</v>
      </c>
    </row>
    <row r="23" spans="3:33" ht="42.75" thickBot="1" x14ac:dyDescent="0.3">
      <c r="W23" s="17" t="s">
        <v>47</v>
      </c>
      <c r="X23" s="18" t="s">
        <v>48</v>
      </c>
    </row>
    <row r="24" spans="3:33" ht="45.75" thickBot="1" x14ac:dyDescent="0.3">
      <c r="W24" s="19" t="s">
        <v>49</v>
      </c>
      <c r="X24" s="50">
        <v>1.62</v>
      </c>
    </row>
    <row r="25" spans="3:33" ht="34.5" thickBot="1" x14ac:dyDescent="0.3">
      <c r="W25" s="19" t="s">
        <v>50</v>
      </c>
      <c r="X25" s="51">
        <v>0.51</v>
      </c>
    </row>
    <row r="26" spans="3:33" ht="23.25" thickBot="1" x14ac:dyDescent="0.3">
      <c r="W26" s="19" t="s">
        <v>51</v>
      </c>
      <c r="X26" s="52">
        <v>0.13</v>
      </c>
    </row>
    <row r="27" spans="3:33" ht="34.5" thickBot="1" x14ac:dyDescent="0.3">
      <c r="W27" s="19" t="s">
        <v>52</v>
      </c>
      <c r="X27" s="52">
        <v>0.33</v>
      </c>
    </row>
    <row r="28" spans="3:33" ht="23.25" thickBot="1" x14ac:dyDescent="0.3">
      <c r="W28" s="19" t="s">
        <v>53</v>
      </c>
      <c r="X28" s="20" t="s">
        <v>54</v>
      </c>
    </row>
    <row r="29" spans="3:33" ht="15.75" thickBot="1" x14ac:dyDescent="0.3">
      <c r="W29" s="19" t="s">
        <v>55</v>
      </c>
      <c r="X29" s="50">
        <v>8</v>
      </c>
    </row>
    <row r="30" spans="3:33" ht="15.75" thickBot="1" x14ac:dyDescent="0.3">
      <c r="W30" s="19" t="s">
        <v>56</v>
      </c>
      <c r="X30" s="51">
        <v>22</v>
      </c>
    </row>
    <row r="31" spans="3:33" ht="15.75" thickBot="1" x14ac:dyDescent="0.3">
      <c r="W31" s="19" t="s">
        <v>57</v>
      </c>
      <c r="X31" s="51">
        <v>28</v>
      </c>
    </row>
    <row r="32" spans="3:33" ht="15.75" thickBot="1" x14ac:dyDescent="0.3">
      <c r="W32" s="19" t="s">
        <v>58</v>
      </c>
      <c r="X32" s="51">
        <v>35</v>
      </c>
    </row>
  </sheetData>
  <mergeCells count="6">
    <mergeCell ref="AC3:AC4"/>
    <mergeCell ref="C3:C4"/>
    <mergeCell ref="R3:R4"/>
    <mergeCell ref="X3:X4"/>
    <mergeCell ref="Y3:Y4"/>
    <mergeCell ref="Z3:Z4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Soja</vt:lpstr>
      <vt:lpstr>Feijão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Marin</dc:creator>
  <cp:lastModifiedBy>Fabio Marin</cp:lastModifiedBy>
  <dcterms:created xsi:type="dcterms:W3CDTF">2023-06-17T19:49:27Z</dcterms:created>
  <dcterms:modified xsi:type="dcterms:W3CDTF">2023-06-26T14:28:19Z</dcterms:modified>
</cp:coreProperties>
</file>