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65524" windowWidth="15456" windowHeight="9312" activeTab="0"/>
  </bookViews>
  <sheets>
    <sheet name="Entrada de Dados do Usuário" sheetId="1" r:id="rId1"/>
    <sheet name="Entradas de Cálculos" sheetId="2" r:id="rId2"/>
    <sheet name="Modelo de Tecnologia" sheetId="3" r:id="rId3"/>
    <sheet name="Modelo de CR" sheetId="4" r:id="rId4"/>
    <sheet name="Modelo Financeiro" sheetId="5" r:id="rId5"/>
    <sheet name="Saída de Dados do Usuário" sheetId="6" r:id="rId6"/>
  </sheets>
  <definedNames>
    <definedName name="_xlfn.AVERAGEIF" hidden="1">#NAME?</definedName>
    <definedName name="AWMS">'Entradas de Cálculos'!#REF!</definedName>
    <definedName name="GeneticsOptions">'Entradas de Cálculos'!#REF!</definedName>
  </definedNames>
  <calcPr fullCalcOnLoad="1"/>
</workbook>
</file>

<file path=xl/sharedStrings.xml><?xml version="1.0" encoding="utf-8"?>
<sst xmlns="http://schemas.openxmlformats.org/spreadsheetml/2006/main" count="703" uniqueCount="400">
  <si>
    <t>Q</t>
  </si>
  <si>
    <t>No.</t>
  </si>
  <si>
    <t>Kg</t>
  </si>
  <si>
    <t>%</t>
  </si>
  <si>
    <t>kWh</t>
  </si>
  <si>
    <t>R$</t>
  </si>
  <si>
    <t>R$/m3</t>
  </si>
  <si>
    <t>PCI</t>
  </si>
  <si>
    <t>kcal/m3CH4</t>
  </si>
  <si>
    <t>n</t>
  </si>
  <si>
    <t>kg/m3</t>
  </si>
  <si>
    <t xml:space="preserve">R$ </t>
  </si>
  <si>
    <t>C. TOTAL</t>
  </si>
  <si>
    <t>C1. Total</t>
  </si>
  <si>
    <t>D. DESIGN</t>
  </si>
  <si>
    <t>BNDES</t>
  </si>
  <si>
    <t>Acrescentar a fórmula da Emily</t>
  </si>
  <si>
    <t>Estou achando muita água. Ver referência confiável</t>
  </si>
  <si>
    <t>kg/ton</t>
  </si>
  <si>
    <t>Bo</t>
  </si>
  <si>
    <t>MS%</t>
  </si>
  <si>
    <t>MCFs</t>
  </si>
  <si>
    <t>t/m3</t>
  </si>
  <si>
    <t>Manure Management Methane Emission Factor Derivation for Market Swine</t>
  </si>
  <si>
    <t>`</t>
  </si>
  <si>
    <t>T</t>
  </si>
  <si>
    <r>
      <t>GWP</t>
    </r>
    <r>
      <rPr>
        <vertAlign val="subscript"/>
        <sz val="11"/>
        <color indexed="8"/>
        <rFont val="Calibri"/>
        <family val="2"/>
      </rPr>
      <t>CH4</t>
    </r>
  </si>
  <si>
    <r>
      <t>D</t>
    </r>
    <r>
      <rPr>
        <vertAlign val="subscript"/>
        <sz val="11"/>
        <color indexed="8"/>
        <rFont val="Calibri"/>
        <family val="2"/>
      </rPr>
      <t>CH4</t>
    </r>
  </si>
  <si>
    <r>
      <t>MCF</t>
    </r>
    <r>
      <rPr>
        <vertAlign val="subscript"/>
        <sz val="11"/>
        <color indexed="8"/>
        <rFont val="Calibri"/>
        <family val="2"/>
      </rPr>
      <t>b</t>
    </r>
  </si>
  <si>
    <t>N</t>
  </si>
  <si>
    <t>UF</t>
  </si>
  <si>
    <t>Biodigestor</t>
  </si>
  <si>
    <t>Agstar Full Report</t>
  </si>
  <si>
    <t>kW</t>
  </si>
  <si>
    <t>R$/tCO2e</t>
  </si>
  <si>
    <t>m3</t>
  </si>
  <si>
    <t>kWe</t>
  </si>
  <si>
    <t>tCO2e</t>
  </si>
  <si>
    <t>Total</t>
  </si>
  <si>
    <t>kCal/kW</t>
  </si>
  <si>
    <t>Oceania</t>
  </si>
  <si>
    <t>Tamanho</t>
  </si>
  <si>
    <t>Índice</t>
  </si>
  <si>
    <t>Unidade</t>
  </si>
  <si>
    <t>Descrição</t>
  </si>
  <si>
    <t>Fonte</t>
  </si>
  <si>
    <t>Itens</t>
  </si>
  <si>
    <t>Notação</t>
  </si>
  <si>
    <t>A. MODELO DE TECNOLOGIA</t>
  </si>
  <si>
    <t>Tanque</t>
  </si>
  <si>
    <t>Densidade de Esterco de Gado Leiteiro</t>
  </si>
  <si>
    <t>Densidade de Esterco de Gado Bovino</t>
  </si>
  <si>
    <t>Densidade de Esterco de Suínos para Mercado</t>
  </si>
  <si>
    <t>Tempo de Retenção Hidráulica</t>
  </si>
  <si>
    <t>dias</t>
  </si>
  <si>
    <t>Densidade de Esterco de Suínas Reprodutoras</t>
  </si>
  <si>
    <t>Coletor de Biogás</t>
  </si>
  <si>
    <t>FERRAMENTA COMPUTACIONAL PARA ESTIMAR PRODUÇÃO DE BIOGÁS, GERAÇÃO DE ELETRICIDADE E REDUÇÃO DE CARBONO PARA FAZENDAS DE PEQUENO E MÉDIO PORTES NO BRASIL</t>
  </si>
  <si>
    <t>I. DADOS DO USUÁRIO</t>
  </si>
  <si>
    <t>Nome da Fazenda</t>
  </si>
  <si>
    <t>Nome do Proprietário</t>
  </si>
  <si>
    <t>Endereço da Fazenda</t>
  </si>
  <si>
    <t>Data de entrada dos dados (dd/mm/aaaa)</t>
  </si>
  <si>
    <t>Dados de Entrada do Usuário</t>
  </si>
  <si>
    <t>Descrição da Informação</t>
  </si>
  <si>
    <t>RELATÓRIO</t>
  </si>
  <si>
    <t>SOBRE</t>
  </si>
  <si>
    <t>AVALIAÇÃO DE VIABILIDADE</t>
  </si>
  <si>
    <t>PARA GERAÇÃO DE ELETRICIDADE DE BIOGÁS</t>
  </si>
  <si>
    <t>Prepadado em:</t>
  </si>
  <si>
    <t>Este relatório é autogerado pela ferramenta desenvolvida pela Winrock International, CENBIO e USINAZUL com Financiamento da REEEP</t>
  </si>
  <si>
    <t>IV. Demanda de Carga por Hora na fazenda</t>
  </si>
  <si>
    <t>V. Redução de Carbono</t>
  </si>
  <si>
    <t xml:space="preserve">Os cálculos para redução de carbono são baseados nas metodologias de pequena escala do IPCC </t>
  </si>
  <si>
    <t>Período de Crédito</t>
  </si>
  <si>
    <t>Redução de Emissões</t>
  </si>
  <si>
    <t>Apenas Queima em Flare</t>
  </si>
  <si>
    <t>Apenas Geração de Energia Elétrica</t>
  </si>
  <si>
    <t>Energia elétrica máxima/queima de excesso</t>
  </si>
  <si>
    <t>VI. Análise Financeira</t>
  </si>
  <si>
    <t>Todos os valores estão em Reais (R$)</t>
  </si>
  <si>
    <t>I. Informações Básicas da Fazenda</t>
  </si>
  <si>
    <t>Tipo de Animal</t>
  </si>
  <si>
    <t xml:space="preserve">Número Médio de Animais </t>
  </si>
  <si>
    <t>Peso Médio</t>
  </si>
  <si>
    <t>Raça</t>
  </si>
  <si>
    <t>Porcentagem de Dejetos Coletados</t>
  </si>
  <si>
    <t>Taxa de Crescimento Anual</t>
  </si>
  <si>
    <t>Melhoria para o Manejo dos Animais</t>
  </si>
  <si>
    <t>Gerenciamento de Dejetos de Referência</t>
  </si>
  <si>
    <t>Gado Leiteiro</t>
  </si>
  <si>
    <t>Gado Bovino de corte</t>
  </si>
  <si>
    <t>Suínos (mercado)</t>
  </si>
  <si>
    <t>Suínas (reprodutoras)</t>
  </si>
  <si>
    <t>II. Padrão de Consumo de Eletricidade (Ano Passado)</t>
  </si>
  <si>
    <t>III. Design Técnico</t>
  </si>
  <si>
    <t>m3/h</t>
  </si>
  <si>
    <t>ANOS</t>
  </si>
  <si>
    <t>Atividade</t>
  </si>
  <si>
    <r>
      <t xml:space="preserve">A vida útil do projeto é de  </t>
    </r>
    <r>
      <rPr>
        <i/>
        <u val="single"/>
        <sz val="11"/>
        <color indexed="8"/>
        <rFont val="Calibri"/>
        <family val="2"/>
      </rPr>
      <t>21 anos</t>
    </r>
    <r>
      <rPr>
        <i/>
        <sz val="11"/>
        <color indexed="8"/>
        <rFont val="Calibri"/>
        <family val="2"/>
      </rPr>
      <t xml:space="preserve"> para corresponder ao período máximo de creditamento de carbono permitido sob o MDL - Mecanismo de Desenvolvimento Limpo, no âmbito do Protocolo de Quioto</t>
    </r>
  </si>
  <si>
    <t>Submetido por:</t>
  </si>
  <si>
    <t>Biogás Disponível para Geração de Energia Elétrica no Ano 1</t>
  </si>
  <si>
    <t>Demanda por Eletricidade na Fazenda no Ano 1</t>
  </si>
  <si>
    <t>Eletricidade Adicional requisitada da rede</t>
  </si>
  <si>
    <t>Biogás Disponível para Queima</t>
  </si>
  <si>
    <t>Indicadores Financeiros</t>
  </si>
  <si>
    <t>Investimento Total do Projeto (Ano 0)</t>
  </si>
  <si>
    <t>Dívida (Empréstimo Bancário)</t>
  </si>
  <si>
    <t>Valor Presente Líquido (VPL)</t>
  </si>
  <si>
    <t>Período Simples de Retorno</t>
  </si>
  <si>
    <t>Período Descontado de Retorno</t>
  </si>
  <si>
    <t>Período de Empréstimo Bancário</t>
  </si>
  <si>
    <t>anos</t>
  </si>
  <si>
    <t>Emissões de Referência</t>
  </si>
  <si>
    <t>Período do Projeto</t>
  </si>
  <si>
    <t>Taxa de Desconto</t>
  </si>
  <si>
    <t>Pico de demanda por energia</t>
  </si>
  <si>
    <t>Tamanho do flare para queima do biogás - Calculado</t>
  </si>
  <si>
    <t>Tamanho do flare para queima do biogás - Recomendado</t>
  </si>
  <si>
    <t>Potência do gerador - Recomendado</t>
  </si>
  <si>
    <t>Investimento como dívida</t>
  </si>
  <si>
    <t>Investimentos Totais do Projeto</t>
  </si>
  <si>
    <t>Receita/Economia Total de operação</t>
  </si>
  <si>
    <t>F. Totais</t>
  </si>
  <si>
    <t xml:space="preserve">A. Investimentos do Projeto </t>
  </si>
  <si>
    <t>Unidade de Geração</t>
  </si>
  <si>
    <t>Unidade de Flare</t>
  </si>
  <si>
    <t>B. Receitas/Economias do uso de Biogás</t>
  </si>
  <si>
    <t>Substituição de Energia Elétrica da Rede</t>
  </si>
  <si>
    <t>O&amp;M de Biodigestor</t>
  </si>
  <si>
    <t>O&amp;M de Unidade de Geração</t>
  </si>
  <si>
    <t>Coleta de Esterco</t>
  </si>
  <si>
    <t>Geração de Energia Elétrica e Queima</t>
  </si>
  <si>
    <t>C. Custos de Operação para geração e manejo de energia</t>
  </si>
  <si>
    <t>Custos totais de operação para geração e manejo de energia</t>
  </si>
  <si>
    <t>G. Encargos de dívida</t>
  </si>
  <si>
    <t>Pagamentos Fixos Anuais</t>
  </si>
  <si>
    <t>Pagamentos Fixos Anuais (TOTAL)</t>
  </si>
  <si>
    <t>Retorno Simples</t>
  </si>
  <si>
    <t>Retorno Descontado</t>
  </si>
  <si>
    <t>Taxa Interna de Retorno Financeiro (TIRF)</t>
  </si>
  <si>
    <t>Relação Custo Benefício (RCB)</t>
  </si>
  <si>
    <t>TIRF do Projeto</t>
  </si>
  <si>
    <t>VPL do Projeto</t>
  </si>
  <si>
    <t>RCB do Projeto</t>
  </si>
  <si>
    <t>Benefício-Custo</t>
  </si>
  <si>
    <t>Benefício - Custo Cumulativo</t>
  </si>
  <si>
    <t>PV de Benefício-Custo</t>
  </si>
  <si>
    <t>A. GADO BOVINO</t>
  </si>
  <si>
    <t>B. SUÍNOS</t>
  </si>
  <si>
    <t>E. Análise de Demanda de Carga (Carga Elétrica da Fazenda em kW por hora)</t>
  </si>
  <si>
    <t>A1. Gado Leiteiro</t>
  </si>
  <si>
    <t>A2. Gado de Corte</t>
  </si>
  <si>
    <t>Número médio de animais na fazenda</t>
  </si>
  <si>
    <t xml:space="preserve">Dejetos Produzidos em toneladas </t>
  </si>
  <si>
    <t xml:space="preserve">Dejetos Coletados em toneladas </t>
  </si>
  <si>
    <t>Biogás Produzido em metros cúbicos</t>
  </si>
  <si>
    <t>Metano Produzido em metros cúbicos</t>
  </si>
  <si>
    <t>Potência do gerador baseada em demanda energética</t>
  </si>
  <si>
    <t>Tamanho do Gasômetro do Biodigestor - Calculado</t>
  </si>
  <si>
    <t>Tamanho do Gasômetro do Biodigestor - Recomendado</t>
  </si>
  <si>
    <t>PV Cumulativo de Benefício-Custo</t>
  </si>
  <si>
    <t>Encargos de dívida</t>
  </si>
  <si>
    <t>Região</t>
  </si>
  <si>
    <t>Massa (kg)</t>
  </si>
  <si>
    <t>Subcontinente Indiano</t>
  </si>
  <si>
    <t>Oriente Médio</t>
  </si>
  <si>
    <t>Nome do Equipamento</t>
  </si>
  <si>
    <t>Início</t>
  </si>
  <si>
    <t>Fim</t>
  </si>
  <si>
    <t>V. Financiamento</t>
  </si>
  <si>
    <t>Qual porcentagem do investimento será o capital?</t>
  </si>
  <si>
    <t>Qual a taxa anual de juros do banco?</t>
  </si>
  <si>
    <t>Qual o período preferido para crédito bancário?</t>
  </si>
  <si>
    <t>IV. Uso de Energia Elétrica</t>
  </si>
  <si>
    <t>Janeiro</t>
  </si>
  <si>
    <t>Fevereiro</t>
  </si>
  <si>
    <t>Março</t>
  </si>
  <si>
    <t>Você quer gerar energia elétrica a partir do Biogás?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</si>
  <si>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</si>
  <si>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</si>
  <si>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</si>
  <si>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</si>
  <si>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</si>
  <si>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</si>
  <si>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</si>
  <si>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</si>
  <si>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</si>
  <si>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Consumo médio de eletricidade no ano passado</t>
  </si>
  <si>
    <t>Qual o custo de energia elétrica por kWh?</t>
  </si>
  <si>
    <t>Tipos de equipamento elétrico e estimativa de energia</t>
  </si>
  <si>
    <t>Horas de Uso do Equipamento (Tempo em formato de 24 horas)</t>
  </si>
  <si>
    <t>II. Informação dos Animais</t>
  </si>
  <si>
    <t>Genética/Raça do animal</t>
  </si>
  <si>
    <t xml:space="preserve">HORAS </t>
  </si>
  <si>
    <t>Carga Horária TOTAL (kWe)</t>
  </si>
  <si>
    <t>A3. Suínos para Mercado</t>
  </si>
  <si>
    <t>A4. Suínas Reprodutoras</t>
  </si>
  <si>
    <t>B1. Suínos para Mercado</t>
  </si>
  <si>
    <t>B2. Suínas Reprodutoras</t>
  </si>
  <si>
    <t>Biogás disponível para geração de energia elétrica (m3)</t>
  </si>
  <si>
    <t>Demanda por energia elétrica na fazenda (kWh)</t>
  </si>
  <si>
    <t>Eletricidade adicional necessária da rede (kWh)</t>
  </si>
  <si>
    <t>Biogás disponível para queima (m3)</t>
  </si>
  <si>
    <t>Tamanho Recomendado de Equipamento de Queima em m3</t>
  </si>
  <si>
    <t>Tamanho do Equipamento de Queima em m3</t>
  </si>
  <si>
    <t>Pico de demanda por energia na fazenda (kWe)</t>
  </si>
  <si>
    <t>Tamanho Recomendado do Gasômetro em m3</t>
  </si>
  <si>
    <t>Tamanho do Gasômetro em metros cúbicos</t>
  </si>
  <si>
    <t>Receita/Economia Total da Operação</t>
  </si>
  <si>
    <t>Taxa de Juros de Empréstimo Bancário (Anual)</t>
  </si>
  <si>
    <t>Capital Investido</t>
  </si>
  <si>
    <t>Investimento como capital</t>
  </si>
  <si>
    <t>Tamanho do Gerador com base na demanda por kWh</t>
  </si>
  <si>
    <t>Potência recomendada para gerador em kWe</t>
  </si>
  <si>
    <t>B1. Dados sobre o Clima</t>
  </si>
  <si>
    <t>B2. Constantes</t>
  </si>
  <si>
    <t>O IPCC fornece este valor e o atualiza regularmente - mudar quando atualizados</t>
  </si>
  <si>
    <t>Atualizar Anualmente</t>
  </si>
  <si>
    <t>C6. Crédito Bancário</t>
  </si>
  <si>
    <t>Banco de Referência</t>
  </si>
  <si>
    <t>Termo de Empréstimo (Anos)</t>
  </si>
  <si>
    <t>Taxa de Juros (APR)</t>
  </si>
  <si>
    <t>Porção financiada</t>
  </si>
  <si>
    <t>C6. Custos de Vendas de Carbono</t>
  </si>
  <si>
    <t>Documentação</t>
  </si>
  <si>
    <t>Validação</t>
  </si>
  <si>
    <t>Preço do carbono</t>
  </si>
  <si>
    <t>Verificação Anual</t>
  </si>
  <si>
    <t>Apenas Queima</t>
  </si>
  <si>
    <t>D. Reduções Totais de Emissões (toneladas equivalentes de CO2)</t>
  </si>
  <si>
    <t>Número médio de Gado Bovino Leiteiro na fazenda</t>
  </si>
  <si>
    <t>Número médio de Gado Bovino de Corte na fazenda</t>
  </si>
  <si>
    <t>Número médio de Suínos para Mercado na fazenda</t>
  </si>
  <si>
    <t>Número médio de Suínas Reprodutoras na fazenda</t>
  </si>
  <si>
    <t>Crescimento anual esperado de tamanho da fazenda</t>
  </si>
  <si>
    <t>Gado Bovino Leiteiro</t>
  </si>
  <si>
    <t>Gado Bovino de Corte</t>
  </si>
  <si>
    <t xml:space="preserve">Suínos para Mercado </t>
  </si>
  <si>
    <t>Suínas Reprodutoras</t>
  </si>
  <si>
    <t>III. Produção e Uso do Esterco</t>
  </si>
  <si>
    <t>Suínos para Mercado</t>
  </si>
  <si>
    <t>Suínas para Mercado</t>
  </si>
  <si>
    <t>Como o esterco é manejado atualmente?</t>
  </si>
  <si>
    <t>Peso médio de Gado Bovino Leiteiro</t>
  </si>
  <si>
    <t>Peso médio de Gado Bovino de Corte</t>
  </si>
  <si>
    <t>Peso médio de Suínos para Mercado</t>
  </si>
  <si>
    <t>Peso médio de Suínas Reprodutoras</t>
  </si>
  <si>
    <t>Que porcentagem de esterco pode ser/será coletada?</t>
  </si>
  <si>
    <t>Como o esterco é coletado na fazenda?</t>
  </si>
  <si>
    <t>B. Redução de Emissões de Eletricidade de Biogás Substituindo Eletricidade da Rede</t>
  </si>
  <si>
    <t>Redução de emissões por substituição de eletricidade (tCO2e/ano)</t>
  </si>
  <si>
    <t>Fatores de Emissões de CO2 em ano de referência (kgCO2e/kWh)</t>
  </si>
  <si>
    <t>Fator de Emissão de Margem de Operação (kgCO2/kWh)</t>
  </si>
  <si>
    <t>C. Emissões de Projeto por Queima</t>
  </si>
  <si>
    <t>Taxa de fluxo de massa de metano no gás residual em hora h, se energia elétrica também é produzida (m3/h)</t>
  </si>
  <si>
    <t>Taxa de fluxo de massa do metano no gás residual em hora h, se todo o gás for queimado</t>
  </si>
  <si>
    <t>Emissões do Projeto da queima do fluxo de gás residual no ano y, se todo o gás for queimado</t>
  </si>
  <si>
    <t>Emissões do Projeto da queima do fluxo de gás residual no ano y, se energia elétrica também for produzida</t>
  </si>
  <si>
    <t>Emissões de Referência (tCO2e)</t>
  </si>
  <si>
    <t>Emissões do Projeto (tCO2e)</t>
  </si>
  <si>
    <t>A5. Emissões Totais do manejo de dejetos</t>
  </si>
  <si>
    <t>Wpadrão</t>
  </si>
  <si>
    <t>Wlocal</t>
  </si>
  <si>
    <t>Vpadrão</t>
  </si>
  <si>
    <t>Vlocal</t>
  </si>
  <si>
    <t>A2. Gado Bovino de Corte</t>
  </si>
  <si>
    <t>Número de Animais</t>
  </si>
  <si>
    <t>Peso padrão do animal com base em genética (kg)</t>
  </si>
  <si>
    <t>Peso médio do animal no local (kg/animal)</t>
  </si>
  <si>
    <t>Fração de esterco manuseado em sistemas de gerenciamento de resíduos (%)</t>
  </si>
  <si>
    <t>Fator anual de conversão de metano para o sistema de gerenciamento de resíduos animais de referência</t>
  </si>
  <si>
    <t>Potencial máximo de produção de metano dos resíduos sólidos voláteis dos animais (m3 CH4/kg dm)</t>
  </si>
  <si>
    <t>Resíduos sólidos voláteis padrão entrando no sistema de gerenciamento de resíduos por ano (kg dm/animal/ano)</t>
  </si>
  <si>
    <t>A1. Gado Bovino Leiteiro</t>
  </si>
  <si>
    <t>Resíduos sólidos voláteis no local entrando no sistema de gerenciamento de resíduos por ano (kg dm/animal/ano)</t>
  </si>
  <si>
    <t>A. Emissões de Referência e do Projeto para Sistemas de Gerenciamento de Resíduos</t>
  </si>
  <si>
    <t>Dias de operação por ano</t>
  </si>
  <si>
    <t>A1. Dados Técnicos do Biodigestor (inclui parâmetros necessários para desenhar o biodigestor)</t>
  </si>
  <si>
    <t>Do Modelo de CR</t>
  </si>
  <si>
    <t>Taxa de produção de biogás para gado bovino leiteiro</t>
  </si>
  <si>
    <t>Taxa de produção de biogás para suínos</t>
  </si>
  <si>
    <t>Taxa de produção de biogás para gado bovino de corte</t>
  </si>
  <si>
    <t>A2. Dados Técnicos do Gerador (inclui parâmetros necessários para desenhar Unidade de Gerador)</t>
  </si>
  <si>
    <t>Do Modelo Técnico</t>
  </si>
  <si>
    <t>h</t>
  </si>
  <si>
    <t>KCal para kW</t>
  </si>
  <si>
    <t>Porcentagem de CH4 no biogás</t>
  </si>
  <si>
    <t>Horas de operação por dia</t>
  </si>
  <si>
    <t>Valor calorífico do Metano</t>
  </si>
  <si>
    <t>Produção de metano por hora</t>
  </si>
  <si>
    <t>Eficiência de Coleta de Gás</t>
  </si>
  <si>
    <t>Eficiência Motor-Gerador</t>
  </si>
  <si>
    <t>B. MODELO DE REDUÇÃO DE CARBONO</t>
  </si>
  <si>
    <t>Temperatura Média Anual</t>
  </si>
  <si>
    <t>graus C</t>
  </si>
  <si>
    <t>para SE Brasil</t>
  </si>
  <si>
    <t>Conversão kg para tonelada</t>
  </si>
  <si>
    <t>A4. Fórmula de Produção de Esterco a partir do peso dos animais</t>
  </si>
  <si>
    <t>A3. Dados Técnicos de Queima</t>
  </si>
  <si>
    <t>Do Produtor</t>
  </si>
  <si>
    <t>Eficiência de queima</t>
  </si>
  <si>
    <t>Densidade de biogás (média ou padrão)</t>
  </si>
  <si>
    <t>Taxa de Fluxo de biogás saída do digestor</t>
  </si>
  <si>
    <t>litros (água)/kg (esterco)</t>
  </si>
  <si>
    <t>Uso do Sistema de Gerenciamento de Resíduos</t>
  </si>
  <si>
    <t>Temperada</t>
  </si>
  <si>
    <t>Quente</t>
  </si>
  <si>
    <t>Fria</t>
  </si>
  <si>
    <t>Derivação de Fator de Emissão do Metano de Gerenciamento de Resíduos para Suínas Reprodutoras</t>
  </si>
  <si>
    <t>C5. Custos de Operação e Manutenção</t>
  </si>
  <si>
    <t>Custo anual de O &amp; M do biodigestor</t>
  </si>
  <si>
    <t>Do Custo do sistema</t>
  </si>
  <si>
    <t>Citação das Empresas</t>
  </si>
  <si>
    <t>Custo anual de O &amp; M do gerador</t>
  </si>
  <si>
    <t>Custo anual de O &amp; M do equipamento de queima</t>
  </si>
  <si>
    <t>Densidade do CH4</t>
  </si>
  <si>
    <t>Potencial de Aquecimento Global do CH4</t>
  </si>
  <si>
    <t>Atualizar para anos bissextos</t>
  </si>
  <si>
    <t>B4. Número de Dias Por Mês</t>
  </si>
  <si>
    <t>Fator de correção do modelo para considerar incertezas</t>
  </si>
  <si>
    <t>Os fatores de emissões de margem de construção e margem de operação para o Brasil são calculados pelo Ministério de Ciência e Tecnologia (http://www.mct.gov.br/index.php/content/view/303076.html#ancora). Os valores anuais desde 2006 são registrados em: http://www.mct.gov.br/index.php/content/view/74689.html . Em inglês: http://www.mct.gov.br/index.php/content/view/73318.html .</t>
  </si>
  <si>
    <t>B3. Fatores de Emissões da Margem de Operação (OM) da Rede de Energia Elétrica</t>
  </si>
  <si>
    <t>C. MODELO FINANCEIRO</t>
  </si>
  <si>
    <t>C1. Custos de Coleta do Esterco</t>
  </si>
  <si>
    <t>R$ por tonelada</t>
  </si>
  <si>
    <t>Raspagem manual e coleta mecanizada</t>
  </si>
  <si>
    <t>Com base em dados reais de fazenda</t>
  </si>
  <si>
    <t>C2. Custos de Biodigestor</t>
  </si>
  <si>
    <t>Tamanhos de biodigestor em m3</t>
  </si>
  <si>
    <t>Com base em projeto passado fornecido pela Sansui</t>
  </si>
  <si>
    <t>Potência do Gerador em kW</t>
  </si>
  <si>
    <t>C3. Custos de Unidade de Geração</t>
  </si>
  <si>
    <t>Custo médio do gerador por kW</t>
  </si>
  <si>
    <t>Custo de coleta do Esterco</t>
  </si>
  <si>
    <t>B5. Fatores de Emissões da Rede</t>
  </si>
  <si>
    <t>Atualizar anualmente</t>
  </si>
  <si>
    <t>wOM = 0,5 e wBM = 0,5 para o primeiro período de creditamento, e wOM = 0,25 e wBM = 0,75 para o segundo e terceiro períodos de creditamento, a menos que especificado de outra maneira na metodologia aprovada que se refere a esta ferramenta.</t>
  </si>
  <si>
    <t>B6. Fatores de Queima</t>
  </si>
  <si>
    <t>Toneladas:kg</t>
  </si>
  <si>
    <t>Fator de emissão de metano no Gerenciamento Aprimorado de Resíduos</t>
  </si>
  <si>
    <t>Peso do GadoVS:Peso do Esterco</t>
  </si>
  <si>
    <t xml:space="preserve">Com base em uma média de dados agstar </t>
  </si>
  <si>
    <t>Peso dos SuínosVS:Peso do Esterco</t>
  </si>
  <si>
    <t xml:space="preserve">Eficiência da queima </t>
  </si>
  <si>
    <t>Fator de correção do peso de VS</t>
  </si>
  <si>
    <t>B9. Relação entre peso do esterco e peso do VS</t>
  </si>
  <si>
    <t>Fator de Emissão de Margem de Construção (tCO2/kWh)</t>
  </si>
  <si>
    <t>Ponderação do fator de emissão de margem de operação, 1o período de creditamento (%)</t>
  </si>
  <si>
    <t>Ponderação do fator de emissão de margem de operação, 2o período de creditamento (%)</t>
  </si>
  <si>
    <t>Ponderação do fator de emissão de margem de operação, 3o período de creditamento (%)</t>
  </si>
  <si>
    <t>Ponderação do fator de emissão de margem de construção, 1o período de creditamento (%)</t>
  </si>
  <si>
    <t>Ponderação do fator de emissão de margem de construção, 2o período de creditamento (%)</t>
  </si>
  <si>
    <t>Ponderação do fator de emissão de margem de construção, 3o período de creditamento (%)</t>
  </si>
  <si>
    <t>C4. Custos de Queima</t>
  </si>
  <si>
    <t>Custo médio de equipamento de queima</t>
  </si>
  <si>
    <t>Equipamento de queima em m3</t>
  </si>
  <si>
    <t>C7. Outras Suposições Financeiras</t>
  </si>
  <si>
    <t>Taxa de Inflação Anual</t>
  </si>
  <si>
    <t>Valor de Salvamento do Equipamento</t>
  </si>
  <si>
    <t>Taxa de Desconto Financeiro</t>
  </si>
  <si>
    <t>B8. Tabelas de Diretrizes do IPCC de 2006 para Inventórios de Gases de Efeito Estufa</t>
  </si>
  <si>
    <r>
      <t>Tabelas das Diretrizes do IPCC de 2006 para Inventórios de Gases de Efeito Estufa</t>
    </r>
    <r>
      <rPr>
        <b/>
        <i/>
        <sz val="8"/>
        <color indexed="8"/>
        <rFont val="Calibri"/>
        <family val="2"/>
      </rPr>
      <t>: Capítulo 10 - Emissões de Gado e Manejo de Resíduos</t>
    </r>
  </si>
  <si>
    <t>Temperatura Média Anual (C )</t>
  </si>
  <si>
    <t>Derivação de Fator de Emissão de Metano de Gerenciamento de Resíduos para Vacas Leiteiras</t>
  </si>
  <si>
    <t>Outros</t>
  </si>
  <si>
    <t>Uso de Sistema de Gerenciamento de Resíduos</t>
  </si>
  <si>
    <t>Características de Vacas Leiteiras</t>
  </si>
  <si>
    <t>Derivação de Fator de Emissão de Metano de Gerenciamento de Resíduos para Outros Gados</t>
  </si>
  <si>
    <t>Energia Elétrica produzida por sistema de biogás (kWh/ano)</t>
  </si>
  <si>
    <t>D. Receita de vendas de créditos de carbono</t>
  </si>
  <si>
    <t>E. Custos de operação para vendas de créditos de carbono</t>
  </si>
  <si>
    <t>Verificação anual para vendas de créditos de carbono</t>
  </si>
  <si>
    <t>Documentação/Validação para vendas de créditos de carbono</t>
  </si>
  <si>
    <t>Custos totais de operação para vendas de créditos de carbono</t>
  </si>
  <si>
    <t>H. Análise Financeira sem receita de créditos de carbono</t>
  </si>
  <si>
    <t>I. Análise Financeira com receita de créditos de carbono</t>
  </si>
  <si>
    <t>Receita total de vendas de créditos de carbono</t>
  </si>
  <si>
    <t>Receita total de venda de créditos de carbono</t>
  </si>
  <si>
    <t>Com Receita de Créditos de Carbono</t>
  </si>
  <si>
    <t>Sem Receita de Créditos de Carbono</t>
  </si>
  <si>
    <t>Lagoa</t>
  </si>
  <si>
    <t>Líquido/Lodo</t>
  </si>
  <si>
    <t>Armazenamento</t>
  </si>
  <si>
    <t>Confinamento</t>
  </si>
  <si>
    <t>Cercado</t>
  </si>
  <si>
    <t>Espalhado</t>
  </si>
  <si>
    <t>Digestor</t>
  </si>
  <si>
    <t>Queimado para Combustível</t>
  </si>
  <si>
    <t>A5. Proporção de mistura de água e esterco para lagoa fechada (máx. 3% Sólidos Totais)</t>
  </si>
  <si>
    <t>Fosso &lt; 1 mês</t>
  </si>
  <si>
    <t>Fosso &gt; 1 mês</t>
  </si>
  <si>
    <t>Espalhado Diariamente</t>
  </si>
  <si>
    <t>América do Norte</t>
  </si>
  <si>
    <t>Europa Ocidental</t>
  </si>
  <si>
    <t>Europa Oriental</t>
  </si>
  <si>
    <t>América Latina</t>
  </si>
  <si>
    <t>África</t>
  </si>
  <si>
    <t>Ásia</t>
  </si>
  <si>
    <t>Inclui PH, gerador, controle, conexão, instalação, teste, transporte, seguro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</si>
</sst>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R$&quot;#,##0;\-&quot;R$&quot;#,##0"/>
    <numFmt numFmtId="171" formatCode="&quot;R$&quot;#,##0;[Red]\-&quot;R$&quot;#,##0"/>
    <numFmt numFmtId="172" formatCode="&quot;R$&quot;#,##0.00;\-&quot;R$&quot;#,##0.00"/>
    <numFmt numFmtId="173" formatCode="&quot;R$&quot;#,##0.00;[Red]\-&quot;R$&quot;#,##0.00"/>
    <numFmt numFmtId="174" formatCode="_-&quot;R$&quot;* #,##0_-;\-&quot;R$&quot;* #,##0_-;_-&quot;R$&quot;* &quot;-&quot;_-;_-@_-"/>
    <numFmt numFmtId="175" formatCode="_-* #,##0_-;\-* #,##0_-;_-* &quot;-&quot;_-;_-@_-"/>
    <numFmt numFmtId="176" formatCode="_-&quot;R$&quot;* #,##0.00_-;\-&quot;R$&quot;* #,##0.00_-;_-&quot;R$&quot;* &quot;-&quot;??_-;_-@_-"/>
    <numFmt numFmtId="177" formatCode="_-* #,##0.00_-;\-* #,##0.00_-;_-* &quot;-&quot;??_-;_-@_-"/>
    <numFmt numFmtId="178" formatCode="&quot;R$&quot;\ #,##0;\-&quot;R$&quot;\ #,##0"/>
    <numFmt numFmtId="179" formatCode="&quot;R$&quot;\ #,##0;[Red]\-&quot;R$&quot;\ #,##0"/>
    <numFmt numFmtId="180" formatCode="&quot;R$&quot;\ #,##0.00;\-&quot;R$&quot;\ #,##0.00"/>
    <numFmt numFmtId="181" formatCode="&quot;R$&quot;\ #,##0.00;[Red]\-&quot;R$&quot;\ #,##0.00"/>
    <numFmt numFmtId="182" formatCode="_-&quot;R$&quot;\ * #,##0_-;\-&quot;R$&quot;\ * #,##0_-;_-&quot;R$&quot;\ * &quot;-&quot;_-;_-@_-"/>
    <numFmt numFmtId="183" formatCode="_-&quot;R$&quot;\ * #,##0.00_-;\-&quot;R$&quot;\ * #,##0.00_-;_-&quot;R$&quot;\ * &quot;-&quot;??_-;_-@_-"/>
    <numFmt numFmtId="184" formatCode="[$-F800]dddd\,\ mmmm\ dd\,\ yyyy"/>
    <numFmt numFmtId="185" formatCode="&quot;Sim&quot;;&quot;Sim&quot;;&quot;Não&quot;"/>
    <numFmt numFmtId="186" formatCode="&quot;Verdadeiro&quot;;&quot;Verdadeiro&quot;;&quot;Falso&quot;"/>
    <numFmt numFmtId="187" formatCode="&quot;Ativar&quot;;&quot;Ativar&quot;;&quot;Desativar&quot;"/>
    <numFmt numFmtId="188" formatCode="[$€-2]\ #,##0.00_);[Red]\([$€-2]\ #,##0.00\)"/>
    <numFmt numFmtId="189" formatCode="0.0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[$-409]h:mm:ss\ AM/PM"/>
    <numFmt numFmtId="196" formatCode="h:mm;@"/>
    <numFmt numFmtId="197" formatCode="0.00000000000000%"/>
    <numFmt numFmtId="198" formatCode="_-* #,##0.0_-;\-* #,##0.0_-;_-* &quot;-&quot;??_-;_-@_-"/>
    <numFmt numFmtId="199" formatCode="_-* #,##0_-;\-* #,##0_-;_-* &quot;-&quot;??_-;_-@_-"/>
    <numFmt numFmtId="200" formatCode="[$-409]dddd\,\ mmmm\ dd\,\ yyyy"/>
    <numFmt numFmtId="201" formatCode="&quot;$&quot;#,##0.00"/>
    <numFmt numFmtId="202" formatCode="0.00000000"/>
    <numFmt numFmtId="203" formatCode="[$-416]dddd\,\ d&quot; de &quot;mmmm&quot; de &quot;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6"/>
      <color indexed="34"/>
      <name val="Calibri"/>
      <family val="2"/>
    </font>
    <font>
      <b/>
      <sz val="10"/>
      <color indexed="9"/>
      <name val="Calibri"/>
      <family val="2"/>
    </font>
    <font>
      <b/>
      <sz val="11"/>
      <color indexed="34"/>
      <name val="Calibri"/>
      <family val="2"/>
    </font>
    <font>
      <sz val="11"/>
      <color indexed="34"/>
      <name val="Calibri"/>
      <family val="2"/>
    </font>
    <font>
      <b/>
      <i/>
      <sz val="11"/>
      <color indexed="8"/>
      <name val="Calibri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color indexed="9"/>
      <name val="Calibri"/>
      <family val="2"/>
    </font>
    <font>
      <b/>
      <i/>
      <sz val="8"/>
      <color indexed="8"/>
      <name val="Calibri"/>
      <family val="2"/>
    </font>
    <font>
      <vertAlign val="subscript"/>
      <sz val="11"/>
      <color indexed="8"/>
      <name val="Calibri"/>
      <family val="2"/>
    </font>
    <font>
      <i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sz val="11"/>
      <color indexed="8"/>
      <name val="Arial Rounded MT Bold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8"/>
      <color indexed="8"/>
      <name val="Calibri"/>
      <family val="2"/>
    </font>
    <font>
      <b/>
      <sz val="8"/>
      <color indexed="56"/>
      <name val="Calibri"/>
      <family val="2"/>
    </font>
    <font>
      <b/>
      <sz val="10"/>
      <color indexed="34"/>
      <name val="Calibri"/>
      <family val="2"/>
    </font>
    <font>
      <sz val="8"/>
      <color indexed="8"/>
      <name val="Arial Rounded MT Bold"/>
      <family val="2"/>
    </font>
    <font>
      <sz val="9"/>
      <color indexed="8"/>
      <name val="Arial Rounded MT Bold"/>
      <family val="2"/>
    </font>
    <font>
      <b/>
      <i/>
      <sz val="8"/>
      <color indexed="21"/>
      <name val="Calibri"/>
      <family val="2"/>
    </font>
    <font>
      <sz val="20"/>
      <color indexed="8"/>
      <name val="Calibri"/>
      <family val="2"/>
    </font>
    <font>
      <sz val="22"/>
      <color indexed="8"/>
      <name val="Calibri"/>
      <family val="2"/>
    </font>
    <font>
      <sz val="28"/>
      <color indexed="34"/>
      <name val="Calibri"/>
      <family val="2"/>
    </font>
    <font>
      <b/>
      <sz val="10"/>
      <color indexed="22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3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0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15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41" fillId="23" borderId="0" applyNumberFormat="0" applyBorder="0" applyAlignment="0" applyProtection="0"/>
    <xf numFmtId="0" fontId="53" fillId="24" borderId="1" applyNumberFormat="0" applyAlignment="0" applyProtection="0"/>
    <xf numFmtId="0" fontId="54" fillId="25" borderId="2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7" fillId="0" borderId="3" applyNumberFormat="0" applyFill="0" applyAlignment="0" applyProtection="0"/>
    <xf numFmtId="0" fontId="45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27" borderId="1" applyNumberFormat="0" applyAlignment="0" applyProtection="0"/>
    <xf numFmtId="0" fontId="59" fillId="0" borderId="6" applyNumberFormat="0" applyFill="0" applyAlignment="0" applyProtection="0"/>
    <xf numFmtId="0" fontId="60" fillId="28" borderId="0" applyNumberFormat="0" applyBorder="0" applyAlignment="0" applyProtection="0"/>
    <xf numFmtId="0" fontId="1" fillId="29" borderId="7" applyNumberFormat="0" applyFont="0" applyAlignment="0" applyProtection="0"/>
    <xf numFmtId="0" fontId="61" fillId="24" borderId="8" applyNumberFormat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42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ill="1" applyBorder="1" applyAlignment="1">
      <alignment/>
    </xf>
    <xf numFmtId="0" fontId="12" fillId="3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12" fillId="30" borderId="13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5" fillId="0" borderId="14" xfId="0" applyFont="1" applyFill="1" applyBorder="1" applyAlignment="1">
      <alignment/>
    </xf>
    <xf numFmtId="0" fontId="13" fillId="30" borderId="15" xfId="0" applyFont="1" applyFill="1" applyBorder="1" applyAlignment="1">
      <alignment/>
    </xf>
    <xf numFmtId="0" fontId="13" fillId="30" borderId="16" xfId="0" applyFont="1" applyFill="1" applyBorder="1" applyAlignment="1">
      <alignment/>
    </xf>
    <xf numFmtId="0" fontId="16" fillId="30" borderId="16" xfId="0" applyFont="1" applyFill="1" applyBorder="1" applyAlignment="1">
      <alignment/>
    </xf>
    <xf numFmtId="0" fontId="15" fillId="18" borderId="10" xfId="0" applyFont="1" applyFill="1" applyBorder="1" applyAlignment="1">
      <alignment/>
    </xf>
    <xf numFmtId="0" fontId="0" fillId="18" borderId="0" xfId="0" applyFill="1" applyBorder="1" applyAlignment="1">
      <alignment/>
    </xf>
    <xf numFmtId="0" fontId="5" fillId="18" borderId="0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7" fillId="18" borderId="0" xfId="0" applyFont="1" applyFill="1" applyBorder="1" applyAlignment="1">
      <alignment/>
    </xf>
    <xf numFmtId="0" fontId="14" fillId="18" borderId="0" xfId="0" applyFont="1" applyFill="1" applyBorder="1" applyAlignment="1">
      <alignment/>
    </xf>
    <xf numFmtId="0" fontId="11" fillId="18" borderId="0" xfId="0" applyFont="1" applyFill="1" applyBorder="1" applyAlignment="1">
      <alignment/>
    </xf>
    <xf numFmtId="0" fontId="18" fillId="18" borderId="0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14" fillId="0" borderId="1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14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9" fontId="1" fillId="0" borderId="0" xfId="59" applyFont="1" applyFill="1" applyBorder="1" applyAlignment="1">
      <alignment/>
    </xf>
    <xf numFmtId="0" fontId="14" fillId="0" borderId="18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9" fontId="0" fillId="0" borderId="0" xfId="0" applyNumberForma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 wrapText="1"/>
    </xf>
    <xf numFmtId="1" fontId="0" fillId="0" borderId="0" xfId="0" applyNumberFormat="1" applyFill="1" applyBorder="1" applyAlignment="1">
      <alignment horizontal="center"/>
    </xf>
    <xf numFmtId="0" fontId="14" fillId="0" borderId="17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13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9" fontId="2" fillId="0" borderId="19" xfId="0" applyNumberFormat="1" applyFont="1" applyBorder="1" applyAlignment="1">
      <alignment horizontal="center"/>
    </xf>
    <xf numFmtId="10" fontId="2" fillId="0" borderId="19" xfId="0" applyNumberFormat="1" applyFont="1" applyBorder="1" applyAlignment="1">
      <alignment horizontal="center"/>
    </xf>
    <xf numFmtId="10" fontId="2" fillId="0" borderId="2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10" fontId="2" fillId="0" borderId="13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9" fontId="2" fillId="0" borderId="21" xfId="0" applyNumberFormat="1" applyFont="1" applyBorder="1" applyAlignment="1">
      <alignment horizontal="center"/>
    </xf>
    <xf numFmtId="10" fontId="2" fillId="0" borderId="21" xfId="0" applyNumberFormat="1" applyFont="1" applyBorder="1" applyAlignment="1">
      <alignment horizontal="center"/>
    </xf>
    <xf numFmtId="10" fontId="2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0" fillId="0" borderId="19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left" wrapText="1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center"/>
    </xf>
    <xf numFmtId="10" fontId="2" fillId="0" borderId="12" xfId="0" applyNumberFormat="1" applyFont="1" applyBorder="1" applyAlignment="1">
      <alignment horizontal="center"/>
    </xf>
    <xf numFmtId="10" fontId="2" fillId="0" borderId="23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left" vertical="center"/>
    </xf>
    <xf numFmtId="0" fontId="10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/>
    </xf>
    <xf numFmtId="3" fontId="21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23" fillId="30" borderId="24" xfId="0" applyFont="1" applyFill="1" applyBorder="1" applyAlignment="1">
      <alignment/>
    </xf>
    <xf numFmtId="0" fontId="2" fillId="18" borderId="13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0" fontId="10" fillId="0" borderId="25" xfId="0" applyFont="1" applyFill="1" applyBorder="1" applyAlignment="1">
      <alignment/>
    </xf>
    <xf numFmtId="0" fontId="10" fillId="18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23" xfId="0" applyFont="1" applyBorder="1" applyAlignment="1">
      <alignment/>
    </xf>
    <xf numFmtId="2" fontId="9" fillId="0" borderId="0" xfId="0" applyNumberFormat="1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3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NumberFormat="1" applyFill="1" applyBorder="1" applyAlignment="1">
      <alignment/>
    </xf>
    <xf numFmtId="0" fontId="12" fillId="30" borderId="26" xfId="0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9" fontId="0" fillId="0" borderId="0" xfId="0" applyNumberFormat="1" applyFill="1" applyBorder="1" applyAlignment="1">
      <alignment vertical="center" wrapText="1"/>
    </xf>
    <xf numFmtId="9" fontId="0" fillId="0" borderId="0" xfId="0" applyNumberFormat="1" applyBorder="1" applyAlignment="1">
      <alignment/>
    </xf>
    <xf numFmtId="0" fontId="14" fillId="0" borderId="17" xfId="0" applyFont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10" fillId="0" borderId="27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2" fillId="0" borderId="27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/>
    </xf>
    <xf numFmtId="0" fontId="29" fillId="0" borderId="10" xfId="0" applyFont="1" applyBorder="1" applyAlignment="1">
      <alignment wrapText="1"/>
    </xf>
    <xf numFmtId="189" fontId="1" fillId="0" borderId="0" xfId="0" applyNumberFormat="1" applyFont="1" applyFill="1" applyBorder="1" applyAlignment="1">
      <alignment horizontal="right"/>
    </xf>
    <xf numFmtId="189" fontId="0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9" fontId="1" fillId="0" borderId="0" xfId="59" applyFont="1" applyBorder="1" applyAlignment="1">
      <alignment horizontal="right"/>
    </xf>
    <xf numFmtId="0" fontId="14" fillId="0" borderId="0" xfId="0" applyFont="1" applyBorder="1" applyAlignment="1">
      <alignment wrapText="1"/>
    </xf>
    <xf numFmtId="189" fontId="1" fillId="0" borderId="26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left" vertical="top"/>
    </xf>
    <xf numFmtId="0" fontId="1" fillId="0" borderId="26" xfId="0" applyFont="1" applyFill="1" applyBorder="1" applyAlignment="1">
      <alignment horizontal="left" vertical="top" wrapText="1"/>
    </xf>
    <xf numFmtId="1" fontId="14" fillId="0" borderId="26" xfId="0" applyNumberFormat="1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1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" fontId="0" fillId="0" borderId="12" xfId="0" applyNumberFormat="1" applyFill="1" applyBorder="1" applyAlignment="1">
      <alignment horizontal="right"/>
    </xf>
    <xf numFmtId="1" fontId="12" fillId="30" borderId="0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/>
    </xf>
    <xf numFmtId="189" fontId="0" fillId="0" borderId="0" xfId="0" applyNumberFormat="1" applyBorder="1" applyAlignment="1">
      <alignment/>
    </xf>
    <xf numFmtId="189" fontId="14" fillId="0" borderId="0" xfId="0" applyNumberFormat="1" applyFont="1" applyBorder="1" applyAlignment="1">
      <alignment/>
    </xf>
    <xf numFmtId="0" fontId="0" fillId="0" borderId="0" xfId="0" applyFill="1" applyBorder="1" applyAlignment="1">
      <alignment wrapText="1"/>
    </xf>
    <xf numFmtId="189" fontId="14" fillId="0" borderId="0" xfId="0" applyNumberFormat="1" applyFont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30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4" fillId="0" borderId="12" xfId="0" applyFont="1" applyBorder="1" applyAlignment="1">
      <alignment/>
    </xf>
    <xf numFmtId="1" fontId="0" fillId="0" borderId="0" xfId="0" applyNumberFormat="1" applyAlignment="1">
      <alignment/>
    </xf>
    <xf numFmtId="199" fontId="1" fillId="0" borderId="0" xfId="42" applyNumberFormat="1" applyFont="1" applyFill="1" applyBorder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1" fontId="0" fillId="0" borderId="19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21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1" fontId="0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1" fontId="0" fillId="0" borderId="0" xfId="0" applyNumberFormat="1" applyFill="1" applyBorder="1" applyAlignment="1">
      <alignment/>
    </xf>
    <xf numFmtId="9" fontId="0" fillId="0" borderId="19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9" fontId="0" fillId="0" borderId="21" xfId="0" applyNumberFormat="1" applyFont="1" applyBorder="1" applyAlignment="1">
      <alignment/>
    </xf>
    <xf numFmtId="0" fontId="19" fillId="0" borderId="2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4" xfId="0" applyBorder="1" applyAlignment="1">
      <alignment/>
    </xf>
    <xf numFmtId="0" fontId="5" fillId="0" borderId="14" xfId="0" applyFont="1" applyBorder="1" applyAlignment="1">
      <alignment/>
    </xf>
    <xf numFmtId="0" fontId="2" fillId="0" borderId="25" xfId="0" applyFont="1" applyBorder="1" applyAlignment="1">
      <alignment/>
    </xf>
    <xf numFmtId="0" fontId="14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0" fillId="31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32" borderId="10" xfId="0" applyFont="1" applyFill="1" applyBorder="1" applyAlignment="1" applyProtection="1">
      <alignment/>
      <protection/>
    </xf>
    <xf numFmtId="0" fontId="32" fillId="32" borderId="0" xfId="0" applyFont="1" applyFill="1" applyBorder="1" applyAlignment="1" applyProtection="1">
      <alignment horizontal="right"/>
      <protection/>
    </xf>
    <xf numFmtId="0" fontId="2" fillId="32" borderId="0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4" fontId="2" fillId="32" borderId="0" xfId="0" applyNumberFormat="1" applyFont="1" applyFill="1" applyBorder="1" applyAlignment="1" applyProtection="1">
      <alignment horizontal="center"/>
      <protection/>
    </xf>
    <xf numFmtId="0" fontId="2" fillId="32" borderId="0" xfId="0" applyFont="1" applyFill="1" applyBorder="1" applyAlignment="1" applyProtection="1">
      <alignment/>
      <protection/>
    </xf>
    <xf numFmtId="9" fontId="2" fillId="32" borderId="0" xfId="0" applyNumberFormat="1" applyFont="1" applyFill="1" applyBorder="1" applyAlignment="1" applyProtection="1">
      <alignment/>
      <protection/>
    </xf>
    <xf numFmtId="0" fontId="13" fillId="30" borderId="17" xfId="0" applyFont="1" applyFill="1" applyBorder="1" applyAlignment="1" applyProtection="1">
      <alignment/>
      <protection/>
    </xf>
    <xf numFmtId="0" fontId="13" fillId="30" borderId="14" xfId="0" applyFont="1" applyFill="1" applyBorder="1" applyAlignment="1" applyProtection="1">
      <alignment/>
      <protection/>
    </xf>
    <xf numFmtId="0" fontId="13" fillId="30" borderId="14" xfId="0" applyFont="1" applyFill="1" applyBorder="1" applyAlignment="1" applyProtection="1">
      <alignment horizontal="center"/>
      <protection/>
    </xf>
    <xf numFmtId="0" fontId="13" fillId="3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7" fillId="31" borderId="15" xfId="0" applyFont="1" applyFill="1" applyBorder="1" applyAlignment="1" applyProtection="1">
      <alignment/>
      <protection/>
    </xf>
    <xf numFmtId="0" fontId="17" fillId="31" borderId="16" xfId="0" applyFont="1" applyFill="1" applyBorder="1" applyAlignment="1" applyProtection="1">
      <alignment/>
      <protection/>
    </xf>
    <xf numFmtId="0" fontId="17" fillId="31" borderId="16" xfId="0" applyFont="1" applyFill="1" applyBorder="1" applyAlignment="1" applyProtection="1">
      <alignment horizontal="center"/>
      <protection/>
    </xf>
    <xf numFmtId="0" fontId="17" fillId="31" borderId="12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33" borderId="0" xfId="0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 horizontal="left"/>
      <protection/>
    </xf>
    <xf numFmtId="9" fontId="1" fillId="33" borderId="0" xfId="59" applyFont="1" applyFill="1" applyBorder="1" applyAlignment="1" applyProtection="1">
      <alignment/>
      <protection/>
    </xf>
    <xf numFmtId="0" fontId="17" fillId="31" borderId="10" xfId="0" applyFont="1" applyFill="1" applyBorder="1" applyAlignment="1" applyProtection="1">
      <alignment/>
      <protection/>
    </xf>
    <xf numFmtId="0" fontId="17" fillId="31" borderId="0" xfId="0" applyFont="1" applyFill="1" applyBorder="1" applyAlignment="1" applyProtection="1">
      <alignment/>
      <protection/>
    </xf>
    <xf numFmtId="0" fontId="17" fillId="31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8" fontId="0" fillId="0" borderId="0" xfId="0" applyNumberFormat="1" applyAlignment="1">
      <alignment/>
    </xf>
    <xf numFmtId="2" fontId="0" fillId="0" borderId="0" xfId="0" applyNumberFormat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29" xfId="0" applyFont="1" applyFill="1" applyBorder="1" applyAlignment="1">
      <alignment wrapText="1"/>
    </xf>
    <xf numFmtId="1" fontId="2" fillId="0" borderId="19" xfId="0" applyNumberFormat="1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9" xfId="0" applyNumberFormat="1" applyFont="1" applyBorder="1" applyAlignment="1">
      <alignment horizontal="right"/>
    </xf>
    <xf numFmtId="9" fontId="2" fillId="0" borderId="19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9" fontId="2" fillId="0" borderId="0" xfId="0" applyNumberFormat="1" applyFont="1" applyBorder="1" applyAlignment="1">
      <alignment horizontal="right"/>
    </xf>
    <xf numFmtId="1" fontId="2" fillId="0" borderId="21" xfId="0" applyNumberFormat="1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1" xfId="0" applyNumberFormat="1" applyFont="1" applyBorder="1" applyAlignment="1">
      <alignment horizontal="right"/>
    </xf>
    <xf numFmtId="9" fontId="2" fillId="0" borderId="21" xfId="0" applyNumberFormat="1" applyFont="1" applyBorder="1" applyAlignment="1">
      <alignment horizontal="right"/>
    </xf>
    <xf numFmtId="1" fontId="28" fillId="34" borderId="31" xfId="0" applyNumberFormat="1" applyFont="1" applyFill="1" applyBorder="1" applyAlignment="1" applyProtection="1">
      <alignment horizontal="right"/>
      <protection locked="0"/>
    </xf>
    <xf numFmtId="1" fontId="28" fillId="34" borderId="32" xfId="0" applyNumberFormat="1" applyFont="1" applyFill="1" applyBorder="1" applyAlignment="1" applyProtection="1">
      <alignment horizontal="right"/>
      <protection locked="0"/>
    </xf>
    <xf numFmtId="9" fontId="28" fillId="34" borderId="32" xfId="59" applyFont="1" applyFill="1" applyBorder="1" applyAlignment="1" applyProtection="1">
      <alignment horizontal="right"/>
      <protection locked="0"/>
    </xf>
    <xf numFmtId="0" fontId="28" fillId="34" borderId="32" xfId="0" applyFont="1" applyFill="1" applyBorder="1" applyAlignment="1" applyProtection="1">
      <alignment horizontal="right"/>
      <protection locked="0"/>
    </xf>
    <xf numFmtId="9" fontId="28" fillId="34" borderId="32" xfId="59" applyFont="1" applyFill="1" applyBorder="1" applyAlignment="1" applyProtection="1">
      <alignment/>
      <protection locked="0"/>
    </xf>
    <xf numFmtId="0" fontId="28" fillId="34" borderId="32" xfId="0" applyFont="1" applyFill="1" applyBorder="1" applyAlignment="1" applyProtection="1">
      <alignment/>
      <protection locked="0"/>
    </xf>
    <xf numFmtId="0" fontId="26" fillId="34" borderId="32" xfId="0" applyFont="1" applyFill="1" applyBorder="1" applyAlignment="1" applyProtection="1">
      <alignment/>
      <protection/>
    </xf>
    <xf numFmtId="0" fontId="26" fillId="34" borderId="32" xfId="0" applyFont="1" applyFill="1" applyBorder="1" applyAlignment="1" applyProtection="1">
      <alignment horizontal="center"/>
      <protection/>
    </xf>
    <xf numFmtId="2" fontId="28" fillId="34" borderId="32" xfId="0" applyNumberFormat="1" applyFont="1" applyFill="1" applyBorder="1" applyAlignment="1" applyProtection="1">
      <alignment horizontal="center"/>
      <protection locked="0"/>
    </xf>
    <xf numFmtId="1" fontId="28" fillId="34" borderId="32" xfId="0" applyNumberFormat="1" applyFont="1" applyFill="1" applyBorder="1" applyAlignment="1" applyProtection="1">
      <alignment horizontal="center"/>
      <protection locked="0"/>
    </xf>
    <xf numFmtId="1" fontId="28" fillId="34" borderId="32" xfId="59" applyNumberFormat="1" applyFont="1" applyFill="1" applyBorder="1" applyAlignment="1" applyProtection="1">
      <alignment/>
      <protection locked="0"/>
    </xf>
    <xf numFmtId="0" fontId="33" fillId="31" borderId="0" xfId="0" applyFont="1" applyFill="1" applyBorder="1" applyAlignment="1" applyProtection="1">
      <alignment/>
      <protection/>
    </xf>
    <xf numFmtId="0" fontId="0" fillId="31" borderId="0" xfId="0" applyFill="1" applyBorder="1" applyAlignment="1" applyProtection="1">
      <alignment/>
      <protection/>
    </xf>
    <xf numFmtId="189" fontId="0" fillId="0" borderId="0" xfId="0" applyNumberFormat="1" applyFill="1" applyBorder="1" applyAlignment="1">
      <alignment/>
    </xf>
    <xf numFmtId="0" fontId="34" fillId="35" borderId="31" xfId="0" applyFont="1" applyFill="1" applyBorder="1" applyAlignment="1" applyProtection="1">
      <alignment horizontal="left" vertical="top" wrapText="1"/>
      <protection locked="0"/>
    </xf>
    <xf numFmtId="0" fontId="34" fillId="35" borderId="33" xfId="0" applyFont="1" applyFill="1" applyBorder="1" applyAlignment="1" applyProtection="1">
      <alignment horizontal="left" vertical="top" wrapText="1"/>
      <protection locked="0"/>
    </xf>
    <xf numFmtId="184" fontId="34" fillId="35" borderId="32" xfId="0" applyNumberFormat="1" applyFont="1" applyFill="1" applyBorder="1" applyAlignment="1" applyProtection="1">
      <alignment horizontal="left" vertical="top" wrapText="1"/>
      <protection locked="0"/>
    </xf>
    <xf numFmtId="0" fontId="28" fillId="34" borderId="32" xfId="0" applyFont="1" applyFill="1" applyBorder="1" applyAlignment="1" applyProtection="1">
      <alignment/>
      <protection locked="0"/>
    </xf>
    <xf numFmtId="0" fontId="35" fillId="34" borderId="32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7" fillId="31" borderId="18" xfId="0" applyFont="1" applyFill="1" applyBorder="1" applyAlignment="1">
      <alignment/>
    </xf>
    <xf numFmtId="0" fontId="18" fillId="31" borderId="26" xfId="0" applyFont="1" applyFill="1" applyBorder="1" applyAlignment="1">
      <alignment/>
    </xf>
    <xf numFmtId="0" fontId="18" fillId="31" borderId="26" xfId="0" applyFont="1" applyFill="1" applyBorder="1" applyAlignment="1">
      <alignment/>
    </xf>
    <xf numFmtId="0" fontId="18" fillId="31" borderId="30" xfId="0" applyFont="1" applyFill="1" applyBorder="1" applyAlignment="1">
      <alignment/>
    </xf>
    <xf numFmtId="0" fontId="17" fillId="31" borderId="10" xfId="0" applyFont="1" applyFill="1" applyBorder="1" applyAlignment="1">
      <alignment/>
    </xf>
    <xf numFmtId="0" fontId="17" fillId="31" borderId="0" xfId="0" applyFont="1" applyFill="1" applyBorder="1" applyAlignment="1">
      <alignment/>
    </xf>
    <xf numFmtId="0" fontId="17" fillId="31" borderId="13" xfId="0" applyFont="1" applyFill="1" applyBorder="1" applyAlignment="1">
      <alignment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27" xfId="0" applyBorder="1" applyAlignment="1">
      <alignment/>
    </xf>
    <xf numFmtId="0" fontId="0" fillId="0" borderId="34" xfId="0" applyFont="1" applyBorder="1" applyAlignment="1">
      <alignment/>
    </xf>
    <xf numFmtId="0" fontId="0" fillId="0" borderId="22" xfId="0" applyBorder="1" applyAlignment="1">
      <alignment/>
    </xf>
    <xf numFmtId="0" fontId="31" fillId="0" borderId="10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13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Font="1" applyBorder="1" applyAlignment="1">
      <alignment/>
    </xf>
    <xf numFmtId="0" fontId="19" fillId="0" borderId="35" xfId="0" applyFont="1" applyBorder="1" applyAlignment="1">
      <alignment/>
    </xf>
    <xf numFmtId="0" fontId="17" fillId="31" borderId="26" xfId="0" applyFont="1" applyFill="1" applyBorder="1" applyAlignment="1">
      <alignment/>
    </xf>
    <xf numFmtId="0" fontId="17" fillId="31" borderId="3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4" xfId="0" applyFont="1" applyFill="1" applyBorder="1" applyAlignment="1">
      <alignment wrapText="1"/>
    </xf>
    <xf numFmtId="0" fontId="2" fillId="0" borderId="27" xfId="0" applyFont="1" applyBorder="1" applyAlignment="1">
      <alignment/>
    </xf>
    <xf numFmtId="9" fontId="2" fillId="0" borderId="2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9" fontId="2" fillId="0" borderId="13" xfId="0" applyNumberFormat="1" applyFont="1" applyBorder="1" applyAlignment="1">
      <alignment horizontal="right"/>
    </xf>
    <xf numFmtId="0" fontId="2" fillId="0" borderId="28" xfId="0" applyFont="1" applyBorder="1" applyAlignment="1">
      <alignment/>
    </xf>
    <xf numFmtId="9" fontId="2" fillId="0" borderId="22" xfId="0" applyNumberFormat="1" applyFont="1" applyBorder="1" applyAlignment="1">
      <alignment horizontal="right"/>
    </xf>
    <xf numFmtId="0" fontId="18" fillId="31" borderId="0" xfId="0" applyFont="1" applyFill="1" applyBorder="1" applyAlignment="1">
      <alignment/>
    </xf>
    <xf numFmtId="0" fontId="18" fillId="31" borderId="13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26" xfId="0" applyBorder="1" applyAlignment="1">
      <alignment/>
    </xf>
    <xf numFmtId="0" fontId="40" fillId="18" borderId="0" xfId="0" applyFont="1" applyFill="1" applyAlignment="1" applyProtection="1">
      <alignment horizontal="center" wrapText="1"/>
      <protection/>
    </xf>
    <xf numFmtId="0" fontId="2" fillId="0" borderId="13" xfId="0" applyFont="1" applyFill="1" applyBorder="1" applyAlignment="1">
      <alignment horizontal="left" vertical="center" wrapText="1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10" fillId="0" borderId="26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33" borderId="18" xfId="0" applyFont="1" applyFill="1" applyBorder="1" applyAlignment="1">
      <alignment horizontal="center" wrapText="1"/>
    </xf>
    <xf numFmtId="0" fontId="10" fillId="33" borderId="26" xfId="0" applyFont="1" applyFill="1" applyBorder="1" applyAlignment="1">
      <alignment horizontal="center" wrapText="1"/>
    </xf>
    <xf numFmtId="0" fontId="10" fillId="33" borderId="3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0" fillId="33" borderId="36" xfId="0" applyFont="1" applyFill="1" applyBorder="1" applyAlignment="1">
      <alignment horizontal="center" wrapText="1"/>
    </xf>
    <xf numFmtId="0" fontId="10" fillId="33" borderId="37" xfId="0" applyFont="1" applyFill="1" applyBorder="1" applyAlignment="1">
      <alignment horizontal="center" wrapText="1"/>
    </xf>
    <xf numFmtId="0" fontId="10" fillId="33" borderId="38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2" fillId="0" borderId="13" xfId="0" applyFont="1" applyFill="1" applyBorder="1" applyAlignment="1">
      <alignment horizontal="left" vertical="top" wrapText="1"/>
    </xf>
    <xf numFmtId="0" fontId="15" fillId="13" borderId="15" xfId="0" applyFont="1" applyFill="1" applyBorder="1" applyAlignment="1">
      <alignment horizontal="left"/>
    </xf>
    <xf numFmtId="0" fontId="15" fillId="13" borderId="16" xfId="0" applyFont="1" applyFill="1" applyBorder="1" applyAlignment="1">
      <alignment horizontal="left"/>
    </xf>
    <xf numFmtId="0" fontId="15" fillId="13" borderId="24" xfId="0" applyFont="1" applyFill="1" applyBorder="1" applyAlignment="1">
      <alignment horizontal="left"/>
    </xf>
    <xf numFmtId="0" fontId="12" fillId="30" borderId="26" xfId="0" applyFont="1" applyFill="1" applyBorder="1" applyAlignment="1">
      <alignment horizontal="center"/>
    </xf>
    <xf numFmtId="0" fontId="12" fillId="30" borderId="30" xfId="0" applyFont="1" applyFill="1" applyBorder="1" applyAlignment="1">
      <alignment horizontal="center"/>
    </xf>
    <xf numFmtId="0" fontId="12" fillId="30" borderId="26" xfId="0" applyFont="1" applyFill="1" applyBorder="1" applyAlignment="1">
      <alignment horizontal="center" vertical="center"/>
    </xf>
    <xf numFmtId="0" fontId="12" fillId="30" borderId="0" xfId="0" applyFont="1" applyFill="1" applyBorder="1" applyAlignment="1">
      <alignment horizontal="center" vertical="center"/>
    </xf>
    <xf numFmtId="0" fontId="12" fillId="30" borderId="18" xfId="0" applyFont="1" applyFill="1" applyBorder="1" applyAlignment="1">
      <alignment horizontal="center" vertical="center"/>
    </xf>
    <xf numFmtId="0" fontId="12" fillId="30" borderId="10" xfId="0" applyFont="1" applyFill="1" applyBorder="1" applyAlignment="1">
      <alignment horizontal="center" vertical="center"/>
    </xf>
    <xf numFmtId="1" fontId="15" fillId="13" borderId="15" xfId="0" applyNumberFormat="1" applyFont="1" applyFill="1" applyBorder="1" applyAlignment="1">
      <alignment horizontal="left"/>
    </xf>
    <xf numFmtId="1" fontId="15" fillId="13" borderId="16" xfId="0" applyNumberFormat="1" applyFont="1" applyFill="1" applyBorder="1" applyAlignment="1">
      <alignment horizontal="left"/>
    </xf>
    <xf numFmtId="1" fontId="15" fillId="13" borderId="24" xfId="0" applyNumberFormat="1" applyFont="1" applyFill="1" applyBorder="1" applyAlignment="1">
      <alignment horizontal="left"/>
    </xf>
    <xf numFmtId="0" fontId="15" fillId="13" borderId="11" xfId="0" applyFont="1" applyFill="1" applyBorder="1" applyAlignment="1">
      <alignment horizontal="left"/>
    </xf>
    <xf numFmtId="0" fontId="15" fillId="13" borderId="12" xfId="0" applyFont="1" applyFill="1" applyBorder="1" applyAlignment="1">
      <alignment horizontal="left"/>
    </xf>
    <xf numFmtId="0" fontId="15" fillId="13" borderId="23" xfId="0" applyFont="1" applyFill="1" applyBorder="1" applyAlignment="1">
      <alignment horizontal="left"/>
    </xf>
    <xf numFmtId="0" fontId="14" fillId="0" borderId="15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  <xf numFmtId="0" fontId="14" fillId="0" borderId="24" xfId="0" applyFont="1" applyFill="1" applyBorder="1" applyAlignment="1">
      <alignment horizontal="left"/>
    </xf>
    <xf numFmtId="0" fontId="0" fillId="0" borderId="0" xfId="0" applyFill="1" applyAlignment="1">
      <alignment horizontal="center" vertical="center" wrapText="1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9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38" fontId="0" fillId="0" borderId="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7" xfId="0" applyBorder="1" applyAlignment="1">
      <alignment horizontal="left"/>
    </xf>
    <xf numFmtId="0" fontId="0" fillId="0" borderId="19" xfId="0" applyBorder="1" applyAlignment="1">
      <alignment horizontal="left"/>
    </xf>
    <xf numFmtId="0" fontId="36" fillId="0" borderId="10" xfId="0" applyFont="1" applyBorder="1" applyAlignment="1">
      <alignment horizontal="center" wrapText="1"/>
    </xf>
    <xf numFmtId="0" fontId="36" fillId="0" borderId="0" xfId="0" applyFont="1" applyBorder="1" applyAlignment="1">
      <alignment horizontal="center" wrapText="1"/>
    </xf>
    <xf numFmtId="0" fontId="36" fillId="0" borderId="13" xfId="0" applyFont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center"/>
    </xf>
    <xf numFmtId="184" fontId="0" fillId="0" borderId="10" xfId="0" applyNumberFormat="1" applyFont="1" applyBorder="1" applyAlignment="1">
      <alignment horizontal="center"/>
    </xf>
    <xf numFmtId="184" fontId="0" fillId="0" borderId="0" xfId="0" applyNumberFormat="1" applyFont="1" applyBorder="1" applyAlignment="1">
      <alignment horizontal="center"/>
    </xf>
    <xf numFmtId="184" fontId="0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9" fillId="31" borderId="10" xfId="0" applyFont="1" applyFill="1" applyBorder="1" applyAlignment="1">
      <alignment horizontal="center"/>
    </xf>
    <xf numFmtId="0" fontId="39" fillId="31" borderId="0" xfId="0" applyFont="1" applyFill="1" applyBorder="1" applyAlignment="1">
      <alignment horizontal="center"/>
    </xf>
    <xf numFmtId="0" fontId="39" fillId="31" borderId="13" xfId="0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Consumo de eletricidade por mês in kWh</a:t>
            </a:r>
          </a:p>
        </c:rich>
      </c:tx>
      <c:layout>
        <c:manualLayout>
          <c:xMode val="factor"/>
          <c:yMode val="factor"/>
          <c:x val="-0.00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2875"/>
          <c:w val="0.97225"/>
          <c:h val="0.85425"/>
        </c:manualLayout>
      </c:layout>
      <c:lineChart>
        <c:grouping val="standard"/>
        <c:varyColors val="0"/>
        <c:ser>
          <c:idx val="0"/>
          <c:order val="0"/>
          <c:tx>
            <c:v>Electricity consumption per month in kWh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'Entrada de Dados do Usuário'!$C$55:$C$66</c:f>
              <c:numCache>
                <c:ptCount val="12"/>
              </c:numCache>
            </c:numRef>
          </c:val>
          <c:smooth val="0"/>
        </c:ser>
        <c:marker val="1"/>
        <c:axId val="29668621"/>
        <c:axId val="65690998"/>
      </c:lineChart>
      <c:catAx>
        <c:axId val="29668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90998"/>
        <c:crosses val="autoZero"/>
        <c:auto val="1"/>
        <c:lblOffset val="100"/>
        <c:tickLblSkip val="1"/>
        <c:noMultiLvlLbl val="0"/>
      </c:catAx>
      <c:valAx>
        <c:axId val="656909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686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Demanda de carga por hora em kWe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285"/>
          <c:w val="0.96975"/>
          <c:h val="0.854"/>
        </c:manualLayout>
      </c:layout>
      <c:lineChart>
        <c:grouping val="standard"/>
        <c:varyColors val="0"/>
        <c:ser>
          <c:idx val="0"/>
          <c:order val="0"/>
          <c:tx>
            <c:v>Hourly load demand in kWe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'Modelo de Tecnologia'!$C$54:$Z$54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54348071"/>
        <c:axId val="19370592"/>
      </c:lineChart>
      <c:catAx>
        <c:axId val="54348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70592"/>
        <c:crosses val="autoZero"/>
        <c:auto val="1"/>
        <c:lblOffset val="100"/>
        <c:tickLblSkip val="1"/>
        <c:noMultiLvlLbl val="0"/>
      </c:catAx>
      <c:valAx>
        <c:axId val="193705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480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714375</xdr:colOff>
      <xdr:row>0</xdr:row>
      <xdr:rowOff>47625</xdr:rowOff>
    </xdr:from>
    <xdr:to>
      <xdr:col>2</xdr:col>
      <xdr:colOff>1304925</xdr:colOff>
      <xdr:row>0</xdr:row>
      <xdr:rowOff>609600</xdr:rowOff>
    </xdr:to>
    <xdr:pic>
      <xdr:nvPicPr>
        <xdr:cNvPr id="1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47625"/>
          <a:ext cx="4438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47</xdr:row>
      <xdr:rowOff>57150</xdr:rowOff>
    </xdr:from>
    <xdr:to>
      <xdr:col>7</xdr:col>
      <xdr:colOff>542925</xdr:colOff>
      <xdr:row>62</xdr:row>
      <xdr:rowOff>123825</xdr:rowOff>
    </xdr:to>
    <xdr:graphicFrame>
      <xdr:nvGraphicFramePr>
        <xdr:cNvPr id="1" name="Chart 2"/>
        <xdr:cNvGraphicFramePr/>
      </xdr:nvGraphicFramePr>
      <xdr:xfrm>
        <a:off x="85725" y="10896600"/>
        <a:ext cx="58007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247650</xdr:colOff>
      <xdr:row>31</xdr:row>
      <xdr:rowOff>95250</xdr:rowOff>
    </xdr:from>
    <xdr:to>
      <xdr:col>5</xdr:col>
      <xdr:colOff>1104900</xdr:colOff>
      <xdr:row>34</xdr:row>
      <xdr:rowOff>9525</xdr:rowOff>
    </xdr:to>
    <xdr:pic>
      <xdr:nvPicPr>
        <xdr:cNvPr id="2" name="Picture 3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7620000"/>
          <a:ext cx="3467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</xdr:colOff>
      <xdr:row>1</xdr:row>
      <xdr:rowOff>85725</xdr:rowOff>
    </xdr:from>
    <xdr:to>
      <xdr:col>16</xdr:col>
      <xdr:colOff>561975</xdr:colOff>
      <xdr:row>9</xdr:row>
      <xdr:rowOff>190500</xdr:rowOff>
    </xdr:to>
    <xdr:graphicFrame>
      <xdr:nvGraphicFramePr>
        <xdr:cNvPr id="3" name="Chart 3"/>
        <xdr:cNvGraphicFramePr/>
      </xdr:nvGraphicFramePr>
      <xdr:xfrm>
        <a:off x="5991225" y="276225"/>
        <a:ext cx="6029325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showGridLines="0" tabSelected="1" zoomScaleSheetLayoutView="115" workbookViewId="0" topLeftCell="A1">
      <pane ySplit="9" topLeftCell="A10" activePane="bottomLeft" state="frozen"/>
      <selection pane="topLeft" activeCell="A1" sqref="A1"/>
      <selection pane="bottomLeft" activeCell="H5" sqref="H5"/>
    </sheetView>
  </sheetViews>
  <sheetFormatPr defaultColWidth="9.140625" defaultRowHeight="15"/>
  <cols>
    <col min="1" max="1" width="10.8515625" style="221" customWidth="1"/>
    <col min="2" max="2" width="57.7109375" style="221" customWidth="1"/>
    <col min="3" max="3" width="24.421875" style="221" customWidth="1"/>
    <col min="4" max="5" width="7.140625" style="254" bestFit="1" customWidth="1"/>
    <col min="6" max="16384" width="8.8515625" style="221" customWidth="1"/>
  </cols>
  <sheetData>
    <row r="1" spans="1:5" ht="75" customHeight="1">
      <c r="A1" s="334" t="s">
        <v>57</v>
      </c>
      <c r="B1" s="334"/>
      <c r="C1" s="334"/>
      <c r="D1" s="334"/>
      <c r="E1" s="334"/>
    </row>
    <row r="2" spans="1:5" ht="14.25">
      <c r="A2" s="285" t="s">
        <v>58</v>
      </c>
      <c r="B2" s="286"/>
      <c r="C2" s="286"/>
      <c r="D2" s="220"/>
      <c r="E2" s="220"/>
    </row>
    <row r="3" spans="1:7" s="225" customFormat="1" ht="9.75">
      <c r="A3" s="222"/>
      <c r="B3" s="223" t="s">
        <v>59</v>
      </c>
      <c r="C3" s="288"/>
      <c r="D3" s="224"/>
      <c r="E3" s="224"/>
      <c r="G3" s="226"/>
    </row>
    <row r="4" spans="1:7" s="225" customFormat="1" ht="9.75">
      <c r="A4" s="222"/>
      <c r="B4" s="223" t="s">
        <v>60</v>
      </c>
      <c r="C4" s="289"/>
      <c r="D4" s="224"/>
      <c r="E4" s="224"/>
      <c r="G4" s="226"/>
    </row>
    <row r="5" spans="1:7" s="225" customFormat="1" ht="9.75">
      <c r="A5" s="222"/>
      <c r="B5" s="223" t="s">
        <v>61</v>
      </c>
      <c r="C5" s="289"/>
      <c r="D5" s="224"/>
      <c r="E5" s="224"/>
      <c r="G5" s="226"/>
    </row>
    <row r="6" spans="1:7" s="225" customFormat="1" ht="9.75">
      <c r="A6" s="222"/>
      <c r="B6" s="223"/>
      <c r="C6" s="288"/>
      <c r="D6" s="224"/>
      <c r="E6" s="224"/>
      <c r="G6" s="226"/>
    </row>
    <row r="7" spans="1:7" s="225" customFormat="1" ht="9.75">
      <c r="A7" s="222"/>
      <c r="B7" s="223" t="s">
        <v>62</v>
      </c>
      <c r="C7" s="290"/>
      <c r="D7" s="227"/>
      <c r="E7" s="227"/>
      <c r="G7" s="226"/>
    </row>
    <row r="8" spans="1:7" s="225" customFormat="1" ht="9.75">
      <c r="A8" s="222"/>
      <c r="B8" s="228"/>
      <c r="C8" s="229"/>
      <c r="D8" s="224"/>
      <c r="E8" s="224"/>
      <c r="G8" s="226"/>
    </row>
    <row r="9" spans="1:7" ht="15" thickBot="1">
      <c r="A9" s="230" t="s">
        <v>47</v>
      </c>
      <c r="B9" s="231" t="s">
        <v>64</v>
      </c>
      <c r="C9" s="231" t="s">
        <v>63</v>
      </c>
      <c r="D9" s="232" t="s">
        <v>43</v>
      </c>
      <c r="E9" s="233"/>
      <c r="G9" s="234"/>
    </row>
    <row r="10" spans="1:7" ht="15" thickBot="1">
      <c r="A10" s="235" t="s">
        <v>192</v>
      </c>
      <c r="B10" s="236"/>
      <c r="C10" s="236"/>
      <c r="D10" s="237"/>
      <c r="E10" s="238"/>
      <c r="G10" s="234"/>
    </row>
    <row r="11" spans="1:5" ht="14.25">
      <c r="A11" s="239"/>
      <c r="B11" s="240" t="s">
        <v>231</v>
      </c>
      <c r="C11" s="274"/>
      <c r="D11" s="241" t="s">
        <v>1</v>
      </c>
      <c r="E11" s="241"/>
    </row>
    <row r="12" spans="1:5" ht="14.25">
      <c r="A12" s="239"/>
      <c r="B12" s="240" t="s">
        <v>232</v>
      </c>
      <c r="C12" s="275"/>
      <c r="D12" s="241" t="s">
        <v>1</v>
      </c>
      <c r="E12" s="241"/>
    </row>
    <row r="13" spans="1:5" s="242" customFormat="1" ht="14.25">
      <c r="A13" s="239"/>
      <c r="B13" s="240" t="s">
        <v>233</v>
      </c>
      <c r="C13" s="275"/>
      <c r="D13" s="241" t="s">
        <v>1</v>
      </c>
      <c r="E13" s="241"/>
    </row>
    <row r="14" spans="1:5" s="242" customFormat="1" ht="14.25">
      <c r="A14" s="239"/>
      <c r="B14" s="240" t="s">
        <v>234</v>
      </c>
      <c r="C14" s="275"/>
      <c r="D14" s="241" t="s">
        <v>1</v>
      </c>
      <c r="E14" s="241"/>
    </row>
    <row r="15" spans="1:5" s="242" customFormat="1" ht="14.25">
      <c r="A15" s="239"/>
      <c r="B15" s="240" t="s">
        <v>235</v>
      </c>
      <c r="C15" s="240"/>
      <c r="D15" s="241"/>
      <c r="E15" s="241"/>
    </row>
    <row r="16" spans="1:5" s="242" customFormat="1" ht="14.25">
      <c r="A16" s="239"/>
      <c r="B16" s="243" t="s">
        <v>236</v>
      </c>
      <c r="C16" s="276"/>
      <c r="D16" s="241" t="s">
        <v>3</v>
      </c>
      <c r="E16" s="241"/>
    </row>
    <row r="17" spans="1:5" s="242" customFormat="1" ht="14.25">
      <c r="A17" s="239"/>
      <c r="B17" s="243" t="s">
        <v>237</v>
      </c>
      <c r="C17" s="276"/>
      <c r="D17" s="241" t="s">
        <v>3</v>
      </c>
      <c r="E17" s="241"/>
    </row>
    <row r="18" spans="1:5" s="242" customFormat="1" ht="14.25">
      <c r="A18" s="239"/>
      <c r="B18" s="243" t="s">
        <v>238</v>
      </c>
      <c r="C18" s="276"/>
      <c r="D18" s="241" t="s">
        <v>3</v>
      </c>
      <c r="E18" s="241"/>
    </row>
    <row r="19" spans="1:5" s="242" customFormat="1" ht="14.25">
      <c r="A19" s="239"/>
      <c r="B19" s="243" t="s">
        <v>239</v>
      </c>
      <c r="C19" s="276"/>
      <c r="D19" s="241" t="s">
        <v>3</v>
      </c>
      <c r="E19" s="241"/>
    </row>
    <row r="20" spans="1:5" s="242" customFormat="1" ht="14.25">
      <c r="A20" s="239"/>
      <c r="B20" s="244" t="s">
        <v>193</v>
      </c>
      <c r="C20" s="245"/>
      <c r="D20" s="241"/>
      <c r="E20" s="241"/>
    </row>
    <row r="21" spans="1:5" s="242" customFormat="1" ht="14.25">
      <c r="A21" s="239"/>
      <c r="B21" s="243" t="s">
        <v>236</v>
      </c>
      <c r="C21" s="276"/>
      <c r="D21" s="241"/>
      <c r="E21" s="241"/>
    </row>
    <row r="22" spans="1:5" s="242" customFormat="1" ht="14.25">
      <c r="A22" s="239"/>
      <c r="B22" s="243" t="s">
        <v>237</v>
      </c>
      <c r="C22" s="276"/>
      <c r="D22" s="241"/>
      <c r="E22" s="241"/>
    </row>
    <row r="23" spans="1:5" s="242" customFormat="1" ht="14.25">
      <c r="A23" s="239"/>
      <c r="B23" s="243" t="s">
        <v>241</v>
      </c>
      <c r="C23" s="277"/>
      <c r="D23" s="241"/>
      <c r="E23" s="241"/>
    </row>
    <row r="24" spans="1:5" s="242" customFormat="1" ht="14.25">
      <c r="A24" s="239"/>
      <c r="B24" s="243" t="s">
        <v>239</v>
      </c>
      <c r="C24" s="277"/>
      <c r="D24" s="241"/>
      <c r="E24" s="241"/>
    </row>
    <row r="25" spans="1:5" s="242" customFormat="1" ht="14.25">
      <c r="A25" s="239"/>
      <c r="B25" s="243"/>
      <c r="C25" s="240"/>
      <c r="D25" s="241"/>
      <c r="E25" s="241"/>
    </row>
    <row r="26" spans="1:5" s="242" customFormat="1" ht="14.25">
      <c r="A26" s="246" t="s">
        <v>240</v>
      </c>
      <c r="B26" s="247"/>
      <c r="C26" s="247"/>
      <c r="D26" s="248"/>
      <c r="E26" s="248"/>
    </row>
    <row r="27" spans="1:5" s="242" customFormat="1" ht="14.25">
      <c r="A27" s="239"/>
      <c r="B27" s="240" t="s">
        <v>244</v>
      </c>
      <c r="C27" s="277"/>
      <c r="D27" s="241" t="s">
        <v>2</v>
      </c>
      <c r="E27" s="241"/>
    </row>
    <row r="28" spans="1:5" s="242" customFormat="1" ht="14.25">
      <c r="A28" s="239"/>
      <c r="B28" s="240" t="s">
        <v>245</v>
      </c>
      <c r="C28" s="277"/>
      <c r="D28" s="241" t="s">
        <v>2</v>
      </c>
      <c r="E28" s="241"/>
    </row>
    <row r="29" spans="1:5" s="242" customFormat="1" ht="14.25">
      <c r="A29" s="239"/>
      <c r="B29" s="240" t="s">
        <v>246</v>
      </c>
      <c r="C29" s="277"/>
      <c r="D29" s="241" t="s">
        <v>2</v>
      </c>
      <c r="E29" s="241"/>
    </row>
    <row r="30" spans="1:5" s="242" customFormat="1" ht="14.25">
      <c r="A30" s="239"/>
      <c r="B30" s="240" t="s">
        <v>247</v>
      </c>
      <c r="C30" s="277"/>
      <c r="D30" s="241" t="s">
        <v>2</v>
      </c>
      <c r="E30" s="241"/>
    </row>
    <row r="31" spans="1:5" s="242" customFormat="1" ht="14.25">
      <c r="A31" s="239"/>
      <c r="B31" s="240"/>
      <c r="C31" s="240"/>
      <c r="D31" s="241"/>
      <c r="E31" s="241"/>
    </row>
    <row r="32" spans="1:5" s="242" customFormat="1" ht="14.25">
      <c r="A32" s="239"/>
      <c r="B32" s="240"/>
      <c r="C32" s="240"/>
      <c r="D32" s="241"/>
      <c r="E32" s="241"/>
    </row>
    <row r="33" spans="1:5" s="242" customFormat="1" ht="14.25">
      <c r="A33" s="239"/>
      <c r="B33" s="249" t="s">
        <v>243</v>
      </c>
      <c r="C33" s="240"/>
      <c r="D33" s="241"/>
      <c r="E33" s="241"/>
    </row>
    <row r="34" spans="1:5" s="242" customFormat="1" ht="14.25">
      <c r="A34" s="239"/>
      <c r="B34" s="243" t="s">
        <v>236</v>
      </c>
      <c r="C34" s="277"/>
      <c r="D34" s="241"/>
      <c r="E34" s="241"/>
    </row>
    <row r="35" spans="1:5" s="242" customFormat="1" ht="16.5" customHeight="1">
      <c r="A35" s="239"/>
      <c r="B35" s="243" t="s">
        <v>237</v>
      </c>
      <c r="C35" s="277"/>
      <c r="D35" s="241"/>
      <c r="E35" s="241"/>
    </row>
    <row r="36" spans="1:5" s="242" customFormat="1" ht="14.25">
      <c r="A36" s="239"/>
      <c r="B36" s="243" t="s">
        <v>242</v>
      </c>
      <c r="C36" s="277"/>
      <c r="D36" s="241"/>
      <c r="E36" s="241"/>
    </row>
    <row r="37" spans="1:5" s="242" customFormat="1" ht="14.25">
      <c r="A37" s="239"/>
      <c r="B37" s="243" t="s">
        <v>239</v>
      </c>
      <c r="C37" s="277"/>
      <c r="D37" s="241"/>
      <c r="E37" s="241"/>
    </row>
    <row r="38" spans="1:5" s="242" customFormat="1" ht="14.25">
      <c r="A38" s="239"/>
      <c r="B38" s="240"/>
      <c r="C38" s="240"/>
      <c r="D38" s="241"/>
      <c r="E38" s="241"/>
    </row>
    <row r="39" spans="1:5" s="242" customFormat="1" ht="14.25">
      <c r="A39" s="239"/>
      <c r="B39" s="250" t="s">
        <v>248</v>
      </c>
      <c r="C39" s="240"/>
      <c r="D39" s="241"/>
      <c r="E39" s="241"/>
    </row>
    <row r="40" spans="1:5" s="242" customFormat="1" ht="14.25">
      <c r="A40" s="239"/>
      <c r="B40" s="243" t="s">
        <v>236</v>
      </c>
      <c r="C40" s="278"/>
      <c r="D40" s="241" t="s">
        <v>3</v>
      </c>
      <c r="E40" s="241"/>
    </row>
    <row r="41" spans="1:5" s="242" customFormat="1" ht="14.25">
      <c r="A41" s="239"/>
      <c r="B41" s="243" t="s">
        <v>237</v>
      </c>
      <c r="C41" s="278"/>
      <c r="D41" s="241" t="s">
        <v>3</v>
      </c>
      <c r="E41" s="241"/>
    </row>
    <row r="42" spans="1:5" s="242" customFormat="1" ht="14.25">
      <c r="A42" s="239"/>
      <c r="B42" s="243" t="s">
        <v>242</v>
      </c>
      <c r="C42" s="278"/>
      <c r="D42" s="241" t="s">
        <v>3</v>
      </c>
      <c r="E42" s="241"/>
    </row>
    <row r="43" spans="1:5" s="242" customFormat="1" ht="14.25">
      <c r="A43" s="239"/>
      <c r="B43" s="243" t="s">
        <v>239</v>
      </c>
      <c r="C43" s="278"/>
      <c r="D43" s="241" t="s">
        <v>3</v>
      </c>
      <c r="E43" s="241"/>
    </row>
    <row r="44" spans="1:5" s="242" customFormat="1" ht="14.25">
      <c r="A44" s="239"/>
      <c r="B44" s="243"/>
      <c r="C44" s="240"/>
      <c r="D44" s="241"/>
      <c r="E44" s="241"/>
    </row>
    <row r="45" spans="1:5" s="242" customFormat="1" ht="14.25">
      <c r="A45" s="239"/>
      <c r="B45" s="240" t="s">
        <v>249</v>
      </c>
      <c r="C45" s="240"/>
      <c r="D45" s="241"/>
      <c r="E45" s="241"/>
    </row>
    <row r="46" spans="1:5" s="242" customFormat="1" ht="14.25">
      <c r="A46" s="239"/>
      <c r="B46" s="243" t="s">
        <v>236</v>
      </c>
      <c r="C46" s="277"/>
      <c r="D46" s="241"/>
      <c r="E46" s="241"/>
    </row>
    <row r="47" spans="1:5" s="242" customFormat="1" ht="14.25">
      <c r="A47" s="239"/>
      <c r="B47" s="243" t="s">
        <v>237</v>
      </c>
      <c r="C47" s="277"/>
      <c r="D47" s="241"/>
      <c r="E47" s="241"/>
    </row>
    <row r="48" spans="1:5" s="242" customFormat="1" ht="14.25">
      <c r="A48" s="239"/>
      <c r="B48" s="243" t="s">
        <v>242</v>
      </c>
      <c r="C48" s="277"/>
      <c r="D48" s="241"/>
      <c r="E48" s="241"/>
    </row>
    <row r="49" spans="1:5" s="242" customFormat="1" ht="14.25">
      <c r="A49" s="239"/>
      <c r="B49" s="243" t="s">
        <v>239</v>
      </c>
      <c r="C49" s="277"/>
      <c r="D49" s="241"/>
      <c r="E49" s="241"/>
    </row>
    <row r="50" spans="1:5" s="242" customFormat="1" ht="14.25">
      <c r="A50" s="239"/>
      <c r="B50" s="243"/>
      <c r="C50" s="240"/>
      <c r="D50" s="241"/>
      <c r="E50" s="241"/>
    </row>
    <row r="51" spans="1:5" s="242" customFormat="1" ht="14.25">
      <c r="A51" s="246" t="s">
        <v>174</v>
      </c>
      <c r="B51" s="247"/>
      <c r="C51" s="247"/>
      <c r="D51" s="248"/>
      <c r="E51" s="248"/>
    </row>
    <row r="52" spans="1:5" s="242" customFormat="1" ht="14.25">
      <c r="A52" s="239"/>
      <c r="B52" s="240"/>
      <c r="C52" s="240"/>
      <c r="D52" s="241"/>
      <c r="E52" s="241"/>
    </row>
    <row r="53" spans="1:5" s="242" customFormat="1" ht="14.25">
      <c r="A53" s="239"/>
      <c r="B53" s="240" t="s">
        <v>178</v>
      </c>
      <c r="C53" s="277"/>
      <c r="D53" s="241"/>
      <c r="E53" s="241"/>
    </row>
    <row r="54" spans="1:5" s="242" customFormat="1" ht="14.25">
      <c r="A54" s="239"/>
      <c r="B54" s="240" t="s">
        <v>188</v>
      </c>
      <c r="C54" s="240"/>
      <c r="D54" s="241"/>
      <c r="E54" s="241"/>
    </row>
    <row r="55" spans="1:5" s="242" customFormat="1" ht="14.25">
      <c r="A55" s="239"/>
      <c r="B55" s="243" t="s">
        <v>175</v>
      </c>
      <c r="C55" s="279"/>
      <c r="D55" s="241" t="s">
        <v>4</v>
      </c>
      <c r="E55" s="241"/>
    </row>
    <row r="56" spans="1:5" s="242" customFormat="1" ht="14.25">
      <c r="A56" s="239"/>
      <c r="B56" s="243" t="s">
        <v>176</v>
      </c>
      <c r="C56" s="279"/>
      <c r="D56" s="241" t="s">
        <v>4</v>
      </c>
      <c r="E56" s="241"/>
    </row>
    <row r="57" spans="1:5" s="242" customFormat="1" ht="14.25">
      <c r="A57" s="239"/>
      <c r="B57" s="243" t="s">
        <v>177</v>
      </c>
      <c r="C57" s="279"/>
      <c r="D57" s="241" t="s">
        <v>4</v>
      </c>
      <c r="E57" s="241"/>
    </row>
    <row r="58" spans="1:5" s="242" customFormat="1" ht="14.25">
      <c r="A58" s="239"/>
      <c r="B58" s="243" t="s">
        <v>179</v>
      </c>
      <c r="C58" s="279"/>
      <c r="D58" s="241" t="s">
        <v>4</v>
      </c>
      <c r="E58" s="241"/>
    </row>
    <row r="59" spans="1:5" s="242" customFormat="1" ht="14.25">
      <c r="A59" s="239"/>
      <c r="B59" s="243" t="s">
        <v>180</v>
      </c>
      <c r="C59" s="279"/>
      <c r="D59" s="241" t="s">
        <v>4</v>
      </c>
      <c r="E59" s="241"/>
    </row>
    <row r="60" spans="1:5" s="242" customFormat="1" ht="14.25">
      <c r="A60" s="239"/>
      <c r="B60" s="243" t="s">
        <v>181</v>
      </c>
      <c r="C60" s="279"/>
      <c r="D60" s="241" t="s">
        <v>4</v>
      </c>
      <c r="E60" s="241"/>
    </row>
    <row r="61" spans="1:5" s="242" customFormat="1" ht="14.25">
      <c r="A61" s="239"/>
      <c r="B61" s="243" t="s">
        <v>182</v>
      </c>
      <c r="C61" s="279"/>
      <c r="D61" s="241" t="s">
        <v>4</v>
      </c>
      <c r="E61" s="241"/>
    </row>
    <row r="62" spans="1:5" s="242" customFormat="1" ht="14.25">
      <c r="A62" s="239"/>
      <c r="B62" s="243" t="s">
        <v>183</v>
      </c>
      <c r="C62" s="279"/>
      <c r="D62" s="241" t="s">
        <v>4</v>
      </c>
      <c r="E62" s="241"/>
    </row>
    <row r="63" spans="1:5" s="242" customFormat="1" ht="14.25">
      <c r="A63" s="239"/>
      <c r="B63" s="243" t="s">
        <v>184</v>
      </c>
      <c r="C63" s="279"/>
      <c r="D63" s="241" t="s">
        <v>4</v>
      </c>
      <c r="E63" s="241"/>
    </row>
    <row r="64" spans="1:5" s="242" customFormat="1" ht="14.25">
      <c r="A64" s="239"/>
      <c r="B64" s="243" t="s">
        <v>185</v>
      </c>
      <c r="C64" s="279"/>
      <c r="D64" s="241" t="s">
        <v>4</v>
      </c>
      <c r="E64" s="241"/>
    </row>
    <row r="65" spans="1:5" s="242" customFormat="1" ht="14.25">
      <c r="A65" s="239"/>
      <c r="B65" s="243" t="s">
        <v>186</v>
      </c>
      <c r="C65" s="279"/>
      <c r="D65" s="241" t="s">
        <v>4</v>
      </c>
      <c r="E65" s="241"/>
    </row>
    <row r="66" spans="1:5" s="242" customFormat="1" ht="14.25">
      <c r="A66" s="239"/>
      <c r="B66" s="243" t="s">
        <v>187</v>
      </c>
      <c r="C66" s="279"/>
      <c r="D66" s="241" t="s">
        <v>4</v>
      </c>
      <c r="E66" s="241"/>
    </row>
    <row r="67" spans="1:5" s="242" customFormat="1" ht="14.25">
      <c r="A67" s="239"/>
      <c r="B67" s="240"/>
      <c r="C67" s="240"/>
      <c r="D67" s="241"/>
      <c r="E67" s="241"/>
    </row>
    <row r="68" spans="1:5" s="242" customFormat="1" ht="14.25">
      <c r="A68" s="239"/>
      <c r="B68" s="240" t="s">
        <v>189</v>
      </c>
      <c r="C68" s="291"/>
      <c r="D68" s="241" t="s">
        <v>5</v>
      </c>
      <c r="E68" s="241"/>
    </row>
    <row r="69" spans="1:5" s="242" customFormat="1" ht="14.25">
      <c r="A69" s="239"/>
      <c r="B69" s="240"/>
      <c r="C69" s="240"/>
      <c r="D69" s="241"/>
      <c r="E69" s="241"/>
    </row>
    <row r="70" spans="1:5" s="242" customFormat="1" ht="14.25">
      <c r="A70" s="239"/>
      <c r="B70" s="240" t="s">
        <v>190</v>
      </c>
      <c r="C70" s="280" t="s">
        <v>167</v>
      </c>
      <c r="D70" s="281" t="s">
        <v>33</v>
      </c>
      <c r="E70" s="281" t="s">
        <v>1</v>
      </c>
    </row>
    <row r="71" spans="1:5" s="242" customFormat="1" ht="14.25">
      <c r="A71" s="239"/>
      <c r="B71" s="240"/>
      <c r="C71" s="292"/>
      <c r="D71" s="282"/>
      <c r="E71" s="283"/>
    </row>
    <row r="72" spans="1:5" s="242" customFormat="1" ht="14.25">
      <c r="A72" s="239"/>
      <c r="B72" s="240"/>
      <c r="C72" s="292"/>
      <c r="D72" s="282"/>
      <c r="E72" s="283"/>
    </row>
    <row r="73" spans="1:5" s="242" customFormat="1" ht="14.25">
      <c r="A73" s="239"/>
      <c r="B73" s="240"/>
      <c r="C73" s="292"/>
      <c r="D73" s="282"/>
      <c r="E73" s="283"/>
    </row>
    <row r="74" spans="1:5" s="242" customFormat="1" ht="14.25">
      <c r="A74" s="239"/>
      <c r="B74" s="240"/>
      <c r="C74" s="292"/>
      <c r="D74" s="282"/>
      <c r="E74" s="283"/>
    </row>
    <row r="75" spans="1:5" s="242" customFormat="1" ht="14.25">
      <c r="A75" s="239"/>
      <c r="B75" s="240"/>
      <c r="C75" s="292"/>
      <c r="D75" s="282"/>
      <c r="E75" s="283"/>
    </row>
    <row r="76" spans="1:5" s="242" customFormat="1" ht="14.25">
      <c r="A76" s="239"/>
      <c r="B76" s="240"/>
      <c r="C76" s="292"/>
      <c r="D76" s="282"/>
      <c r="E76" s="283"/>
    </row>
    <row r="77" spans="1:5" s="242" customFormat="1" ht="14.25">
      <c r="A77" s="239"/>
      <c r="B77" s="240"/>
      <c r="C77" s="292"/>
      <c r="D77" s="282"/>
      <c r="E77" s="283"/>
    </row>
    <row r="78" spans="1:5" s="242" customFormat="1" ht="14.25">
      <c r="A78" s="239"/>
      <c r="B78" s="240"/>
      <c r="C78" s="292"/>
      <c r="D78" s="282"/>
      <c r="E78" s="283"/>
    </row>
    <row r="79" spans="1:5" s="242" customFormat="1" ht="14.25">
      <c r="A79" s="239"/>
      <c r="B79" s="240"/>
      <c r="C79" s="240"/>
      <c r="D79" s="241"/>
      <c r="E79" s="241"/>
    </row>
    <row r="80" spans="1:5" s="242" customFormat="1" ht="14.25">
      <c r="A80" s="239"/>
      <c r="B80" s="240" t="s">
        <v>191</v>
      </c>
      <c r="C80" s="280" t="s">
        <v>167</v>
      </c>
      <c r="D80" s="281" t="s">
        <v>168</v>
      </c>
      <c r="E80" s="281" t="s">
        <v>169</v>
      </c>
    </row>
    <row r="81" spans="1:5" s="242" customFormat="1" ht="14.25">
      <c r="A81" s="239"/>
      <c r="B81" s="240"/>
      <c r="C81" s="292"/>
      <c r="D81" s="282"/>
      <c r="E81" s="282"/>
    </row>
    <row r="82" spans="1:5" s="242" customFormat="1" ht="14.25">
      <c r="A82" s="239"/>
      <c r="B82" s="240"/>
      <c r="C82" s="292"/>
      <c r="D82" s="282"/>
      <c r="E82" s="282"/>
    </row>
    <row r="83" spans="1:5" s="242" customFormat="1" ht="14.25">
      <c r="A83" s="239"/>
      <c r="B83" s="240"/>
      <c r="C83" s="292"/>
      <c r="D83" s="282"/>
      <c r="E83" s="282"/>
    </row>
    <row r="84" spans="1:5" s="242" customFormat="1" ht="14.25">
      <c r="A84" s="239"/>
      <c r="B84" s="240"/>
      <c r="C84" s="292"/>
      <c r="D84" s="282"/>
      <c r="E84" s="282"/>
    </row>
    <row r="85" spans="1:5" s="242" customFormat="1" ht="14.25">
      <c r="A85" s="239"/>
      <c r="B85" s="240"/>
      <c r="C85" s="292"/>
      <c r="D85" s="282"/>
      <c r="E85" s="282"/>
    </row>
    <row r="86" spans="1:5" s="242" customFormat="1" ht="14.25">
      <c r="A86" s="239"/>
      <c r="B86" s="240"/>
      <c r="C86" s="292"/>
      <c r="D86" s="282"/>
      <c r="E86" s="282"/>
    </row>
    <row r="87" spans="1:5" s="242" customFormat="1" ht="14.25">
      <c r="A87" s="239"/>
      <c r="B87" s="240"/>
      <c r="C87" s="292"/>
      <c r="D87" s="282"/>
      <c r="E87" s="282"/>
    </row>
    <row r="88" spans="1:5" s="242" customFormat="1" ht="14.25">
      <c r="A88" s="239"/>
      <c r="B88" s="240"/>
      <c r="C88" s="292"/>
      <c r="D88" s="282"/>
      <c r="E88" s="282"/>
    </row>
    <row r="89" spans="1:5" s="242" customFormat="1" ht="14.25">
      <c r="A89" s="239"/>
      <c r="B89" s="240"/>
      <c r="C89" s="240"/>
      <c r="D89" s="241"/>
      <c r="E89" s="241"/>
    </row>
    <row r="90" spans="1:5" s="242" customFormat="1" ht="14.25">
      <c r="A90" s="246" t="s">
        <v>170</v>
      </c>
      <c r="B90" s="247"/>
      <c r="C90" s="247"/>
      <c r="D90" s="248"/>
      <c r="E90" s="248"/>
    </row>
    <row r="91" spans="1:5" s="242" customFormat="1" ht="14.25">
      <c r="A91" s="239"/>
      <c r="B91" s="240"/>
      <c r="C91" s="240"/>
      <c r="D91" s="241"/>
      <c r="E91" s="241"/>
    </row>
    <row r="92" spans="1:5" s="242" customFormat="1" ht="14.25">
      <c r="A92" s="239"/>
      <c r="B92" s="240" t="s">
        <v>171</v>
      </c>
      <c r="C92" s="278"/>
      <c r="D92" s="241" t="s">
        <v>3</v>
      </c>
      <c r="E92" s="241"/>
    </row>
    <row r="93" spans="1:5" s="242" customFormat="1" ht="14.25">
      <c r="A93" s="240"/>
      <c r="B93" s="240" t="s">
        <v>173</v>
      </c>
      <c r="C93" s="284"/>
      <c r="D93" s="241" t="s">
        <v>112</v>
      </c>
      <c r="E93" s="241"/>
    </row>
    <row r="94" spans="1:5" s="242" customFormat="1" ht="14.25">
      <c r="A94" s="240"/>
      <c r="B94" s="240" t="s">
        <v>172</v>
      </c>
      <c r="C94" s="278"/>
      <c r="D94" s="241" t="s">
        <v>3</v>
      </c>
      <c r="E94" s="241"/>
    </row>
    <row r="95" spans="1:5" s="242" customFormat="1" ht="15" thickBot="1">
      <c r="A95" s="251"/>
      <c r="B95" s="251"/>
      <c r="C95" s="251"/>
      <c r="D95" s="252"/>
      <c r="E95" s="252"/>
    </row>
    <row r="96" spans="4:5" s="242" customFormat="1" ht="14.25">
      <c r="D96" s="253"/>
      <c r="E96" s="253"/>
    </row>
    <row r="97" spans="4:5" s="242" customFormat="1" ht="14.25">
      <c r="D97" s="253"/>
      <c r="E97" s="253"/>
    </row>
    <row r="98" spans="4:5" s="242" customFormat="1" ht="14.25">
      <c r="D98" s="253"/>
      <c r="E98" s="253"/>
    </row>
    <row r="99" spans="4:5" s="242" customFormat="1" ht="14.25">
      <c r="D99" s="253"/>
      <c r="E99" s="253"/>
    </row>
    <row r="100" spans="4:5" s="242" customFormat="1" ht="14.25">
      <c r="D100" s="253"/>
      <c r="E100" s="253"/>
    </row>
    <row r="101" spans="4:5" s="242" customFormat="1" ht="14.25">
      <c r="D101" s="253"/>
      <c r="E101" s="253"/>
    </row>
    <row r="102" spans="4:5" s="242" customFormat="1" ht="14.25">
      <c r="D102" s="253"/>
      <c r="E102" s="253"/>
    </row>
    <row r="103" spans="4:5" s="242" customFormat="1" ht="14.25">
      <c r="D103" s="253"/>
      <c r="E103" s="253"/>
    </row>
    <row r="104" spans="4:5" s="242" customFormat="1" ht="14.25">
      <c r="D104" s="253"/>
      <c r="E104" s="253"/>
    </row>
    <row r="105" spans="4:5" s="242" customFormat="1" ht="14.25">
      <c r="D105" s="253"/>
      <c r="E105" s="253"/>
    </row>
    <row r="106" spans="4:5" s="242" customFormat="1" ht="14.25">
      <c r="D106" s="253"/>
      <c r="E106" s="253"/>
    </row>
    <row r="107" spans="4:5" s="242" customFormat="1" ht="14.25">
      <c r="D107" s="253"/>
      <c r="E107" s="253"/>
    </row>
    <row r="108" spans="4:5" s="242" customFormat="1" ht="14.25">
      <c r="D108" s="253"/>
      <c r="E108" s="253"/>
    </row>
    <row r="109" spans="4:5" s="242" customFormat="1" ht="14.25">
      <c r="D109" s="253"/>
      <c r="E109" s="253"/>
    </row>
    <row r="110" spans="4:5" s="242" customFormat="1" ht="14.25">
      <c r="D110" s="253"/>
      <c r="E110" s="253"/>
    </row>
    <row r="111" spans="4:5" s="242" customFormat="1" ht="14.25">
      <c r="D111" s="253"/>
      <c r="E111" s="253"/>
    </row>
    <row r="112" spans="4:5" s="242" customFormat="1" ht="14.25">
      <c r="D112" s="253"/>
      <c r="E112" s="253"/>
    </row>
    <row r="113" spans="4:5" s="242" customFormat="1" ht="14.25">
      <c r="D113" s="253"/>
      <c r="E113" s="253"/>
    </row>
    <row r="114" spans="4:5" s="242" customFormat="1" ht="14.25">
      <c r="D114" s="253"/>
      <c r="E114" s="253"/>
    </row>
    <row r="115" spans="4:5" s="242" customFormat="1" ht="14.25">
      <c r="D115" s="253"/>
      <c r="E115" s="253"/>
    </row>
    <row r="116" spans="4:5" s="242" customFormat="1" ht="14.25">
      <c r="D116" s="253"/>
      <c r="E116" s="253"/>
    </row>
    <row r="117" spans="4:5" s="242" customFormat="1" ht="14.25">
      <c r="D117" s="253"/>
      <c r="E117" s="253"/>
    </row>
    <row r="118" spans="4:5" s="242" customFormat="1" ht="14.25">
      <c r="D118" s="253"/>
      <c r="E118" s="253"/>
    </row>
    <row r="119" spans="4:5" s="242" customFormat="1" ht="14.25">
      <c r="D119" s="253"/>
      <c r="E119" s="253"/>
    </row>
    <row r="120" spans="4:5" s="242" customFormat="1" ht="14.25">
      <c r="D120" s="253"/>
      <c r="E120" s="253"/>
    </row>
    <row r="121" spans="4:5" s="242" customFormat="1" ht="14.25">
      <c r="D121" s="253"/>
      <c r="E121" s="253"/>
    </row>
    <row r="122" spans="4:5" s="242" customFormat="1" ht="14.25">
      <c r="D122" s="253"/>
      <c r="E122" s="253"/>
    </row>
    <row r="123" spans="4:5" s="242" customFormat="1" ht="14.25">
      <c r="D123" s="253"/>
      <c r="E123" s="253"/>
    </row>
    <row r="124" spans="4:5" s="242" customFormat="1" ht="14.25">
      <c r="D124" s="253"/>
      <c r="E124" s="253"/>
    </row>
    <row r="125" spans="4:5" s="242" customFormat="1" ht="14.25">
      <c r="D125" s="253"/>
      <c r="E125" s="253"/>
    </row>
    <row r="126" spans="4:5" s="242" customFormat="1" ht="14.25">
      <c r="D126" s="253"/>
      <c r="E126" s="253"/>
    </row>
    <row r="127" spans="4:5" s="242" customFormat="1" ht="14.25">
      <c r="D127" s="253"/>
      <c r="E127" s="253"/>
    </row>
    <row r="128" spans="4:5" s="242" customFormat="1" ht="14.25">
      <c r="D128" s="253"/>
      <c r="E128" s="253"/>
    </row>
    <row r="129" spans="4:5" s="242" customFormat="1" ht="14.25">
      <c r="D129" s="253"/>
      <c r="E129" s="253"/>
    </row>
    <row r="130" spans="4:5" s="242" customFormat="1" ht="14.25">
      <c r="D130" s="253"/>
      <c r="E130" s="253"/>
    </row>
    <row r="131" ht="14.25">
      <c r="A131" s="242"/>
    </row>
  </sheetData>
  <sheetProtection password="E9AB" sheet="1"/>
  <mergeCells count="1">
    <mergeCell ref="A1:E1"/>
  </mergeCells>
  <dataValidations count="13">
    <dataValidation type="list" allowBlank="1" showInputMessage="1" showErrorMessage="1" promptTitle="Dung collection method" prompt="Select from the list" errorTitle="Invalid entry" error="Select from the list" sqref="C48">
      <formula1>"Lavagem Confinamento, Retire a ficha celeiro, Recarga do poço, Poço profundo, Celeiro aro, Coletado do pasto"</formula1>
    </dataValidation>
    <dataValidation type="list" allowBlank="1" showInputMessage="1" showErrorMessage="1" prompt="Select from the list" error="invalid entry" sqref="C49">
      <formula1>"Lavagem Confinamento, Retire a ficha celeiro, Recarga do poço, Poço profundo, Celeiro aro, Coletado do pasto"</formula1>
    </dataValidation>
    <dataValidation type="list" allowBlank="1" showInputMessage="1" showErrorMessage="1" prompt="Select from the list" error="Invalid Entry" sqref="C47">
      <formula1>"Esguichar o Estábulo, Raspar o Estábulo, Terreno Esguichado em Espaço Aberto, Terreno Raspado em Espaço Aberto, Pasto"</formula1>
    </dataValidation>
    <dataValidation type="list" allowBlank="1" showInputMessage="1" showErrorMessage="1" sqref="C25">
      <formula1>GeneticsOptions</formula1>
    </dataValidation>
    <dataValidation type="list" allowBlank="1" showInputMessage="1" showErrorMessage="1" prompt="Select from the list." error="Invalid Entry." sqref="C35">
      <formula1>"Lagoa, Líquido/Lodo, Armazenamento, Confinamento, Cercado, Espalhado, Digestor, Queimado para Combustível"</formula1>
    </dataValidation>
    <dataValidation type="list" allowBlank="1" showInputMessage="1" showErrorMessage="1" prompt="Select from the list." error="Invalid Entry." sqref="C24">
      <formula1>"América do Norte, Europa Ocidental, Europa Oriental, Oceania, América Latina, África, Oriente Médio, Ásia, Subcontinente Indiano"</formula1>
    </dataValidation>
    <dataValidation type="list" allowBlank="1" showInputMessage="1" showErrorMessage="1" prompt="Escolha a partir da lista." error="Invalid Entry." sqref="C53">
      <formula1>"SIM, NÃO"</formula1>
    </dataValidation>
    <dataValidation type="list" allowBlank="1" showInputMessage="1" showErrorMessage="1" prompt="Select from the list." error="Invalid Entry." sqref="C37">
      <formula1>"Lagoa, Líquido/Lodo, Armazenamento, Confinamento, Fosso &lt; 1 mês, Fosso &gt; 1 mês, Espalhado Diariamente, Digestor, Outros"</formula1>
    </dataValidation>
    <dataValidation type="list" allowBlank="1" showInputMessage="1" showErrorMessage="1" prompt="Select from the list." error="Invalid Entry." sqref="C22 C23">
      <formula1>"América do Norte, Europa Ocidental, Europa Oriental, Oceania, América Latina, África, Oriente Médio, Ásia, Subcontinente Indiano"</formula1>
    </dataValidation>
    <dataValidation type="list" allowBlank="1" showInputMessage="1" showErrorMessage="1" prompt="Escolha a partir da lista." error="Invalid Entry." sqref="C34">
      <formula1>"Lagoa, Líquido/Lodo, Armazenamento, Confinamento, Cercado, Espalhado, Digestor, Queimado para Combustível"</formula1>
    </dataValidation>
    <dataValidation type="list" allowBlank="1" showInputMessage="1" showErrorMessage="1" prompt="Escolha a partir da lista." error="Invalid Entry." sqref="C21">
      <formula1>"América do Norte, Europa Ocidental, Europa Oriental, Oceania, América Latina, África, Oriente Médio, Ásia, Subcontinente Indiano"</formula1>
    </dataValidation>
    <dataValidation type="list" allowBlank="1" showInputMessage="1" showErrorMessage="1" prompt="Escolha a partir da lista." error="Invalid Entry" sqref="C46">
      <formula1>"Esguichar o Estábulo, Raspar o Estábulo, Terreno Esguichado em Espaço Aberto, Terreno Raspado em Espaço Aberto, Pasto"</formula1>
    </dataValidation>
    <dataValidation type="list" allowBlank="1" showInputMessage="1" showErrorMessage="1" prompt="Select from the list." error="Invalid Entry." sqref="C36">
      <formula1>"Lagoa, Líquido/Lodo, Armazenamento, Confinamento, Fosso &lt; 1 mês, Fosso &gt; 1 mês, Espalhado Diariamente, Digestor, Outros"</formula1>
    </dataValidation>
  </dataValidations>
  <printOptions/>
  <pageMargins left="0.7" right="0.7" top="0.75" bottom="0.75" header="0.3" footer="0.3"/>
  <pageSetup horizontalDpi="300" verticalDpi="300" orientation="landscape" scale="64" r:id="rId2"/>
  <rowBreaks count="1" manualBreakCount="1">
    <brk id="9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20"/>
  <sheetViews>
    <sheetView showGridLines="0" zoomScale="115" zoomScaleNormal="115" workbookViewId="0" topLeftCell="A1">
      <selection activeCell="L126" sqref="L126:T126"/>
    </sheetView>
  </sheetViews>
  <sheetFormatPr defaultColWidth="9.140625" defaultRowHeight="15"/>
  <cols>
    <col min="1" max="1" width="15.28125" style="0" customWidth="1"/>
    <col min="2" max="2" width="40.421875" style="0" bestFit="1" customWidth="1"/>
    <col min="3" max="4" width="12.140625" style="0" customWidth="1"/>
    <col min="5" max="5" width="15.140625" style="0" customWidth="1"/>
    <col min="6" max="6" width="27.28125" style="2" customWidth="1"/>
    <col min="7" max="7" width="32.00390625" style="58" customWidth="1"/>
    <col min="8" max="8" width="20.8515625" style="0" customWidth="1"/>
    <col min="9" max="9" width="9.28125" style="0" customWidth="1"/>
    <col min="10" max="10" width="11.140625" style="0" customWidth="1"/>
    <col min="11" max="11" width="9.421875" style="0" customWidth="1"/>
    <col min="12" max="12" width="8.7109375" style="0" customWidth="1"/>
    <col min="13" max="13" width="14.00390625" style="0" customWidth="1"/>
    <col min="14" max="14" width="8.28125" style="0" customWidth="1"/>
    <col min="19" max="19" width="17.57421875" style="0" customWidth="1"/>
  </cols>
  <sheetData>
    <row r="1" spans="1:7" s="6" customFormat="1" ht="15" thickBot="1">
      <c r="A1" s="18" t="s">
        <v>47</v>
      </c>
      <c r="B1" s="19" t="s">
        <v>46</v>
      </c>
      <c r="C1" s="19" t="s">
        <v>41</v>
      </c>
      <c r="D1" s="19" t="s">
        <v>42</v>
      </c>
      <c r="E1" s="19" t="s">
        <v>43</v>
      </c>
      <c r="F1" s="20" t="s">
        <v>44</v>
      </c>
      <c r="G1" s="110" t="s">
        <v>45</v>
      </c>
    </row>
    <row r="2" spans="1:7" ht="21">
      <c r="A2" s="21" t="s">
        <v>48</v>
      </c>
      <c r="B2" s="22"/>
      <c r="C2" s="22"/>
      <c r="D2" s="22"/>
      <c r="E2" s="22"/>
      <c r="F2" s="23"/>
      <c r="G2" s="111"/>
    </row>
    <row r="3" spans="1:7" ht="15" thickBot="1">
      <c r="A3" s="24" t="s">
        <v>278</v>
      </c>
      <c r="B3" s="13"/>
      <c r="C3" s="13"/>
      <c r="D3" s="11"/>
      <c r="E3" s="11"/>
      <c r="F3" s="14"/>
      <c r="G3" s="112"/>
    </row>
    <row r="4" spans="1:7" ht="14.25">
      <c r="A4" s="9"/>
      <c r="B4" s="35" t="s">
        <v>49</v>
      </c>
      <c r="C4" s="4"/>
      <c r="D4" s="4"/>
      <c r="E4" s="4"/>
      <c r="F4" s="25"/>
      <c r="G4" s="113"/>
    </row>
    <row r="5" spans="1:7" ht="14.25">
      <c r="A5" s="9"/>
      <c r="B5" s="4" t="s">
        <v>50</v>
      </c>
      <c r="C5" s="4"/>
      <c r="D5" s="4">
        <v>0.968</v>
      </c>
      <c r="E5" s="4" t="s">
        <v>22</v>
      </c>
      <c r="F5" s="25"/>
      <c r="G5" s="113"/>
    </row>
    <row r="6" spans="1:7" ht="14.25">
      <c r="A6" s="9"/>
      <c r="B6" s="4" t="s">
        <v>51</v>
      </c>
      <c r="C6" s="4"/>
      <c r="D6" s="4">
        <v>0.968</v>
      </c>
      <c r="E6" s="4" t="s">
        <v>22</v>
      </c>
      <c r="F6" s="25"/>
      <c r="G6" s="113"/>
    </row>
    <row r="7" spans="1:7" ht="14.25">
      <c r="A7" s="9"/>
      <c r="B7" s="4" t="s">
        <v>52</v>
      </c>
      <c r="C7" s="4"/>
      <c r="D7" s="4">
        <v>1.048</v>
      </c>
      <c r="E7" s="4" t="s">
        <v>22</v>
      </c>
      <c r="F7" s="25"/>
      <c r="G7" s="113"/>
    </row>
    <row r="8" spans="1:7" ht="14.25">
      <c r="A8" s="9"/>
      <c r="B8" s="4" t="s">
        <v>55</v>
      </c>
      <c r="C8" s="4"/>
      <c r="D8" s="4">
        <v>1.048</v>
      </c>
      <c r="E8" s="4" t="s">
        <v>22</v>
      </c>
      <c r="F8" s="25"/>
      <c r="G8" s="113"/>
    </row>
    <row r="9" spans="1:7" ht="14.25">
      <c r="A9" s="9"/>
      <c r="B9" s="4" t="s">
        <v>53</v>
      </c>
      <c r="C9" s="4"/>
      <c r="D9" s="4">
        <v>35</v>
      </c>
      <c r="E9" s="4" t="s">
        <v>54</v>
      </c>
      <c r="F9" s="36"/>
      <c r="G9" s="113"/>
    </row>
    <row r="10" spans="1:7" ht="14.25">
      <c r="A10" s="9"/>
      <c r="B10" s="4"/>
      <c r="C10" s="4"/>
      <c r="D10" s="4"/>
      <c r="E10" s="4"/>
      <c r="F10" s="25"/>
      <c r="G10" s="113"/>
    </row>
    <row r="11" spans="1:7" ht="14.25">
      <c r="A11" s="9"/>
      <c r="B11" s="35" t="s">
        <v>56</v>
      </c>
      <c r="C11" s="4"/>
      <c r="D11" s="4"/>
      <c r="E11" s="4"/>
      <c r="F11" s="25"/>
      <c r="G11" s="113"/>
    </row>
    <row r="12" spans="1:7" ht="14.25">
      <c r="A12" s="9"/>
      <c r="B12" s="4" t="s">
        <v>280</v>
      </c>
      <c r="C12" s="4"/>
      <c r="D12" s="4"/>
      <c r="E12" s="4"/>
      <c r="F12" s="25" t="s">
        <v>279</v>
      </c>
      <c r="G12" s="335"/>
    </row>
    <row r="13" spans="1:7" ht="14.25">
      <c r="A13" s="9"/>
      <c r="B13" s="4" t="s">
        <v>282</v>
      </c>
      <c r="C13" s="4"/>
      <c r="D13" s="4"/>
      <c r="E13" s="4"/>
      <c r="F13" s="25" t="s">
        <v>279</v>
      </c>
      <c r="G13" s="335"/>
    </row>
    <row r="14" spans="1:7" ht="14.25">
      <c r="A14" s="9"/>
      <c r="B14" s="4" t="s">
        <v>281</v>
      </c>
      <c r="C14" s="4"/>
      <c r="D14" s="4"/>
      <c r="E14" s="4"/>
      <c r="F14" s="25" t="s">
        <v>279</v>
      </c>
      <c r="G14" s="335"/>
    </row>
    <row r="15" spans="1:7" ht="14.25">
      <c r="A15" s="9"/>
      <c r="B15" s="4"/>
      <c r="C15" s="4"/>
      <c r="D15" s="4"/>
      <c r="E15" s="4"/>
      <c r="F15" s="25"/>
      <c r="G15" s="113"/>
    </row>
    <row r="16" spans="1:7" ht="14.25">
      <c r="A16" s="9"/>
      <c r="B16" s="4" t="s">
        <v>277</v>
      </c>
      <c r="C16" s="4"/>
      <c r="D16" s="4">
        <v>360</v>
      </c>
      <c r="E16" s="4" t="s">
        <v>54</v>
      </c>
      <c r="F16" s="25"/>
      <c r="G16" s="113"/>
    </row>
    <row r="17" spans="1:7" ht="14.25">
      <c r="A17" s="9"/>
      <c r="B17" s="4"/>
      <c r="C17" s="4"/>
      <c r="D17" s="4"/>
      <c r="E17" s="4"/>
      <c r="F17" s="25"/>
      <c r="G17" s="113"/>
    </row>
    <row r="18" spans="1:7" ht="15" thickBot="1">
      <c r="A18" s="26" t="s">
        <v>283</v>
      </c>
      <c r="B18" s="15"/>
      <c r="C18" s="15"/>
      <c r="D18" s="15"/>
      <c r="E18" s="16"/>
      <c r="F18" s="17"/>
      <c r="G18" s="114"/>
    </row>
    <row r="19" spans="1:14" ht="14.25">
      <c r="A19" s="9" t="s">
        <v>7</v>
      </c>
      <c r="B19" s="4" t="s">
        <v>289</v>
      </c>
      <c r="C19" s="4"/>
      <c r="D19" s="4">
        <v>8500</v>
      </c>
      <c r="E19" s="4" t="s">
        <v>8</v>
      </c>
      <c r="F19" s="25"/>
      <c r="G19" s="113"/>
      <c r="H19" s="341"/>
      <c r="I19" s="341"/>
      <c r="J19" s="341"/>
      <c r="K19" s="341"/>
      <c r="L19" s="341"/>
      <c r="M19" s="341"/>
      <c r="N19" s="3"/>
    </row>
    <row r="20" spans="1:14" ht="14.25">
      <c r="A20" s="9" t="s">
        <v>0</v>
      </c>
      <c r="B20" s="4" t="s">
        <v>290</v>
      </c>
      <c r="C20" s="4"/>
      <c r="D20" s="4"/>
      <c r="E20" s="4" t="s">
        <v>96</v>
      </c>
      <c r="F20" s="25" t="s">
        <v>284</v>
      </c>
      <c r="G20" s="113"/>
      <c r="H20" s="4"/>
      <c r="I20" s="4"/>
      <c r="J20" s="4"/>
      <c r="K20" s="4"/>
      <c r="L20" s="4"/>
      <c r="M20" s="4"/>
      <c r="N20" s="3"/>
    </row>
    <row r="21" spans="1:14" ht="14.25">
      <c r="A21" s="9" t="s">
        <v>9</v>
      </c>
      <c r="B21" s="4" t="s">
        <v>292</v>
      </c>
      <c r="C21" s="4"/>
      <c r="D21" s="43">
        <v>0.28</v>
      </c>
      <c r="E21" s="4" t="s">
        <v>3</v>
      </c>
      <c r="F21" s="25"/>
      <c r="G21" s="113"/>
      <c r="H21" s="49"/>
      <c r="I21" s="49"/>
      <c r="J21" s="49"/>
      <c r="K21" s="49"/>
      <c r="L21" s="49"/>
      <c r="M21" s="4"/>
      <c r="N21" s="3"/>
    </row>
    <row r="22" spans="1:14" ht="14.25">
      <c r="A22" s="9"/>
      <c r="B22" s="4" t="s">
        <v>291</v>
      </c>
      <c r="C22" s="4"/>
      <c r="D22" s="43">
        <v>0.94</v>
      </c>
      <c r="E22" s="4" t="s">
        <v>3</v>
      </c>
      <c r="F22" s="36"/>
      <c r="G22" s="113"/>
      <c r="H22" s="49"/>
      <c r="I22" s="49"/>
      <c r="J22" s="49"/>
      <c r="K22" s="49"/>
      <c r="L22" s="49"/>
      <c r="M22" s="4"/>
      <c r="N22" s="3"/>
    </row>
    <row r="23" spans="1:14" ht="14.25">
      <c r="A23" s="9"/>
      <c r="B23" s="4" t="s">
        <v>288</v>
      </c>
      <c r="C23" s="4"/>
      <c r="D23" s="4">
        <v>8</v>
      </c>
      <c r="E23" s="4" t="s">
        <v>285</v>
      </c>
      <c r="F23" s="25"/>
      <c r="G23" s="113"/>
      <c r="H23" s="49"/>
      <c r="I23" s="49"/>
      <c r="J23" s="49"/>
      <c r="K23" s="49"/>
      <c r="L23" s="49"/>
      <c r="M23" s="4"/>
      <c r="N23" s="3"/>
    </row>
    <row r="24" spans="1:14" ht="14.25">
      <c r="A24" s="9"/>
      <c r="B24" s="4" t="s">
        <v>277</v>
      </c>
      <c r="C24" s="4"/>
      <c r="D24" s="4">
        <v>360</v>
      </c>
      <c r="E24" s="4" t="s">
        <v>54</v>
      </c>
      <c r="F24" s="25"/>
      <c r="G24" s="113"/>
      <c r="H24" s="49"/>
      <c r="I24" s="49"/>
      <c r="J24" s="49"/>
      <c r="K24" s="49"/>
      <c r="L24" s="49"/>
      <c r="M24" s="4"/>
      <c r="N24" s="3"/>
    </row>
    <row r="25" spans="1:14" ht="14.25">
      <c r="A25" s="9"/>
      <c r="B25" s="4" t="s">
        <v>287</v>
      </c>
      <c r="C25" s="4"/>
      <c r="D25" s="43">
        <v>0.6</v>
      </c>
      <c r="E25" s="4" t="s">
        <v>3</v>
      </c>
      <c r="F25" s="38"/>
      <c r="G25" s="115"/>
      <c r="H25" s="49"/>
      <c r="I25" s="49"/>
      <c r="J25" s="105"/>
      <c r="K25" s="49"/>
      <c r="L25" s="49"/>
      <c r="M25" s="4"/>
      <c r="N25" s="3"/>
    </row>
    <row r="26" spans="1:14" ht="14.25">
      <c r="A26" s="9"/>
      <c r="B26" s="4" t="s">
        <v>286</v>
      </c>
      <c r="C26" s="4"/>
      <c r="D26" s="4">
        <v>860</v>
      </c>
      <c r="E26" s="4" t="s">
        <v>39</v>
      </c>
      <c r="F26" s="25"/>
      <c r="G26" s="113"/>
      <c r="H26" s="49"/>
      <c r="I26" s="49"/>
      <c r="J26" s="49"/>
      <c r="K26" s="49"/>
      <c r="L26" s="49"/>
      <c r="M26" s="4"/>
      <c r="N26" s="3"/>
    </row>
    <row r="27" spans="1:14" ht="14.25">
      <c r="A27" s="9"/>
      <c r="B27" s="4"/>
      <c r="C27" s="4"/>
      <c r="D27" s="47"/>
      <c r="E27" s="4"/>
      <c r="F27" s="25"/>
      <c r="G27" s="113"/>
      <c r="H27" s="105"/>
      <c r="I27" s="105"/>
      <c r="J27" s="49"/>
      <c r="K27" s="49"/>
      <c r="L27" s="49"/>
      <c r="M27" s="4"/>
      <c r="N27" s="3"/>
    </row>
    <row r="28" spans="1:14" ht="15" thickBot="1">
      <c r="A28" s="26" t="s">
        <v>299</v>
      </c>
      <c r="B28" s="15"/>
      <c r="C28" s="16"/>
      <c r="D28" s="16"/>
      <c r="E28" s="16"/>
      <c r="F28" s="17"/>
      <c r="G28" s="114"/>
      <c r="H28" s="49"/>
      <c r="I28" s="49"/>
      <c r="J28" s="106"/>
      <c r="K28" s="107"/>
      <c r="L28" s="107"/>
      <c r="M28" s="4"/>
      <c r="N28" s="3"/>
    </row>
    <row r="29" spans="1:14" ht="14.25">
      <c r="A29" s="9"/>
      <c r="B29" s="4" t="s">
        <v>303</v>
      </c>
      <c r="C29" s="4"/>
      <c r="D29" s="4"/>
      <c r="E29" s="4" t="s">
        <v>96</v>
      </c>
      <c r="F29" s="25" t="s">
        <v>284</v>
      </c>
      <c r="G29" s="113"/>
      <c r="H29" s="4"/>
      <c r="I29" s="4"/>
      <c r="J29" s="4"/>
      <c r="K29" s="4"/>
      <c r="L29" s="4"/>
      <c r="M29" s="4"/>
      <c r="N29" s="3"/>
    </row>
    <row r="30" spans="1:14" ht="14.25">
      <c r="A30" s="9"/>
      <c r="B30" s="4" t="s">
        <v>302</v>
      </c>
      <c r="C30" s="4"/>
      <c r="D30" s="4"/>
      <c r="E30" s="4" t="s">
        <v>10</v>
      </c>
      <c r="F30" s="25"/>
      <c r="G30" s="113"/>
      <c r="H30" s="342"/>
      <c r="I30" s="342"/>
      <c r="J30" s="342"/>
      <c r="K30" s="342"/>
      <c r="L30" s="342"/>
      <c r="M30" s="342"/>
      <c r="N30" s="3"/>
    </row>
    <row r="31" spans="1:14" ht="14.25">
      <c r="A31" s="9"/>
      <c r="B31" s="4" t="s">
        <v>301</v>
      </c>
      <c r="C31" s="4"/>
      <c r="D31" s="47">
        <v>0.9</v>
      </c>
      <c r="E31" s="4" t="s">
        <v>3</v>
      </c>
      <c r="F31" s="25" t="s">
        <v>300</v>
      </c>
      <c r="G31" s="113"/>
      <c r="H31" s="4"/>
      <c r="I31" s="4"/>
      <c r="J31" s="4"/>
      <c r="K31" s="4"/>
      <c r="L31" s="4"/>
      <c r="M31" s="4"/>
      <c r="N31" s="3"/>
    </row>
    <row r="32" spans="1:14" ht="14.25">
      <c r="A32" s="9"/>
      <c r="B32" s="4" t="s">
        <v>288</v>
      </c>
      <c r="C32" s="4"/>
      <c r="D32" s="4">
        <v>24</v>
      </c>
      <c r="E32" s="4" t="s">
        <v>285</v>
      </c>
      <c r="F32" s="25"/>
      <c r="G32" s="113"/>
      <c r="H32" s="108"/>
      <c r="I32" s="108"/>
      <c r="J32" s="49"/>
      <c r="K32" s="4"/>
      <c r="L32" s="4"/>
      <c r="M32" s="49"/>
      <c r="N32" s="3"/>
    </row>
    <row r="33" spans="1:14" ht="15" thickBot="1">
      <c r="A33" s="54" t="s">
        <v>298</v>
      </c>
      <c r="B33" s="55"/>
      <c r="C33" s="55"/>
      <c r="D33" s="55" t="s">
        <v>16</v>
      </c>
      <c r="E33" s="55"/>
      <c r="F33" s="56"/>
      <c r="G33" s="116"/>
      <c r="H33" s="3"/>
      <c r="I33" s="3"/>
      <c r="J33" s="48"/>
      <c r="K33" s="48"/>
      <c r="L33" s="48"/>
      <c r="M33" s="49"/>
      <c r="N33" s="3"/>
    </row>
    <row r="34" spans="1:14" ht="14.25">
      <c r="A34" s="9"/>
      <c r="B34" s="4"/>
      <c r="C34" s="4"/>
      <c r="D34" s="4"/>
      <c r="E34" s="4"/>
      <c r="F34" s="25"/>
      <c r="G34" s="113"/>
      <c r="H34" s="50"/>
      <c r="I34" s="50"/>
      <c r="J34" s="48"/>
      <c r="K34" s="48"/>
      <c r="L34" s="48"/>
      <c r="M34" s="48"/>
      <c r="N34" s="3"/>
    </row>
    <row r="35" spans="1:14" ht="14.25">
      <c r="A35" s="9"/>
      <c r="B35" s="4" t="s">
        <v>297</v>
      </c>
      <c r="C35" s="4"/>
      <c r="D35" s="4">
        <f>1/1000</f>
        <v>0.001</v>
      </c>
      <c r="E35" s="4" t="s">
        <v>18</v>
      </c>
      <c r="F35" s="25"/>
      <c r="G35" s="113"/>
      <c r="H35" s="50"/>
      <c r="I35" s="50"/>
      <c r="J35" s="48"/>
      <c r="K35" s="48"/>
      <c r="L35" s="48"/>
      <c r="M35" s="48"/>
      <c r="N35" s="3"/>
    </row>
    <row r="36" spans="1:14" ht="14.25">
      <c r="A36" s="9"/>
      <c r="B36" s="4"/>
      <c r="C36" s="4"/>
      <c r="D36" s="4"/>
      <c r="E36" s="4"/>
      <c r="F36" s="25"/>
      <c r="G36" s="113"/>
      <c r="H36" s="51"/>
      <c r="I36" s="51"/>
      <c r="J36" s="48"/>
      <c r="K36" s="48"/>
      <c r="L36" s="48"/>
      <c r="M36" s="48"/>
      <c r="N36" s="3"/>
    </row>
    <row r="37" spans="1:14" ht="15" thickBot="1">
      <c r="A37" s="54" t="s">
        <v>389</v>
      </c>
      <c r="B37" s="55"/>
      <c r="C37" s="55"/>
      <c r="D37" s="55"/>
      <c r="E37" s="55"/>
      <c r="F37" s="56"/>
      <c r="G37" s="116"/>
      <c r="H37" s="51"/>
      <c r="I37" s="51"/>
      <c r="J37" s="48"/>
      <c r="K37" s="48"/>
      <c r="L37" s="48"/>
      <c r="M37" s="48"/>
      <c r="N37" s="3"/>
    </row>
    <row r="38" spans="1:14" ht="14.25">
      <c r="A38" s="9"/>
      <c r="B38" s="4" t="s">
        <v>236</v>
      </c>
      <c r="C38" s="4"/>
      <c r="D38" s="7">
        <f>12/4</f>
        <v>3</v>
      </c>
      <c r="E38" s="4" t="s">
        <v>304</v>
      </c>
      <c r="F38" s="25"/>
      <c r="G38" s="343" t="s">
        <v>17</v>
      </c>
      <c r="H38" s="49"/>
      <c r="I38" s="49"/>
      <c r="J38" s="3"/>
      <c r="K38" s="48"/>
      <c r="L38" s="48"/>
      <c r="M38" s="48"/>
      <c r="N38" s="50"/>
    </row>
    <row r="39" spans="1:14" ht="14.25">
      <c r="A39" s="9"/>
      <c r="B39" s="4" t="s">
        <v>237</v>
      </c>
      <c r="C39" s="4"/>
      <c r="D39" s="7">
        <f>13/3-1</f>
        <v>3.333333333333333</v>
      </c>
      <c r="E39" s="4" t="s">
        <v>304</v>
      </c>
      <c r="F39" s="25"/>
      <c r="G39" s="343"/>
      <c r="H39" s="49"/>
      <c r="I39" s="49"/>
      <c r="J39" s="3"/>
      <c r="K39" s="48"/>
      <c r="L39" s="48"/>
      <c r="M39" s="48"/>
      <c r="N39" s="50"/>
    </row>
    <row r="40" spans="1:7" ht="14.25">
      <c r="A40" s="9"/>
      <c r="B40" s="4" t="s">
        <v>241</v>
      </c>
      <c r="C40" s="4"/>
      <c r="D40" s="7">
        <f>10/3-1</f>
        <v>2.3333333333333335</v>
      </c>
      <c r="E40" s="4" t="s">
        <v>304</v>
      </c>
      <c r="F40" s="25"/>
      <c r="G40" s="343"/>
    </row>
    <row r="41" spans="1:7" ht="14.25">
      <c r="A41" s="9"/>
      <c r="B41" s="4" t="s">
        <v>239</v>
      </c>
      <c r="C41" s="4"/>
      <c r="D41" s="7">
        <f>10/3-1</f>
        <v>2.3333333333333335</v>
      </c>
      <c r="E41" s="4" t="s">
        <v>304</v>
      </c>
      <c r="F41" s="25"/>
      <c r="G41" s="343"/>
    </row>
    <row r="42" spans="1:7" ht="14.25">
      <c r="A42" s="9"/>
      <c r="B42" s="4"/>
      <c r="C42" s="4"/>
      <c r="D42" s="4"/>
      <c r="E42" s="4"/>
      <c r="F42" s="25"/>
      <c r="G42" s="113"/>
    </row>
    <row r="43" spans="1:7" ht="21">
      <c r="A43" s="21" t="s">
        <v>293</v>
      </c>
      <c r="B43" s="27"/>
      <c r="C43" s="28"/>
      <c r="D43" s="28"/>
      <c r="E43" s="28"/>
      <c r="F43" s="29"/>
      <c r="G43" s="117"/>
    </row>
    <row r="44" spans="1:7" ht="15" thickBot="1">
      <c r="A44" s="54" t="s">
        <v>215</v>
      </c>
      <c r="B44" s="16"/>
      <c r="C44" s="16"/>
      <c r="D44" s="16"/>
      <c r="E44" s="16"/>
      <c r="F44" s="17"/>
      <c r="G44" s="114"/>
    </row>
    <row r="45" spans="1:7" ht="14.25">
      <c r="A45" s="9" t="s">
        <v>25</v>
      </c>
      <c r="B45" s="4" t="s">
        <v>294</v>
      </c>
      <c r="C45" s="4"/>
      <c r="D45" s="4">
        <v>22</v>
      </c>
      <c r="E45" s="4" t="s">
        <v>295</v>
      </c>
      <c r="F45" s="25"/>
      <c r="G45" s="113" t="s">
        <v>296</v>
      </c>
    </row>
    <row r="46" spans="1:7" ht="15" thickBot="1">
      <c r="A46" s="54" t="s">
        <v>216</v>
      </c>
      <c r="B46" s="55"/>
      <c r="C46" s="55"/>
      <c r="D46" s="55"/>
      <c r="E46" s="55"/>
      <c r="F46" s="56"/>
      <c r="G46" s="116"/>
    </row>
    <row r="47" spans="1:7" ht="42">
      <c r="A47" s="9" t="s">
        <v>26</v>
      </c>
      <c r="B47" s="4" t="s">
        <v>317</v>
      </c>
      <c r="C47" s="4"/>
      <c r="D47" s="4">
        <v>21</v>
      </c>
      <c r="E47" s="4"/>
      <c r="F47" s="123" t="s">
        <v>217</v>
      </c>
      <c r="G47" s="113"/>
    </row>
    <row r="48" spans="1:7" ht="15" thickBot="1">
      <c r="A48" s="37" t="s">
        <v>30</v>
      </c>
      <c r="B48" s="4" t="s">
        <v>320</v>
      </c>
      <c r="C48" s="4"/>
      <c r="D48" s="4">
        <v>0.94</v>
      </c>
      <c r="E48" s="1"/>
      <c r="F48" s="25"/>
      <c r="G48" s="113"/>
    </row>
    <row r="49" spans="1:20" ht="15">
      <c r="A49" s="9" t="s">
        <v>27</v>
      </c>
      <c r="B49" s="4" t="s">
        <v>316</v>
      </c>
      <c r="C49" s="4"/>
      <c r="D49" s="4">
        <v>0.00067</v>
      </c>
      <c r="E49" s="4" t="s">
        <v>22</v>
      </c>
      <c r="F49" s="25"/>
      <c r="G49" s="113"/>
      <c r="H49" s="346" t="s">
        <v>361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  <c r="S49" s="346"/>
      <c r="T49" s="347"/>
    </row>
    <row r="50" spans="1:20" ht="15" thickBot="1">
      <c r="A50" s="54" t="s">
        <v>322</v>
      </c>
      <c r="B50" s="16"/>
      <c r="C50" s="16"/>
      <c r="D50" s="16"/>
      <c r="E50" s="16"/>
      <c r="F50" s="17"/>
      <c r="G50" s="114"/>
      <c r="H50" s="352" t="s">
        <v>362</v>
      </c>
      <c r="I50" s="352"/>
      <c r="J50" s="352"/>
      <c r="K50" s="352"/>
      <c r="L50" s="352"/>
      <c r="M50" s="352"/>
      <c r="N50" s="352"/>
      <c r="O50" s="352"/>
      <c r="P50" s="352"/>
      <c r="Q50" s="352"/>
      <c r="R50" s="352"/>
      <c r="S50" s="352"/>
      <c r="T50" s="353"/>
    </row>
    <row r="51" spans="1:20" ht="15" thickBot="1">
      <c r="A51" s="9"/>
      <c r="B51" s="4" t="s">
        <v>175</v>
      </c>
      <c r="C51" s="4"/>
      <c r="D51" s="4">
        <v>0.5727</v>
      </c>
      <c r="E51" s="4"/>
      <c r="F51" s="36" t="s">
        <v>218</v>
      </c>
      <c r="G51" s="344" t="s">
        <v>321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</row>
    <row r="52" spans="1:20" ht="14.25">
      <c r="A52" s="9"/>
      <c r="B52" s="4" t="s">
        <v>176</v>
      </c>
      <c r="C52" s="4"/>
      <c r="D52" s="4">
        <v>0.6253</v>
      </c>
      <c r="E52" s="4"/>
      <c r="F52" s="25"/>
      <c r="G52" s="335"/>
      <c r="H52" s="354" t="s">
        <v>364</v>
      </c>
      <c r="I52" s="355"/>
      <c r="J52" s="355"/>
      <c r="K52" s="355"/>
      <c r="L52" s="355"/>
      <c r="M52" s="355"/>
      <c r="N52" s="355"/>
      <c r="O52" s="355"/>
      <c r="P52" s="355"/>
      <c r="Q52" s="355"/>
      <c r="R52" s="355"/>
      <c r="S52" s="355"/>
      <c r="T52" s="356"/>
    </row>
    <row r="53" spans="1:20" ht="14.25">
      <c r="A53" s="9"/>
      <c r="B53" s="4" t="s">
        <v>177</v>
      </c>
      <c r="C53" s="4"/>
      <c r="D53" s="4">
        <v>0.5794</v>
      </c>
      <c r="E53" s="4"/>
      <c r="F53" s="25"/>
      <c r="G53" s="335"/>
      <c r="H53" s="59"/>
      <c r="I53" s="59"/>
      <c r="J53" s="59"/>
      <c r="K53" s="59"/>
      <c r="L53" s="336" t="s">
        <v>21</v>
      </c>
      <c r="M53" s="336"/>
      <c r="N53" s="336"/>
      <c r="O53" s="336"/>
      <c r="P53" s="336"/>
      <c r="Q53" s="336"/>
      <c r="R53" s="336"/>
      <c r="S53" s="336"/>
      <c r="T53" s="337"/>
    </row>
    <row r="54" spans="1:20" ht="21">
      <c r="A54" s="9"/>
      <c r="B54" s="4" t="s">
        <v>179</v>
      </c>
      <c r="C54" s="4"/>
      <c r="D54" s="4">
        <v>0.4529</v>
      </c>
      <c r="E54" s="4"/>
      <c r="F54" s="25"/>
      <c r="G54" s="335"/>
      <c r="H54" s="338" t="s">
        <v>363</v>
      </c>
      <c r="I54" s="338"/>
      <c r="J54" s="338"/>
      <c r="K54" s="338"/>
      <c r="L54" s="60" t="s">
        <v>381</v>
      </c>
      <c r="M54" s="60" t="s">
        <v>382</v>
      </c>
      <c r="N54" s="60" t="s">
        <v>383</v>
      </c>
      <c r="O54" s="60" t="s">
        <v>384</v>
      </c>
      <c r="P54" s="60" t="s">
        <v>385</v>
      </c>
      <c r="Q54" s="60" t="s">
        <v>386</v>
      </c>
      <c r="R54" s="60" t="s">
        <v>387</v>
      </c>
      <c r="S54" s="61" t="s">
        <v>388</v>
      </c>
      <c r="T54" s="62" t="s">
        <v>365</v>
      </c>
    </row>
    <row r="55" spans="1:20" ht="14.25">
      <c r="A55" s="9"/>
      <c r="B55" s="4" t="s">
        <v>180</v>
      </c>
      <c r="C55" s="4"/>
      <c r="D55" s="4">
        <v>0.4579</v>
      </c>
      <c r="E55" s="4"/>
      <c r="F55" s="25"/>
      <c r="G55" s="335"/>
      <c r="H55" s="63"/>
      <c r="I55" s="63"/>
      <c r="J55" s="63"/>
      <c r="K55" s="63"/>
      <c r="L55" s="64">
        <v>4</v>
      </c>
      <c r="M55" s="64">
        <f>L55+1</f>
        <v>5</v>
      </c>
      <c r="N55" s="64">
        <f aca="true" t="shared" si="0" ref="N55:T55">M55+1</f>
        <v>6</v>
      </c>
      <c r="O55" s="64">
        <f t="shared" si="0"/>
        <v>7</v>
      </c>
      <c r="P55" s="64">
        <f t="shared" si="0"/>
        <v>8</v>
      </c>
      <c r="Q55" s="64">
        <f t="shared" si="0"/>
        <v>9</v>
      </c>
      <c r="R55" s="64">
        <f t="shared" si="0"/>
        <v>10</v>
      </c>
      <c r="S55" s="64">
        <f t="shared" si="0"/>
        <v>11</v>
      </c>
      <c r="T55" s="65">
        <f t="shared" si="0"/>
        <v>12</v>
      </c>
    </row>
    <row r="56" spans="1:20" ht="14.25">
      <c r="A56" s="9"/>
      <c r="B56" s="4" t="s">
        <v>181</v>
      </c>
      <c r="C56" s="4"/>
      <c r="D56" s="4">
        <v>0.518</v>
      </c>
      <c r="E56" s="4"/>
      <c r="F56" s="25"/>
      <c r="G56" s="335"/>
      <c r="H56" s="66" t="s">
        <v>308</v>
      </c>
      <c r="I56" s="67">
        <v>10</v>
      </c>
      <c r="J56" s="67"/>
      <c r="K56" s="67"/>
      <c r="L56" s="68">
        <v>0.66</v>
      </c>
      <c r="M56" s="68">
        <v>0.17</v>
      </c>
      <c r="N56" s="69">
        <v>0.02</v>
      </c>
      <c r="O56" s="69">
        <v>0.01</v>
      </c>
      <c r="P56" s="69">
        <v>0.01</v>
      </c>
      <c r="Q56" s="69">
        <v>0.001</v>
      </c>
      <c r="R56" s="69">
        <v>0.1</v>
      </c>
      <c r="S56" s="69">
        <v>0.1</v>
      </c>
      <c r="T56" s="70">
        <v>0.01</v>
      </c>
    </row>
    <row r="57" spans="1:20" ht="14.25">
      <c r="A57" s="9"/>
      <c r="B57" s="4" t="s">
        <v>182</v>
      </c>
      <c r="C57" s="4"/>
      <c r="D57" s="4">
        <v>0.4369</v>
      </c>
      <c r="E57" s="4"/>
      <c r="F57" s="25"/>
      <c r="G57" s="335"/>
      <c r="H57" s="71"/>
      <c r="I57" s="72">
        <v>11</v>
      </c>
      <c r="J57" s="72"/>
      <c r="K57" s="72"/>
      <c r="L57" s="73">
        <v>0.68</v>
      </c>
      <c r="M57" s="73">
        <v>0.19</v>
      </c>
      <c r="N57" s="74">
        <v>0.02</v>
      </c>
      <c r="O57" s="74">
        <v>0.01</v>
      </c>
      <c r="P57" s="74">
        <v>0.01</v>
      </c>
      <c r="Q57" s="74">
        <v>0.001</v>
      </c>
      <c r="R57" s="74">
        <v>0.1</v>
      </c>
      <c r="S57" s="74">
        <v>0.1</v>
      </c>
      <c r="T57" s="75">
        <v>0.01</v>
      </c>
    </row>
    <row r="58" spans="1:20" ht="14.25">
      <c r="A58" s="9"/>
      <c r="B58" s="4" t="s">
        <v>183</v>
      </c>
      <c r="C58" s="4"/>
      <c r="D58" s="4">
        <v>0.4258</v>
      </c>
      <c r="E58" s="4"/>
      <c r="F58" s="25"/>
      <c r="G58" s="335"/>
      <c r="H58" s="71"/>
      <c r="I58" s="72">
        <v>12</v>
      </c>
      <c r="J58" s="72"/>
      <c r="K58" s="72"/>
      <c r="L58" s="73">
        <v>0.7</v>
      </c>
      <c r="M58" s="73">
        <v>0.2</v>
      </c>
      <c r="N58" s="74">
        <v>0.02</v>
      </c>
      <c r="O58" s="74">
        <v>0.01</v>
      </c>
      <c r="P58" s="74">
        <v>0.01</v>
      </c>
      <c r="Q58" s="74">
        <v>0.001</v>
      </c>
      <c r="R58" s="74">
        <v>0.1</v>
      </c>
      <c r="S58" s="74">
        <v>0.1</v>
      </c>
      <c r="T58" s="75">
        <v>0.01</v>
      </c>
    </row>
    <row r="59" spans="1:20" ht="14.25">
      <c r="A59" s="9"/>
      <c r="B59" s="4" t="s">
        <v>184</v>
      </c>
      <c r="C59" s="4"/>
      <c r="D59" s="4">
        <v>0.4102</v>
      </c>
      <c r="E59" s="4"/>
      <c r="F59" s="25"/>
      <c r="G59" s="335"/>
      <c r="H59" s="71"/>
      <c r="I59" s="72">
        <v>13</v>
      </c>
      <c r="J59" s="72"/>
      <c r="K59" s="72"/>
      <c r="L59" s="73">
        <v>0.71</v>
      </c>
      <c r="M59" s="73">
        <v>0.22</v>
      </c>
      <c r="N59" s="74">
        <v>0.02</v>
      </c>
      <c r="O59" s="74">
        <v>0.01</v>
      </c>
      <c r="P59" s="74">
        <v>0.01</v>
      </c>
      <c r="Q59" s="74">
        <v>0.001</v>
      </c>
      <c r="R59" s="74">
        <v>0.1</v>
      </c>
      <c r="S59" s="74">
        <v>0.1</v>
      </c>
      <c r="T59" s="75">
        <v>0.01</v>
      </c>
    </row>
    <row r="60" spans="1:20" ht="14.25">
      <c r="A60" s="9"/>
      <c r="B60" s="4" t="s">
        <v>185</v>
      </c>
      <c r="C60" s="4"/>
      <c r="D60" s="4">
        <v>0.4369</v>
      </c>
      <c r="E60" s="4"/>
      <c r="F60" s="25"/>
      <c r="G60" s="335"/>
      <c r="H60" s="71"/>
      <c r="I60" s="72">
        <v>14</v>
      </c>
      <c r="J60" s="72"/>
      <c r="K60" s="72"/>
      <c r="L60" s="73">
        <v>0.73</v>
      </c>
      <c r="M60" s="73">
        <v>0.25</v>
      </c>
      <c r="N60" s="74">
        <v>0.02</v>
      </c>
      <c r="O60" s="74">
        <v>0.01</v>
      </c>
      <c r="P60" s="74">
        <v>0.01</v>
      </c>
      <c r="Q60" s="74">
        <v>0.001</v>
      </c>
      <c r="R60" s="74">
        <v>0.1</v>
      </c>
      <c r="S60" s="74">
        <v>0.1</v>
      </c>
      <c r="T60" s="75">
        <v>0.01</v>
      </c>
    </row>
    <row r="61" spans="1:20" ht="14.25">
      <c r="A61" s="9"/>
      <c r="B61" s="4" t="s">
        <v>186</v>
      </c>
      <c r="C61" s="4"/>
      <c r="D61" s="4">
        <v>0.3343</v>
      </c>
      <c r="E61" s="4"/>
      <c r="F61" s="25"/>
      <c r="G61" s="335"/>
      <c r="H61" s="66" t="s">
        <v>306</v>
      </c>
      <c r="I61" s="67">
        <v>15</v>
      </c>
      <c r="J61" s="67"/>
      <c r="K61" s="67"/>
      <c r="L61" s="68">
        <v>0.74</v>
      </c>
      <c r="M61" s="68">
        <v>0.27</v>
      </c>
      <c r="N61" s="69">
        <v>0.04</v>
      </c>
      <c r="O61" s="69">
        <v>0.015</v>
      </c>
      <c r="P61" s="69">
        <v>0.015</v>
      </c>
      <c r="Q61" s="69">
        <v>0.005</v>
      </c>
      <c r="R61" s="69">
        <v>0.1</v>
      </c>
      <c r="S61" s="69">
        <v>0.1</v>
      </c>
      <c r="T61" s="70">
        <v>0.01</v>
      </c>
    </row>
    <row r="62" spans="1:20" ht="14.25">
      <c r="A62" s="9"/>
      <c r="B62" s="4" t="s">
        <v>187</v>
      </c>
      <c r="C62" s="4"/>
      <c r="D62" s="4">
        <v>0.4686</v>
      </c>
      <c r="E62" s="4"/>
      <c r="F62" s="25"/>
      <c r="G62" s="345"/>
      <c r="H62" s="71"/>
      <c r="I62" s="72">
        <v>16</v>
      </c>
      <c r="J62" s="72"/>
      <c r="K62" s="72"/>
      <c r="L62" s="73">
        <v>0.75</v>
      </c>
      <c r="M62" s="73">
        <v>0.29</v>
      </c>
      <c r="N62" s="74">
        <v>0.04</v>
      </c>
      <c r="O62" s="74">
        <v>0.015</v>
      </c>
      <c r="P62" s="74">
        <v>0.015</v>
      </c>
      <c r="Q62" s="74">
        <v>0.005</v>
      </c>
      <c r="R62" s="74">
        <v>0.1</v>
      </c>
      <c r="S62" s="74">
        <v>0.1</v>
      </c>
      <c r="T62" s="75">
        <v>0.01</v>
      </c>
    </row>
    <row r="63" spans="1:20" ht="15" thickBot="1">
      <c r="A63" s="54" t="s">
        <v>319</v>
      </c>
      <c r="B63" s="55"/>
      <c r="C63" s="55"/>
      <c r="D63" s="55"/>
      <c r="E63" s="55"/>
      <c r="F63" s="56"/>
      <c r="G63" s="116"/>
      <c r="H63" s="71"/>
      <c r="I63" s="72">
        <v>17</v>
      </c>
      <c r="J63" s="72"/>
      <c r="K63" s="72"/>
      <c r="L63" s="73">
        <v>0.76</v>
      </c>
      <c r="M63" s="73">
        <v>0.32</v>
      </c>
      <c r="N63" s="74">
        <v>0.04</v>
      </c>
      <c r="O63" s="74">
        <v>0.015</v>
      </c>
      <c r="P63" s="74">
        <v>0.015</v>
      </c>
      <c r="Q63" s="74">
        <v>0.005</v>
      </c>
      <c r="R63" s="74">
        <v>0.1</v>
      </c>
      <c r="S63" s="74">
        <v>0.1</v>
      </c>
      <c r="T63" s="75">
        <v>0.01</v>
      </c>
    </row>
    <row r="64" spans="1:20" ht="14.25">
      <c r="A64" s="9"/>
      <c r="B64" s="4" t="s">
        <v>175</v>
      </c>
      <c r="C64" s="4"/>
      <c r="D64" s="4">
        <v>31</v>
      </c>
      <c r="E64" s="4"/>
      <c r="F64" s="25"/>
      <c r="G64" s="113"/>
      <c r="H64" s="71"/>
      <c r="I64" s="72">
        <v>18</v>
      </c>
      <c r="J64" s="72"/>
      <c r="K64" s="72"/>
      <c r="L64" s="73">
        <v>0.77</v>
      </c>
      <c r="M64" s="73">
        <v>0.35</v>
      </c>
      <c r="N64" s="74">
        <v>0.04</v>
      </c>
      <c r="O64" s="74">
        <v>0.015</v>
      </c>
      <c r="P64" s="74">
        <v>0.015</v>
      </c>
      <c r="Q64" s="74">
        <v>0.005</v>
      </c>
      <c r="R64" s="74">
        <v>0.1</v>
      </c>
      <c r="S64" s="74">
        <v>0.1</v>
      </c>
      <c r="T64" s="75">
        <v>0.01</v>
      </c>
    </row>
    <row r="65" spans="1:20" ht="14.25">
      <c r="A65" s="9"/>
      <c r="B65" s="4" t="s">
        <v>176</v>
      </c>
      <c r="C65" s="4"/>
      <c r="D65" s="4">
        <v>29</v>
      </c>
      <c r="E65" s="4"/>
      <c r="F65" s="36" t="s">
        <v>318</v>
      </c>
      <c r="G65" s="113"/>
      <c r="H65" s="71"/>
      <c r="I65" s="72">
        <v>19</v>
      </c>
      <c r="J65" s="72"/>
      <c r="K65" s="72"/>
      <c r="L65" s="73">
        <v>0.77</v>
      </c>
      <c r="M65" s="73">
        <v>0.39</v>
      </c>
      <c r="N65" s="74">
        <v>0.04</v>
      </c>
      <c r="O65" s="74">
        <v>0.015</v>
      </c>
      <c r="P65" s="74">
        <v>0.015</v>
      </c>
      <c r="Q65" s="74">
        <v>0.005</v>
      </c>
      <c r="R65" s="74">
        <v>0.1</v>
      </c>
      <c r="S65" s="74">
        <v>0.1</v>
      </c>
      <c r="T65" s="75">
        <v>0.01</v>
      </c>
    </row>
    <row r="66" spans="1:20" ht="14.25">
      <c r="A66" s="9"/>
      <c r="B66" s="4" t="s">
        <v>177</v>
      </c>
      <c r="C66" s="4"/>
      <c r="D66" s="4">
        <v>31</v>
      </c>
      <c r="E66" s="4"/>
      <c r="F66" s="25"/>
      <c r="G66" s="113"/>
      <c r="H66" s="71"/>
      <c r="I66" s="72">
        <v>20</v>
      </c>
      <c r="J66" s="72"/>
      <c r="K66" s="72"/>
      <c r="L66" s="73">
        <v>0.78</v>
      </c>
      <c r="M66" s="73">
        <v>0.42</v>
      </c>
      <c r="N66" s="74">
        <v>0.04</v>
      </c>
      <c r="O66" s="74">
        <v>0.015</v>
      </c>
      <c r="P66" s="74">
        <v>0.015</v>
      </c>
      <c r="Q66" s="74">
        <v>0.005</v>
      </c>
      <c r="R66" s="74">
        <v>0.1</v>
      </c>
      <c r="S66" s="74">
        <v>0.1</v>
      </c>
      <c r="T66" s="75">
        <v>0.01</v>
      </c>
    </row>
    <row r="67" spans="1:20" ht="14.25">
      <c r="A67" s="9"/>
      <c r="B67" s="4" t="s">
        <v>179</v>
      </c>
      <c r="C67" s="4"/>
      <c r="D67" s="4">
        <v>30</v>
      </c>
      <c r="E67" s="4"/>
      <c r="F67" s="25"/>
      <c r="G67" s="113"/>
      <c r="H67" s="71"/>
      <c r="I67" s="72">
        <v>21</v>
      </c>
      <c r="J67" s="72"/>
      <c r="K67" s="72"/>
      <c r="L67" s="73">
        <v>0.78</v>
      </c>
      <c r="M67" s="73">
        <v>0.46</v>
      </c>
      <c r="N67" s="74">
        <v>0.04</v>
      </c>
      <c r="O67" s="74">
        <v>0.015</v>
      </c>
      <c r="P67" s="74">
        <v>0.015</v>
      </c>
      <c r="Q67" s="74">
        <v>0.005</v>
      </c>
      <c r="R67" s="74">
        <v>0.1</v>
      </c>
      <c r="S67" s="74">
        <v>0.1</v>
      </c>
      <c r="T67" s="75">
        <v>0.01</v>
      </c>
    </row>
    <row r="68" spans="1:20" ht="14.25">
      <c r="A68" s="9"/>
      <c r="B68" s="4" t="s">
        <v>180</v>
      </c>
      <c r="C68" s="4"/>
      <c r="D68" s="4">
        <v>31</v>
      </c>
      <c r="E68" s="4"/>
      <c r="F68" s="25"/>
      <c r="G68" s="113"/>
      <c r="H68" s="71"/>
      <c r="I68" s="72">
        <v>22</v>
      </c>
      <c r="J68" s="72"/>
      <c r="K68" s="72"/>
      <c r="L68" s="73">
        <v>0.78</v>
      </c>
      <c r="M68" s="73">
        <v>0.5</v>
      </c>
      <c r="N68" s="74">
        <v>0.04</v>
      </c>
      <c r="O68" s="74">
        <v>0.015</v>
      </c>
      <c r="P68" s="74">
        <v>0.015</v>
      </c>
      <c r="Q68" s="74">
        <v>0.005</v>
      </c>
      <c r="R68" s="74">
        <v>0.1</v>
      </c>
      <c r="S68" s="74">
        <v>0.1</v>
      </c>
      <c r="T68" s="75">
        <v>0.01</v>
      </c>
    </row>
    <row r="69" spans="1:20" ht="14.25">
      <c r="A69" s="9"/>
      <c r="B69" s="4" t="s">
        <v>181</v>
      </c>
      <c r="C69" s="4"/>
      <c r="D69" s="4">
        <v>30</v>
      </c>
      <c r="E69" s="4"/>
      <c r="F69" s="25"/>
      <c r="G69" s="113"/>
      <c r="H69" s="71"/>
      <c r="I69" s="72">
        <v>23</v>
      </c>
      <c r="J69" s="72"/>
      <c r="K69" s="72"/>
      <c r="L69" s="73">
        <v>0.79</v>
      </c>
      <c r="M69" s="73">
        <v>0.55</v>
      </c>
      <c r="N69" s="74">
        <v>0.04</v>
      </c>
      <c r="O69" s="74">
        <v>0.015</v>
      </c>
      <c r="P69" s="74">
        <v>0.015</v>
      </c>
      <c r="Q69" s="74">
        <v>0.005</v>
      </c>
      <c r="R69" s="74">
        <v>0.1</v>
      </c>
      <c r="S69" s="74">
        <v>0.1</v>
      </c>
      <c r="T69" s="75">
        <v>0.01</v>
      </c>
    </row>
    <row r="70" spans="1:20" ht="14.25">
      <c r="A70" s="9"/>
      <c r="B70" s="4" t="s">
        <v>182</v>
      </c>
      <c r="C70" s="4"/>
      <c r="D70" s="4">
        <v>31</v>
      </c>
      <c r="E70" s="4"/>
      <c r="F70" s="25"/>
      <c r="G70" s="113"/>
      <c r="H70" s="71"/>
      <c r="I70" s="72">
        <v>24</v>
      </c>
      <c r="J70" s="72"/>
      <c r="K70" s="72"/>
      <c r="L70" s="73">
        <v>0.79</v>
      </c>
      <c r="M70" s="73">
        <v>0.6</v>
      </c>
      <c r="N70" s="74">
        <v>0.04</v>
      </c>
      <c r="O70" s="74">
        <v>0.015</v>
      </c>
      <c r="P70" s="74">
        <v>0.015</v>
      </c>
      <c r="Q70" s="74">
        <v>0.005</v>
      </c>
      <c r="R70" s="74">
        <v>0.1</v>
      </c>
      <c r="S70" s="74">
        <v>0.1</v>
      </c>
      <c r="T70" s="75">
        <v>0.01</v>
      </c>
    </row>
    <row r="71" spans="1:20" ht="14.25">
      <c r="A71" s="9"/>
      <c r="B71" s="4" t="s">
        <v>183</v>
      </c>
      <c r="C71" s="4"/>
      <c r="D71" s="4">
        <v>31</v>
      </c>
      <c r="E71" s="4"/>
      <c r="F71" s="25"/>
      <c r="G71" s="113"/>
      <c r="H71" s="71"/>
      <c r="I71" s="72">
        <v>25</v>
      </c>
      <c r="J71" s="72"/>
      <c r="K71" s="72"/>
      <c r="L71" s="73">
        <v>0.79</v>
      </c>
      <c r="M71" s="73">
        <v>0.65</v>
      </c>
      <c r="N71" s="74">
        <v>0.04</v>
      </c>
      <c r="O71" s="74">
        <v>0.015</v>
      </c>
      <c r="P71" s="74">
        <v>0.015</v>
      </c>
      <c r="Q71" s="74">
        <v>0.005</v>
      </c>
      <c r="R71" s="74">
        <v>0.1</v>
      </c>
      <c r="S71" s="74">
        <v>0.1</v>
      </c>
      <c r="T71" s="75">
        <v>0.01</v>
      </c>
    </row>
    <row r="72" spans="1:20" ht="14.25">
      <c r="A72" s="9"/>
      <c r="B72" s="4" t="s">
        <v>184</v>
      </c>
      <c r="C72" s="4"/>
      <c r="D72" s="4">
        <v>30</v>
      </c>
      <c r="E72" s="4"/>
      <c r="F72" s="25"/>
      <c r="G72" s="113"/>
      <c r="H72" s="66" t="s">
        <v>307</v>
      </c>
      <c r="I72" s="67">
        <v>26</v>
      </c>
      <c r="J72" s="67"/>
      <c r="K72" s="67"/>
      <c r="L72" s="68">
        <v>0.79</v>
      </c>
      <c r="M72" s="68">
        <v>0.71</v>
      </c>
      <c r="N72" s="69">
        <v>0.05</v>
      </c>
      <c r="O72" s="69">
        <v>0.02</v>
      </c>
      <c r="P72" s="69">
        <v>0.02</v>
      </c>
      <c r="Q72" s="69">
        <v>0.01</v>
      </c>
      <c r="R72" s="69">
        <v>0.1</v>
      </c>
      <c r="S72" s="69">
        <v>0.1</v>
      </c>
      <c r="T72" s="70">
        <v>0.01</v>
      </c>
    </row>
    <row r="73" spans="1:20" ht="14.25">
      <c r="A73" s="9"/>
      <c r="B73" s="4" t="s">
        <v>185</v>
      </c>
      <c r="C73" s="4"/>
      <c r="D73" s="4">
        <v>31</v>
      </c>
      <c r="E73" s="4"/>
      <c r="F73" s="25"/>
      <c r="G73" s="113"/>
      <c r="H73" s="71"/>
      <c r="I73" s="72">
        <v>27</v>
      </c>
      <c r="J73" s="72"/>
      <c r="K73" s="72"/>
      <c r="L73" s="73">
        <v>0.8</v>
      </c>
      <c r="M73" s="73">
        <v>0.78</v>
      </c>
      <c r="N73" s="74">
        <v>0.05</v>
      </c>
      <c r="O73" s="74">
        <v>0.02</v>
      </c>
      <c r="P73" s="74">
        <v>0.02</v>
      </c>
      <c r="Q73" s="74">
        <v>0.01</v>
      </c>
      <c r="R73" s="74">
        <v>0.1</v>
      </c>
      <c r="S73" s="74">
        <v>0.1</v>
      </c>
      <c r="T73" s="75">
        <v>0.01</v>
      </c>
    </row>
    <row r="74" spans="1:20" ht="15" customHeight="1">
      <c r="A74" s="9"/>
      <c r="B74" s="4" t="s">
        <v>186</v>
      </c>
      <c r="C74" s="4"/>
      <c r="D74" s="4">
        <v>30</v>
      </c>
      <c r="E74" s="4"/>
      <c r="F74" s="25"/>
      <c r="G74" s="113"/>
      <c r="H74" s="76"/>
      <c r="I74" s="77">
        <v>28</v>
      </c>
      <c r="J74" s="77"/>
      <c r="K74" s="77"/>
      <c r="L74" s="78">
        <v>0.8</v>
      </c>
      <c r="M74" s="78">
        <v>0.8</v>
      </c>
      <c r="N74" s="79">
        <v>0.05</v>
      </c>
      <c r="O74" s="79">
        <v>0.02</v>
      </c>
      <c r="P74" s="79">
        <v>0.02</v>
      </c>
      <c r="Q74" s="79">
        <v>0.01</v>
      </c>
      <c r="R74" s="79">
        <v>0.1</v>
      </c>
      <c r="S74" s="79">
        <v>0.1</v>
      </c>
      <c r="T74" s="80">
        <v>0.01</v>
      </c>
    </row>
    <row r="75" spans="1:20" ht="14.25">
      <c r="A75" s="9"/>
      <c r="B75" s="4" t="s">
        <v>187</v>
      </c>
      <c r="C75" s="4"/>
      <c r="D75" s="4">
        <v>31</v>
      </c>
      <c r="E75" s="4"/>
      <c r="F75" s="25"/>
      <c r="G75" s="113"/>
      <c r="H75" s="81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3"/>
    </row>
    <row r="76" spans="1:20" ht="14.25">
      <c r="A76" s="9"/>
      <c r="B76" s="4"/>
      <c r="C76" s="4"/>
      <c r="D76" s="4"/>
      <c r="E76" s="4"/>
      <c r="F76" s="25"/>
      <c r="G76" s="113"/>
      <c r="H76" s="84" t="s">
        <v>163</v>
      </c>
      <c r="I76" s="336" t="s">
        <v>367</v>
      </c>
      <c r="J76" s="336"/>
      <c r="K76" s="336"/>
      <c r="L76" s="339" t="s">
        <v>366</v>
      </c>
      <c r="M76" s="339"/>
      <c r="N76" s="339"/>
      <c r="O76" s="339"/>
      <c r="P76" s="339"/>
      <c r="Q76" s="339"/>
      <c r="R76" s="339"/>
      <c r="S76" s="339"/>
      <c r="T76" s="340"/>
    </row>
    <row r="77" spans="1:20" ht="15" thickBot="1">
      <c r="A77" s="54" t="s">
        <v>335</v>
      </c>
      <c r="B77" s="55"/>
      <c r="C77" s="16"/>
      <c r="D77" s="16"/>
      <c r="E77" s="16"/>
      <c r="F77" s="17"/>
      <c r="G77" s="114"/>
      <c r="H77" s="85"/>
      <c r="I77" s="64" t="s">
        <v>164</v>
      </c>
      <c r="J77" s="64" t="s">
        <v>19</v>
      </c>
      <c r="K77" s="64" t="s">
        <v>264</v>
      </c>
      <c r="L77" s="86"/>
      <c r="M77" s="86"/>
      <c r="N77" s="86"/>
      <c r="O77" s="86"/>
      <c r="P77" s="86"/>
      <c r="Q77" s="86"/>
      <c r="R77" s="86"/>
      <c r="S77" s="86"/>
      <c r="T77" s="87"/>
    </row>
    <row r="78" spans="1:20" ht="30" customHeight="1">
      <c r="A78" s="9"/>
      <c r="B78" s="127" t="s">
        <v>348</v>
      </c>
      <c r="C78" s="4"/>
      <c r="D78" s="47">
        <v>0.5</v>
      </c>
      <c r="E78" s="4"/>
      <c r="F78" s="357" t="s">
        <v>337</v>
      </c>
      <c r="G78" s="113"/>
      <c r="H78" s="88" t="s">
        <v>393</v>
      </c>
      <c r="I78" s="89">
        <v>604</v>
      </c>
      <c r="J78" s="89">
        <v>0.24</v>
      </c>
      <c r="K78" s="89">
        <v>5.4</v>
      </c>
      <c r="L78" s="69">
        <v>0.15</v>
      </c>
      <c r="M78" s="69">
        <v>0.27</v>
      </c>
      <c r="N78" s="69">
        <v>0.263</v>
      </c>
      <c r="O78" s="69">
        <v>0</v>
      </c>
      <c r="P78" s="69">
        <v>0.108</v>
      </c>
      <c r="Q78" s="69">
        <v>0.184</v>
      </c>
      <c r="R78" s="69">
        <v>0</v>
      </c>
      <c r="S78" s="69">
        <v>0</v>
      </c>
      <c r="T78" s="70">
        <v>0.026</v>
      </c>
    </row>
    <row r="79" spans="1:20" ht="28.5">
      <c r="A79" s="9"/>
      <c r="B79" s="127" t="s">
        <v>349</v>
      </c>
      <c r="C79" s="1"/>
      <c r="D79" s="132">
        <v>0.25</v>
      </c>
      <c r="E79" s="1"/>
      <c r="F79" s="358"/>
      <c r="G79" s="118"/>
      <c r="H79" s="90" t="s">
        <v>394</v>
      </c>
      <c r="I79" s="82">
        <v>600</v>
      </c>
      <c r="J79" s="82">
        <v>0.24</v>
      </c>
      <c r="K79" s="82">
        <v>5.1</v>
      </c>
      <c r="L79" s="74">
        <v>0</v>
      </c>
      <c r="M79" s="74">
        <v>0.357</v>
      </c>
      <c r="N79" s="74">
        <v>0.368</v>
      </c>
      <c r="O79" s="74">
        <v>0</v>
      </c>
      <c r="P79" s="74">
        <v>0.2</v>
      </c>
      <c r="Q79" s="74">
        <v>0.07</v>
      </c>
      <c r="R79" s="74">
        <v>0</v>
      </c>
      <c r="S79" s="74">
        <v>0</v>
      </c>
      <c r="T79" s="75">
        <v>0.005</v>
      </c>
    </row>
    <row r="80" spans="1:20" ht="28.5">
      <c r="A80" s="9"/>
      <c r="B80" s="127" t="s">
        <v>350</v>
      </c>
      <c r="C80" s="1"/>
      <c r="D80" s="132">
        <v>0.25</v>
      </c>
      <c r="E80" s="1"/>
      <c r="F80" s="358"/>
      <c r="G80" s="118"/>
      <c r="H80" s="90" t="s">
        <v>395</v>
      </c>
      <c r="I80" s="82">
        <v>550</v>
      </c>
      <c r="J80" s="82">
        <v>0.24</v>
      </c>
      <c r="K80" s="82">
        <v>4.5</v>
      </c>
      <c r="L80" s="74">
        <v>0</v>
      </c>
      <c r="M80" s="74">
        <v>0.175</v>
      </c>
      <c r="N80" s="74">
        <v>0.6</v>
      </c>
      <c r="O80" s="74">
        <v>0</v>
      </c>
      <c r="P80" s="74">
        <v>0.18</v>
      </c>
      <c r="Q80" s="74">
        <v>0.025</v>
      </c>
      <c r="R80" s="74">
        <v>0</v>
      </c>
      <c r="S80" s="74">
        <v>0</v>
      </c>
      <c r="T80" s="75">
        <v>0.02</v>
      </c>
    </row>
    <row r="81" spans="1:20" ht="28.5">
      <c r="A81" s="9"/>
      <c r="B81" s="127" t="s">
        <v>351</v>
      </c>
      <c r="C81" s="4"/>
      <c r="D81" s="47">
        <v>0.5</v>
      </c>
      <c r="E81" s="1"/>
      <c r="F81" s="358"/>
      <c r="G81" s="118"/>
      <c r="H81" s="90" t="s">
        <v>40</v>
      </c>
      <c r="I81" s="82">
        <v>500</v>
      </c>
      <c r="J81" s="82">
        <v>0.24</v>
      </c>
      <c r="K81" s="82">
        <v>3.5</v>
      </c>
      <c r="L81" s="74">
        <v>0.16</v>
      </c>
      <c r="M81" s="74">
        <v>0.01</v>
      </c>
      <c r="N81" s="74">
        <v>0</v>
      </c>
      <c r="O81" s="74">
        <v>0</v>
      </c>
      <c r="P81" s="74">
        <v>0.76</v>
      </c>
      <c r="Q81" s="74">
        <v>0.08</v>
      </c>
      <c r="R81" s="74">
        <v>0</v>
      </c>
      <c r="S81" s="74">
        <v>0</v>
      </c>
      <c r="T81" s="75">
        <v>0</v>
      </c>
    </row>
    <row r="82" spans="1:20" ht="28.5">
      <c r="A82" s="9"/>
      <c r="B82" s="127" t="s">
        <v>352</v>
      </c>
      <c r="C82" s="1"/>
      <c r="D82" s="132">
        <v>0.75</v>
      </c>
      <c r="E82" s="1"/>
      <c r="F82" s="358"/>
      <c r="G82" s="118"/>
      <c r="H82" s="90" t="s">
        <v>396</v>
      </c>
      <c r="I82" s="82">
        <v>400</v>
      </c>
      <c r="J82" s="82">
        <v>0.13</v>
      </c>
      <c r="K82" s="82">
        <v>2.9</v>
      </c>
      <c r="L82" s="74">
        <v>0</v>
      </c>
      <c r="M82" s="74">
        <v>0.01</v>
      </c>
      <c r="N82" s="74">
        <v>0.01</v>
      </c>
      <c r="O82" s="74">
        <v>0</v>
      </c>
      <c r="P82" s="74">
        <v>0.36</v>
      </c>
      <c r="Q82" s="74">
        <v>0.62</v>
      </c>
      <c r="R82" s="74">
        <v>0</v>
      </c>
      <c r="S82" s="74">
        <v>0</v>
      </c>
      <c r="T82" s="75">
        <v>0</v>
      </c>
    </row>
    <row r="83" spans="1:21" ht="28.5">
      <c r="A83" s="9"/>
      <c r="B83" s="127" t="s">
        <v>353</v>
      </c>
      <c r="C83" s="1"/>
      <c r="D83" s="132">
        <v>0.75</v>
      </c>
      <c r="E83" s="1"/>
      <c r="F83" s="358"/>
      <c r="G83" s="118"/>
      <c r="H83" s="90" t="s">
        <v>397</v>
      </c>
      <c r="I83" s="82">
        <v>275</v>
      </c>
      <c r="J83" s="82">
        <v>0.13</v>
      </c>
      <c r="K83" s="82">
        <v>1.9</v>
      </c>
      <c r="L83" s="74">
        <v>0</v>
      </c>
      <c r="M83" s="74">
        <v>0</v>
      </c>
      <c r="N83" s="74">
        <v>0.01</v>
      </c>
      <c r="O83" s="74">
        <v>0</v>
      </c>
      <c r="P83" s="74">
        <v>0.83</v>
      </c>
      <c r="Q83" s="74">
        <v>0.05</v>
      </c>
      <c r="R83" s="74">
        <v>0</v>
      </c>
      <c r="S83" s="74">
        <v>0.06</v>
      </c>
      <c r="T83" s="75">
        <v>0.04</v>
      </c>
      <c r="U83">
        <f>11.3/106.6</f>
        <v>0.10600375234521577</v>
      </c>
    </row>
    <row r="84" spans="1:21" ht="14.25">
      <c r="A84" s="9"/>
      <c r="B84" s="4" t="s">
        <v>347</v>
      </c>
      <c r="C84" s="4"/>
      <c r="D84" s="128">
        <v>0.1458</v>
      </c>
      <c r="E84" s="4"/>
      <c r="F84" s="36" t="s">
        <v>336</v>
      </c>
      <c r="G84" s="113"/>
      <c r="H84" s="90" t="s">
        <v>166</v>
      </c>
      <c r="I84" s="82">
        <v>275</v>
      </c>
      <c r="J84" s="82">
        <v>0.13</v>
      </c>
      <c r="K84" s="82">
        <v>1.9</v>
      </c>
      <c r="L84" s="74">
        <v>0</v>
      </c>
      <c r="M84" s="74">
        <v>0.01</v>
      </c>
      <c r="N84" s="74">
        <v>0.02</v>
      </c>
      <c r="O84" s="74">
        <v>0</v>
      </c>
      <c r="P84" s="74">
        <v>0.8</v>
      </c>
      <c r="Q84" s="74">
        <v>0.02</v>
      </c>
      <c r="R84" s="74">
        <v>0</v>
      </c>
      <c r="S84" s="74">
        <v>0.17</v>
      </c>
      <c r="T84" s="75">
        <v>0</v>
      </c>
      <c r="U84">
        <f>10.8/109.2</f>
        <v>0.09890109890109891</v>
      </c>
    </row>
    <row r="85" spans="1:21" ht="14.25">
      <c r="A85" s="37"/>
      <c r="B85" s="4"/>
      <c r="C85" s="4"/>
      <c r="D85" s="4"/>
      <c r="E85" s="4"/>
      <c r="F85" s="25"/>
      <c r="G85" s="113"/>
      <c r="H85" s="90" t="s">
        <v>398</v>
      </c>
      <c r="I85" s="82">
        <v>350</v>
      </c>
      <c r="J85" s="82">
        <v>0.13</v>
      </c>
      <c r="K85" s="82">
        <v>2.8</v>
      </c>
      <c r="L85" s="74">
        <v>0.04</v>
      </c>
      <c r="M85" s="74">
        <v>0.38</v>
      </c>
      <c r="N85" s="74">
        <v>0</v>
      </c>
      <c r="O85" s="74">
        <v>0</v>
      </c>
      <c r="P85" s="74">
        <v>0.2</v>
      </c>
      <c r="Q85" s="74">
        <v>0.29</v>
      </c>
      <c r="R85" s="74">
        <v>0.02</v>
      </c>
      <c r="S85" s="74">
        <v>0.07</v>
      </c>
      <c r="T85" s="75">
        <v>0</v>
      </c>
      <c r="U85">
        <f>8.2/89.2</f>
        <v>0.09192825112107622</v>
      </c>
    </row>
    <row r="86" spans="1:23" ht="15" thickBot="1">
      <c r="A86" s="133" t="s">
        <v>338</v>
      </c>
      <c r="B86" s="16"/>
      <c r="C86" s="16"/>
      <c r="D86" s="16"/>
      <c r="E86" s="16"/>
      <c r="F86" s="17"/>
      <c r="G86" s="114"/>
      <c r="H86" s="91" t="s">
        <v>165</v>
      </c>
      <c r="I86" s="92">
        <v>275</v>
      </c>
      <c r="J86" s="92">
        <v>0.13</v>
      </c>
      <c r="K86" s="92">
        <v>2.6</v>
      </c>
      <c r="L86" s="93">
        <v>0</v>
      </c>
      <c r="M86" s="93">
        <v>0.01</v>
      </c>
      <c r="N86" s="93">
        <v>0</v>
      </c>
      <c r="O86" s="93">
        <v>0</v>
      </c>
      <c r="P86" s="93">
        <v>0.27</v>
      </c>
      <c r="Q86" s="93">
        <v>0.19</v>
      </c>
      <c r="R86" s="93">
        <v>0.01</v>
      </c>
      <c r="S86" s="93">
        <v>0.51</v>
      </c>
      <c r="T86" s="94">
        <v>0</v>
      </c>
      <c r="U86">
        <f>2.4/26.2</f>
        <v>0.0916030534351145</v>
      </c>
      <c r="W86" t="s">
        <v>24</v>
      </c>
    </row>
    <row r="87" spans="1:21" ht="15" thickBot="1">
      <c r="A87" s="37"/>
      <c r="B87" s="4" t="s">
        <v>344</v>
      </c>
      <c r="C87" s="4"/>
      <c r="D87" s="47">
        <v>0.9</v>
      </c>
      <c r="E87" s="4"/>
      <c r="F87" s="25"/>
      <c r="G87" s="113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>
        <f>0.9/11.9</f>
        <v>0.07563025210084033</v>
      </c>
    </row>
    <row r="88" spans="1:20" ht="15" thickBot="1">
      <c r="A88" s="133" t="s">
        <v>346</v>
      </c>
      <c r="B88" s="55"/>
      <c r="C88" s="16"/>
      <c r="D88" s="16"/>
      <c r="E88" s="16"/>
      <c r="F88" s="17"/>
      <c r="G88" s="114"/>
      <c r="H88" s="349" t="s">
        <v>368</v>
      </c>
      <c r="I88" s="349"/>
      <c r="J88" s="349"/>
      <c r="K88" s="349"/>
      <c r="L88" s="349"/>
      <c r="M88" s="349"/>
      <c r="N88" s="349"/>
      <c r="O88" s="349"/>
      <c r="P88" s="349"/>
      <c r="Q88" s="349"/>
      <c r="R88" s="349"/>
      <c r="S88" s="349"/>
      <c r="T88" s="350"/>
    </row>
    <row r="89" spans="1:20" ht="14.25">
      <c r="A89" s="37"/>
      <c r="B89" s="1" t="s">
        <v>341</v>
      </c>
      <c r="C89" s="1"/>
      <c r="D89" s="1">
        <v>9.74</v>
      </c>
      <c r="E89" s="1"/>
      <c r="F89" s="360" t="s">
        <v>342</v>
      </c>
      <c r="G89" s="118" t="s">
        <v>32</v>
      </c>
      <c r="H89" s="95"/>
      <c r="I89" s="95"/>
      <c r="J89" s="95"/>
      <c r="K89" s="95"/>
      <c r="L89" s="336" t="s">
        <v>21</v>
      </c>
      <c r="M89" s="336"/>
      <c r="N89" s="336"/>
      <c r="O89" s="336"/>
      <c r="P89" s="336"/>
      <c r="Q89" s="336"/>
      <c r="R89" s="336"/>
      <c r="S89" s="336"/>
      <c r="T89" s="337"/>
    </row>
    <row r="90" spans="1:20" ht="15" customHeight="1">
      <c r="A90" s="37"/>
      <c r="B90" s="1" t="s">
        <v>343</v>
      </c>
      <c r="C90" s="1"/>
      <c r="D90" s="1">
        <v>11.93</v>
      </c>
      <c r="E90" s="1"/>
      <c r="F90" s="361"/>
      <c r="G90" s="118"/>
      <c r="H90" s="338" t="s">
        <v>363</v>
      </c>
      <c r="I90" s="338"/>
      <c r="J90" s="338"/>
      <c r="K90" s="338"/>
      <c r="L90" s="60" t="s">
        <v>381</v>
      </c>
      <c r="M90" s="60" t="s">
        <v>382</v>
      </c>
      <c r="N90" s="60" t="s">
        <v>383</v>
      </c>
      <c r="O90" s="60" t="s">
        <v>384</v>
      </c>
      <c r="P90" s="60" t="s">
        <v>385</v>
      </c>
      <c r="Q90" s="60" t="s">
        <v>386</v>
      </c>
      <c r="R90" s="60" t="s">
        <v>387</v>
      </c>
      <c r="S90" s="61" t="s">
        <v>388</v>
      </c>
      <c r="T90" s="62" t="s">
        <v>365</v>
      </c>
    </row>
    <row r="91" spans="1:20" ht="14.25">
      <c r="A91" s="37"/>
      <c r="B91" s="4" t="s">
        <v>339</v>
      </c>
      <c r="C91" s="1"/>
      <c r="D91" s="1">
        <v>0.001</v>
      </c>
      <c r="E91" s="1"/>
      <c r="F91" s="38"/>
      <c r="G91" s="118"/>
      <c r="H91" s="97"/>
      <c r="I91" s="97"/>
      <c r="J91" s="97"/>
      <c r="K91" s="97"/>
      <c r="L91" s="64">
        <v>4</v>
      </c>
      <c r="M91" s="64">
        <f aca="true" t="shared" si="1" ref="M91:T91">L91+1</f>
        <v>5</v>
      </c>
      <c r="N91" s="64">
        <f t="shared" si="1"/>
        <v>6</v>
      </c>
      <c r="O91" s="64">
        <f t="shared" si="1"/>
        <v>7</v>
      </c>
      <c r="P91" s="64">
        <f t="shared" si="1"/>
        <v>8</v>
      </c>
      <c r="Q91" s="64">
        <f t="shared" si="1"/>
        <v>9</v>
      </c>
      <c r="R91" s="64">
        <f t="shared" si="1"/>
        <v>10</v>
      </c>
      <c r="S91" s="64">
        <f t="shared" si="1"/>
        <v>11</v>
      </c>
      <c r="T91" s="65">
        <f t="shared" si="1"/>
        <v>12</v>
      </c>
    </row>
    <row r="92" spans="1:20" ht="15" customHeight="1">
      <c r="A92" s="37"/>
      <c r="B92" s="4" t="s">
        <v>345</v>
      </c>
      <c r="C92" s="1"/>
      <c r="D92" s="132">
        <v>1</v>
      </c>
      <c r="E92" s="1"/>
      <c r="F92" s="38"/>
      <c r="G92" s="118"/>
      <c r="H92" s="66" t="s">
        <v>308</v>
      </c>
      <c r="I92" s="67">
        <v>10</v>
      </c>
      <c r="J92" s="67"/>
      <c r="K92" s="67"/>
      <c r="L92" s="68">
        <v>0.66</v>
      </c>
      <c r="M92" s="68">
        <v>0.17</v>
      </c>
      <c r="N92" s="69">
        <v>0.02</v>
      </c>
      <c r="O92" s="69">
        <v>0.01</v>
      </c>
      <c r="P92" s="69">
        <v>0.01</v>
      </c>
      <c r="Q92" s="69">
        <v>0.001</v>
      </c>
      <c r="R92" s="69">
        <v>0.1</v>
      </c>
      <c r="S92" s="69">
        <v>0.1</v>
      </c>
      <c r="T92" s="70">
        <v>0.01</v>
      </c>
    </row>
    <row r="93" spans="1:20" ht="14.25">
      <c r="A93" s="37"/>
      <c r="B93" s="4" t="s">
        <v>340</v>
      </c>
      <c r="C93" s="1"/>
      <c r="D93" s="132">
        <v>0.1</v>
      </c>
      <c r="E93" s="1"/>
      <c r="F93" s="38"/>
      <c r="G93" s="118"/>
      <c r="H93" s="71"/>
      <c r="I93" s="72">
        <v>11</v>
      </c>
      <c r="J93" s="72"/>
      <c r="K93" s="72"/>
      <c r="L93" s="73">
        <v>0.68</v>
      </c>
      <c r="M93" s="73">
        <v>0.19</v>
      </c>
      <c r="N93" s="74">
        <v>0.02</v>
      </c>
      <c r="O93" s="74">
        <v>0.01</v>
      </c>
      <c r="P93" s="74">
        <v>0.01</v>
      </c>
      <c r="Q93" s="74">
        <v>0.001</v>
      </c>
      <c r="R93" s="74">
        <v>0.1</v>
      </c>
      <c r="S93" s="74">
        <v>0.1</v>
      </c>
      <c r="T93" s="75">
        <v>0.01</v>
      </c>
    </row>
    <row r="94" spans="1:20" ht="21">
      <c r="A94" s="21" t="s">
        <v>323</v>
      </c>
      <c r="B94" s="30"/>
      <c r="C94" s="22"/>
      <c r="D94" s="22"/>
      <c r="E94" s="22"/>
      <c r="F94" s="23"/>
      <c r="G94" s="111"/>
      <c r="H94" s="71"/>
      <c r="I94" s="72">
        <v>12</v>
      </c>
      <c r="J94" s="72"/>
      <c r="K94" s="72"/>
      <c r="L94" s="73">
        <v>0.7</v>
      </c>
      <c r="M94" s="73">
        <v>0.2</v>
      </c>
      <c r="N94" s="74">
        <v>0.02</v>
      </c>
      <c r="O94" s="74">
        <v>0.01</v>
      </c>
      <c r="P94" s="74">
        <v>0.01</v>
      </c>
      <c r="Q94" s="74">
        <v>0.001</v>
      </c>
      <c r="R94" s="74">
        <v>0.1</v>
      </c>
      <c r="S94" s="74">
        <v>0.1</v>
      </c>
      <c r="T94" s="75">
        <v>0.01</v>
      </c>
    </row>
    <row r="95" spans="1:20" ht="15" thickBot="1">
      <c r="A95" s="26" t="s">
        <v>324</v>
      </c>
      <c r="B95" s="16"/>
      <c r="C95" s="16"/>
      <c r="D95" s="16"/>
      <c r="E95" s="16"/>
      <c r="F95" s="17"/>
      <c r="G95" s="114"/>
      <c r="H95" s="71"/>
      <c r="I95" s="72">
        <v>13</v>
      </c>
      <c r="J95" s="72"/>
      <c r="K95" s="72"/>
      <c r="L95" s="73">
        <v>0.71</v>
      </c>
      <c r="M95" s="73">
        <v>0.22</v>
      </c>
      <c r="N95" s="74">
        <v>0.02</v>
      </c>
      <c r="O95" s="74">
        <v>0.01</v>
      </c>
      <c r="P95" s="74">
        <v>0.01</v>
      </c>
      <c r="Q95" s="74">
        <v>0.001</v>
      </c>
      <c r="R95" s="74">
        <v>0.1</v>
      </c>
      <c r="S95" s="74">
        <v>0.1</v>
      </c>
      <c r="T95" s="75">
        <v>0.01</v>
      </c>
    </row>
    <row r="96" spans="1:20" ht="14.25">
      <c r="A96" s="9"/>
      <c r="B96" s="4"/>
      <c r="C96" s="4"/>
      <c r="D96" s="120"/>
      <c r="E96" s="4"/>
      <c r="F96" s="109"/>
      <c r="G96" s="121"/>
      <c r="H96" s="76"/>
      <c r="I96" s="77">
        <v>14</v>
      </c>
      <c r="J96" s="77"/>
      <c r="K96" s="77"/>
      <c r="L96" s="78">
        <v>0.73</v>
      </c>
      <c r="M96" s="78">
        <v>0.25</v>
      </c>
      <c r="N96" s="79">
        <v>0.02</v>
      </c>
      <c r="O96" s="79">
        <v>0.01</v>
      </c>
      <c r="P96" s="79">
        <v>0.01</v>
      </c>
      <c r="Q96" s="79">
        <v>0.001</v>
      </c>
      <c r="R96" s="79">
        <v>0.1</v>
      </c>
      <c r="S96" s="79">
        <v>0.1</v>
      </c>
      <c r="T96" s="80">
        <v>0.01</v>
      </c>
    </row>
    <row r="97" spans="1:20" ht="14.25">
      <c r="A97" s="9"/>
      <c r="B97" s="4" t="s">
        <v>334</v>
      </c>
      <c r="C97" s="4"/>
      <c r="D97" s="7">
        <v>1</v>
      </c>
      <c r="E97" s="4" t="s">
        <v>325</v>
      </c>
      <c r="F97" s="25" t="s">
        <v>326</v>
      </c>
      <c r="G97" s="113" t="s">
        <v>327</v>
      </c>
      <c r="H97" s="66" t="s">
        <v>306</v>
      </c>
      <c r="I97" s="67">
        <v>15</v>
      </c>
      <c r="J97" s="67"/>
      <c r="K97" s="67"/>
      <c r="L97" s="68">
        <v>0.74</v>
      </c>
      <c r="M97" s="68">
        <v>0.27</v>
      </c>
      <c r="N97" s="69">
        <v>0.04</v>
      </c>
      <c r="O97" s="69">
        <v>0.015</v>
      </c>
      <c r="P97" s="69">
        <v>0.015</v>
      </c>
      <c r="Q97" s="69">
        <v>0.005</v>
      </c>
      <c r="R97" s="69">
        <v>0.1</v>
      </c>
      <c r="S97" s="69">
        <v>0.1</v>
      </c>
      <c r="T97" s="70">
        <v>0.01</v>
      </c>
    </row>
    <row r="98" spans="1:20" ht="14.25">
      <c r="A98" s="9"/>
      <c r="B98" s="4"/>
      <c r="C98" s="4"/>
      <c r="D98" s="4"/>
      <c r="E98" s="4"/>
      <c r="F98" s="25"/>
      <c r="G98" s="113"/>
      <c r="H98" s="71"/>
      <c r="I98" s="72">
        <v>16</v>
      </c>
      <c r="J98" s="72"/>
      <c r="K98" s="72"/>
      <c r="L98" s="73">
        <v>0.75</v>
      </c>
      <c r="M98" s="73">
        <v>0.29</v>
      </c>
      <c r="N98" s="74">
        <v>0.04</v>
      </c>
      <c r="O98" s="74">
        <v>0.015</v>
      </c>
      <c r="P98" s="74">
        <v>0.015</v>
      </c>
      <c r="Q98" s="74">
        <v>0.005</v>
      </c>
      <c r="R98" s="74">
        <v>0.1</v>
      </c>
      <c r="S98" s="74">
        <v>0.1</v>
      </c>
      <c r="T98" s="75">
        <v>0.01</v>
      </c>
    </row>
    <row r="99" spans="1:20" ht="15" thickBot="1">
      <c r="A99" s="26" t="s">
        <v>328</v>
      </c>
      <c r="B99" s="16"/>
      <c r="C99" s="16"/>
      <c r="D99" s="16"/>
      <c r="E99" s="16"/>
      <c r="F99" s="17"/>
      <c r="G99" s="114"/>
      <c r="H99" s="71"/>
      <c r="I99" s="72">
        <v>17</v>
      </c>
      <c r="J99" s="72"/>
      <c r="K99" s="72"/>
      <c r="L99" s="73">
        <v>0.76</v>
      </c>
      <c r="M99" s="73">
        <v>0.32</v>
      </c>
      <c r="N99" s="74">
        <v>0.04</v>
      </c>
      <c r="O99" s="74">
        <v>0.015</v>
      </c>
      <c r="P99" s="74">
        <v>0.015</v>
      </c>
      <c r="Q99" s="74">
        <v>0.005</v>
      </c>
      <c r="R99" s="74">
        <v>0.1</v>
      </c>
      <c r="S99" s="74">
        <v>0.1</v>
      </c>
      <c r="T99" s="75">
        <v>0.01</v>
      </c>
    </row>
    <row r="100" spans="1:20" ht="14.25">
      <c r="A100" s="9"/>
      <c r="B100" s="4" t="s">
        <v>329</v>
      </c>
      <c r="C100" s="4">
        <v>100</v>
      </c>
      <c r="D100" s="4">
        <v>250</v>
      </c>
      <c r="E100" s="4" t="s">
        <v>6</v>
      </c>
      <c r="F100" s="4"/>
      <c r="G100" s="113" t="s">
        <v>330</v>
      </c>
      <c r="H100" s="71"/>
      <c r="I100" s="72">
        <v>18</v>
      </c>
      <c r="J100" s="72"/>
      <c r="K100" s="72"/>
      <c r="L100" s="73">
        <v>0.77</v>
      </c>
      <c r="M100" s="73">
        <v>0.35</v>
      </c>
      <c r="N100" s="74">
        <v>0.04</v>
      </c>
      <c r="O100" s="74">
        <v>0.015</v>
      </c>
      <c r="P100" s="74">
        <v>0.015</v>
      </c>
      <c r="Q100" s="74">
        <v>0.005</v>
      </c>
      <c r="R100" s="74">
        <v>0.1</v>
      </c>
      <c r="S100" s="74">
        <v>0.1</v>
      </c>
      <c r="T100" s="75">
        <v>0.01</v>
      </c>
    </row>
    <row r="101" spans="1:20" ht="14.25">
      <c r="A101" s="9"/>
      <c r="B101" s="4"/>
      <c r="C101" s="4">
        <v>500</v>
      </c>
      <c r="D101" s="4">
        <v>200</v>
      </c>
      <c r="E101" s="4" t="s">
        <v>6</v>
      </c>
      <c r="F101" s="4"/>
      <c r="G101" s="113"/>
      <c r="H101" s="71"/>
      <c r="I101" s="72">
        <v>19</v>
      </c>
      <c r="J101" s="72"/>
      <c r="K101" s="72"/>
      <c r="L101" s="73">
        <v>0.77</v>
      </c>
      <c r="M101" s="73">
        <v>0.39</v>
      </c>
      <c r="N101" s="74">
        <v>0.04</v>
      </c>
      <c r="O101" s="74">
        <v>0.015</v>
      </c>
      <c r="P101" s="74">
        <v>0.015</v>
      </c>
      <c r="Q101" s="74">
        <v>0.005</v>
      </c>
      <c r="R101" s="74">
        <v>0.1</v>
      </c>
      <c r="S101" s="74">
        <v>0.1</v>
      </c>
      <c r="T101" s="75">
        <v>0.01</v>
      </c>
    </row>
    <row r="102" spans="1:20" ht="14.25">
      <c r="A102" s="9"/>
      <c r="B102" s="4"/>
      <c r="C102" s="4">
        <v>1000</v>
      </c>
      <c r="D102" s="4">
        <v>150</v>
      </c>
      <c r="E102" s="4" t="s">
        <v>6</v>
      </c>
      <c r="F102" s="4"/>
      <c r="G102" s="113"/>
      <c r="H102" s="71"/>
      <c r="I102" s="72">
        <v>20</v>
      </c>
      <c r="J102" s="72"/>
      <c r="K102" s="72"/>
      <c r="L102" s="73">
        <v>0.78</v>
      </c>
      <c r="M102" s="73">
        <v>0.42</v>
      </c>
      <c r="N102" s="74">
        <v>0.04</v>
      </c>
      <c r="O102" s="74">
        <v>0.015</v>
      </c>
      <c r="P102" s="74">
        <v>0.015</v>
      </c>
      <c r="Q102" s="74">
        <v>0.005</v>
      </c>
      <c r="R102" s="74">
        <v>0.1</v>
      </c>
      <c r="S102" s="74">
        <v>0.1</v>
      </c>
      <c r="T102" s="75">
        <v>0.01</v>
      </c>
    </row>
    <row r="103" spans="1:20" ht="14.25">
      <c r="A103" s="9"/>
      <c r="B103" s="4"/>
      <c r="C103" s="4">
        <v>2000</v>
      </c>
      <c r="D103" s="4">
        <v>115</v>
      </c>
      <c r="E103" s="4" t="s">
        <v>6</v>
      </c>
      <c r="F103" s="4"/>
      <c r="G103" s="113"/>
      <c r="H103" s="71"/>
      <c r="I103" s="72">
        <v>21</v>
      </c>
      <c r="J103" s="72"/>
      <c r="K103" s="72"/>
      <c r="L103" s="73">
        <v>0.78</v>
      </c>
      <c r="M103" s="73">
        <v>0.46</v>
      </c>
      <c r="N103" s="74">
        <v>0.04</v>
      </c>
      <c r="O103" s="74">
        <v>0.015</v>
      </c>
      <c r="P103" s="74">
        <v>0.015</v>
      </c>
      <c r="Q103" s="74">
        <v>0.005</v>
      </c>
      <c r="R103" s="74">
        <v>0.1</v>
      </c>
      <c r="S103" s="74">
        <v>0.1</v>
      </c>
      <c r="T103" s="75">
        <v>0.01</v>
      </c>
    </row>
    <row r="104" spans="1:20" ht="14.25">
      <c r="A104" s="9"/>
      <c r="B104" s="4"/>
      <c r="C104" s="4"/>
      <c r="D104" s="4"/>
      <c r="E104" s="4"/>
      <c r="F104" s="25"/>
      <c r="G104" s="113"/>
      <c r="H104" s="71"/>
      <c r="I104" s="72">
        <v>22</v>
      </c>
      <c r="J104" s="72"/>
      <c r="K104" s="72"/>
      <c r="L104" s="73">
        <v>0.78</v>
      </c>
      <c r="M104" s="73">
        <v>0.5</v>
      </c>
      <c r="N104" s="74">
        <v>0.04</v>
      </c>
      <c r="O104" s="74">
        <v>0.015</v>
      </c>
      <c r="P104" s="74">
        <v>0.015</v>
      </c>
      <c r="Q104" s="74">
        <v>0.005</v>
      </c>
      <c r="R104" s="74">
        <v>0.1</v>
      </c>
      <c r="S104" s="74">
        <v>0.1</v>
      </c>
      <c r="T104" s="75">
        <v>0.01</v>
      </c>
    </row>
    <row r="105" spans="1:20" ht="15" thickBot="1">
      <c r="A105" s="26" t="s">
        <v>332</v>
      </c>
      <c r="B105" s="16"/>
      <c r="C105" s="16"/>
      <c r="D105" s="16"/>
      <c r="E105" s="16"/>
      <c r="F105" s="17"/>
      <c r="G105" s="114"/>
      <c r="H105" s="71"/>
      <c r="I105" s="72">
        <v>23</v>
      </c>
      <c r="J105" s="72"/>
      <c r="K105" s="72"/>
      <c r="L105" s="73">
        <v>0.79</v>
      </c>
      <c r="M105" s="73">
        <v>0.55</v>
      </c>
      <c r="N105" s="74">
        <v>0.04</v>
      </c>
      <c r="O105" s="74">
        <v>0.015</v>
      </c>
      <c r="P105" s="74">
        <v>0.015</v>
      </c>
      <c r="Q105" s="74">
        <v>0.005</v>
      </c>
      <c r="R105" s="74">
        <v>0.1</v>
      </c>
      <c r="S105" s="74">
        <v>0.1</v>
      </c>
      <c r="T105" s="75">
        <v>0.01</v>
      </c>
    </row>
    <row r="106" spans="1:20" ht="14.25">
      <c r="A106" s="9"/>
      <c r="B106" s="4" t="s">
        <v>331</v>
      </c>
      <c r="C106" s="4">
        <v>264</v>
      </c>
      <c r="D106" s="177">
        <v>700000</v>
      </c>
      <c r="E106" s="4" t="s">
        <v>11</v>
      </c>
      <c r="F106" s="357" t="s">
        <v>399</v>
      </c>
      <c r="G106" s="113"/>
      <c r="H106" s="71"/>
      <c r="I106" s="72">
        <v>24</v>
      </c>
      <c r="J106" s="72"/>
      <c r="K106" s="72"/>
      <c r="L106" s="73">
        <v>0.79</v>
      </c>
      <c r="M106" s="73">
        <v>0.6</v>
      </c>
      <c r="N106" s="74">
        <v>0.04</v>
      </c>
      <c r="O106" s="74">
        <v>0.015</v>
      </c>
      <c r="P106" s="74">
        <v>0.015</v>
      </c>
      <c r="Q106" s="74">
        <v>0.005</v>
      </c>
      <c r="R106" s="74">
        <v>0.1</v>
      </c>
      <c r="S106" s="74">
        <v>0.1</v>
      </c>
      <c r="T106" s="75">
        <v>0.01</v>
      </c>
    </row>
    <row r="107" spans="1:20" ht="14.25">
      <c r="A107" s="9"/>
      <c r="B107" s="1"/>
      <c r="C107" s="4">
        <v>96</v>
      </c>
      <c r="D107" s="177">
        <f>ROUND(AVERAGE($D$106/$C$106,$D$112/$C$112)*C107,-3)</f>
        <v>220000</v>
      </c>
      <c r="E107" s="4" t="s">
        <v>11</v>
      </c>
      <c r="F107" s="358"/>
      <c r="G107" s="113"/>
      <c r="H107" s="76"/>
      <c r="I107" s="77">
        <v>25</v>
      </c>
      <c r="J107" s="77"/>
      <c r="K107" s="77"/>
      <c r="L107" s="78">
        <v>0.79</v>
      </c>
      <c r="M107" s="78">
        <v>0.65</v>
      </c>
      <c r="N107" s="79">
        <v>0.04</v>
      </c>
      <c r="O107" s="79">
        <v>0.015</v>
      </c>
      <c r="P107" s="79">
        <v>0.015</v>
      </c>
      <c r="Q107" s="79">
        <v>0.005</v>
      </c>
      <c r="R107" s="79">
        <v>0.1</v>
      </c>
      <c r="S107" s="79">
        <v>0.1</v>
      </c>
      <c r="T107" s="80">
        <v>0.01</v>
      </c>
    </row>
    <row r="108" spans="1:20" ht="14.25">
      <c r="A108" s="9"/>
      <c r="B108" s="1"/>
      <c r="C108" s="4">
        <v>80</v>
      </c>
      <c r="D108" s="177">
        <f>ROUND(AVERAGE($D$106/$C$106,$D$112/$C$112)*C108,-3)</f>
        <v>183000</v>
      </c>
      <c r="E108" s="4" t="s">
        <v>11</v>
      </c>
      <c r="F108" s="358"/>
      <c r="G108" s="113"/>
      <c r="H108" s="66" t="s">
        <v>307</v>
      </c>
      <c r="I108" s="67">
        <v>26</v>
      </c>
      <c r="J108" s="67"/>
      <c r="K108" s="67"/>
      <c r="L108" s="68">
        <v>0.79</v>
      </c>
      <c r="M108" s="68">
        <v>0.71</v>
      </c>
      <c r="N108" s="69">
        <v>0.05</v>
      </c>
      <c r="O108" s="69">
        <v>0.02</v>
      </c>
      <c r="P108" s="69">
        <v>0.02</v>
      </c>
      <c r="Q108" s="69">
        <v>0.01</v>
      </c>
      <c r="R108" s="69">
        <v>0.1</v>
      </c>
      <c r="S108" s="69">
        <v>0.1</v>
      </c>
      <c r="T108" s="70">
        <v>0.01</v>
      </c>
    </row>
    <row r="109" spans="1:20" ht="14.25">
      <c r="A109" s="9"/>
      <c r="B109" s="1"/>
      <c r="C109" s="4">
        <v>56</v>
      </c>
      <c r="D109" s="177">
        <f>ROUND(AVERAGE($D$106/$C$106,$D$112/$C$112)*C109,-3)</f>
        <v>128000</v>
      </c>
      <c r="E109" s="4" t="s">
        <v>11</v>
      </c>
      <c r="F109" s="358"/>
      <c r="G109" s="113"/>
      <c r="H109" s="71"/>
      <c r="I109" s="72">
        <v>27</v>
      </c>
      <c r="J109" s="72"/>
      <c r="K109" s="72"/>
      <c r="L109" s="73">
        <v>0.8</v>
      </c>
      <c r="M109" s="73">
        <v>0.78</v>
      </c>
      <c r="N109" s="74">
        <v>0.05</v>
      </c>
      <c r="O109" s="74">
        <v>0.02</v>
      </c>
      <c r="P109" s="74">
        <v>0.02</v>
      </c>
      <c r="Q109" s="74">
        <v>0.01</v>
      </c>
      <c r="R109" s="74">
        <v>0.1</v>
      </c>
      <c r="S109" s="74">
        <v>0.1</v>
      </c>
      <c r="T109" s="75">
        <v>0.01</v>
      </c>
    </row>
    <row r="110" spans="1:20" ht="14.25">
      <c r="A110" s="9"/>
      <c r="B110" s="1"/>
      <c r="C110" s="4">
        <v>40</v>
      </c>
      <c r="D110" s="177">
        <f>ROUND(AVERAGE($D$106/$C$106,$D$112/$C$112)*C110,-3)</f>
        <v>91000</v>
      </c>
      <c r="E110" s="4" t="s">
        <v>11</v>
      </c>
      <c r="F110" s="358"/>
      <c r="G110" s="113"/>
      <c r="H110" s="76"/>
      <c r="I110" s="77">
        <v>28</v>
      </c>
      <c r="J110" s="77"/>
      <c r="K110" s="77"/>
      <c r="L110" s="78">
        <v>0.8</v>
      </c>
      <c r="M110" s="78">
        <v>0.8</v>
      </c>
      <c r="N110" s="79">
        <v>0.05</v>
      </c>
      <c r="O110" s="79">
        <v>0.02</v>
      </c>
      <c r="P110" s="79">
        <v>0.02</v>
      </c>
      <c r="Q110" s="79">
        <v>0.01</v>
      </c>
      <c r="R110" s="79">
        <v>0.1</v>
      </c>
      <c r="S110" s="79">
        <v>0.1</v>
      </c>
      <c r="T110" s="80">
        <v>0.01</v>
      </c>
    </row>
    <row r="111" spans="1:20" ht="14.25">
      <c r="A111" s="9"/>
      <c r="B111" s="1"/>
      <c r="C111" s="4">
        <v>24</v>
      </c>
      <c r="D111" s="177">
        <f>ROUND(AVERAGE($D$106/$C$106,$D$112/$C$112)*C111,-3)</f>
        <v>55000</v>
      </c>
      <c r="E111" s="4" t="s">
        <v>11</v>
      </c>
      <c r="F111" s="358"/>
      <c r="G111" s="113"/>
      <c r="H111" s="81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3"/>
    </row>
    <row r="112" spans="1:20" ht="15.75" customHeight="1">
      <c r="A112" s="9"/>
      <c r="B112" s="1"/>
      <c r="C112" s="4">
        <v>10.4</v>
      </c>
      <c r="D112" s="122">
        <v>20000</v>
      </c>
      <c r="E112" s="4" t="s">
        <v>11</v>
      </c>
      <c r="F112" s="358"/>
      <c r="G112" s="113"/>
      <c r="H112" s="84" t="s">
        <v>163</v>
      </c>
      <c r="I112" s="95"/>
      <c r="J112" s="95"/>
      <c r="K112" s="59"/>
      <c r="L112" s="339" t="s">
        <v>366</v>
      </c>
      <c r="M112" s="339"/>
      <c r="N112" s="339"/>
      <c r="O112" s="339"/>
      <c r="P112" s="339"/>
      <c r="Q112" s="339"/>
      <c r="R112" s="339"/>
      <c r="S112" s="339"/>
      <c r="T112" s="340"/>
    </row>
    <row r="113" spans="1:20" ht="14.25">
      <c r="A113" s="9"/>
      <c r="B113" s="1" t="s">
        <v>333</v>
      </c>
      <c r="C113" s="4"/>
      <c r="D113" s="122">
        <f>(D106/C106+D112/C112)/2</f>
        <v>2287.2960372960374</v>
      </c>
      <c r="E113" s="4" t="s">
        <v>11</v>
      </c>
      <c r="F113" s="359"/>
      <c r="G113" s="113"/>
      <c r="H113" s="99"/>
      <c r="I113" s="100" t="s">
        <v>164</v>
      </c>
      <c r="J113" s="100" t="s">
        <v>19</v>
      </c>
      <c r="K113" s="100" t="s">
        <v>264</v>
      </c>
      <c r="L113" s="101"/>
      <c r="M113" s="101"/>
      <c r="N113" s="101"/>
      <c r="O113" s="101"/>
      <c r="P113" s="101"/>
      <c r="Q113" s="101"/>
      <c r="R113" s="101"/>
      <c r="S113" s="101"/>
      <c r="T113" s="102"/>
    </row>
    <row r="114" spans="1:20" ht="15.75" customHeight="1" thickBot="1">
      <c r="A114" s="26" t="s">
        <v>354</v>
      </c>
      <c r="B114" s="16"/>
      <c r="C114" s="16"/>
      <c r="D114" s="16"/>
      <c r="E114" s="16"/>
      <c r="F114" s="17"/>
      <c r="G114" s="114"/>
      <c r="H114" s="88" t="s">
        <v>393</v>
      </c>
      <c r="I114" s="98">
        <v>389</v>
      </c>
      <c r="J114" s="98">
        <v>0.19</v>
      </c>
      <c r="K114" s="98">
        <v>2.4</v>
      </c>
      <c r="L114" s="79">
        <v>0</v>
      </c>
      <c r="M114" s="79">
        <v>0.002</v>
      </c>
      <c r="N114" s="79">
        <v>0</v>
      </c>
      <c r="O114" s="79">
        <v>0.184</v>
      </c>
      <c r="P114" s="79">
        <v>0.815</v>
      </c>
      <c r="Q114" s="79">
        <v>0</v>
      </c>
      <c r="R114" s="79">
        <v>0</v>
      </c>
      <c r="S114" s="79">
        <v>0</v>
      </c>
      <c r="T114" s="80">
        <v>0</v>
      </c>
    </row>
    <row r="115" spans="1:20" ht="14.25">
      <c r="A115" s="9"/>
      <c r="B115" s="4" t="s">
        <v>356</v>
      </c>
      <c r="C115" s="4">
        <v>40</v>
      </c>
      <c r="D115" s="4">
        <f>273000+94250</f>
        <v>367250</v>
      </c>
      <c r="E115" s="4" t="s">
        <v>6</v>
      </c>
      <c r="F115" s="25"/>
      <c r="G115" s="113"/>
      <c r="H115" s="90" t="s">
        <v>394</v>
      </c>
      <c r="I115" s="82">
        <v>420</v>
      </c>
      <c r="J115" s="82">
        <v>0.18</v>
      </c>
      <c r="K115" s="82">
        <v>2.6</v>
      </c>
      <c r="L115" s="74">
        <v>0</v>
      </c>
      <c r="M115" s="74">
        <v>0.252</v>
      </c>
      <c r="N115" s="74">
        <v>0.39</v>
      </c>
      <c r="O115" s="74">
        <v>0</v>
      </c>
      <c r="P115" s="74">
        <v>0.32</v>
      </c>
      <c r="Q115" s="74">
        <v>0.018</v>
      </c>
      <c r="R115" s="74">
        <v>0</v>
      </c>
      <c r="S115" s="74">
        <v>0</v>
      </c>
      <c r="T115" s="75">
        <v>0.02</v>
      </c>
    </row>
    <row r="116" spans="1:20" ht="14.25">
      <c r="A116" s="9"/>
      <c r="B116" s="4"/>
      <c r="C116" s="4">
        <v>70</v>
      </c>
      <c r="D116" s="4">
        <f>273000+94250</f>
        <v>367250</v>
      </c>
      <c r="E116" s="4" t="s">
        <v>6</v>
      </c>
      <c r="F116" s="36"/>
      <c r="G116" s="113"/>
      <c r="H116" s="90" t="s">
        <v>395</v>
      </c>
      <c r="I116" s="82">
        <v>391</v>
      </c>
      <c r="J116" s="82">
        <v>0.17</v>
      </c>
      <c r="K116" s="82">
        <v>2.7</v>
      </c>
      <c r="L116" s="74">
        <v>0</v>
      </c>
      <c r="M116" s="74">
        <v>0.225</v>
      </c>
      <c r="N116" s="74">
        <v>0.44</v>
      </c>
      <c r="O116" s="74">
        <v>0</v>
      </c>
      <c r="P116" s="74">
        <v>0.2</v>
      </c>
      <c r="Q116" s="74">
        <v>0</v>
      </c>
      <c r="R116" s="74">
        <v>0</v>
      </c>
      <c r="S116" s="74">
        <v>0</v>
      </c>
      <c r="T116" s="75">
        <v>0.135</v>
      </c>
    </row>
    <row r="117" spans="1:20" ht="14.25">
      <c r="A117" s="9"/>
      <c r="B117" s="4"/>
      <c r="C117" s="4">
        <v>150</v>
      </c>
      <c r="D117" s="4">
        <f>312000+104000</f>
        <v>416000</v>
      </c>
      <c r="E117" s="4" t="s">
        <v>6</v>
      </c>
      <c r="F117" s="25"/>
      <c r="G117" s="113"/>
      <c r="H117" s="90" t="s">
        <v>40</v>
      </c>
      <c r="I117" s="82">
        <v>330</v>
      </c>
      <c r="J117" s="82">
        <v>0.17</v>
      </c>
      <c r="K117" s="82">
        <v>3</v>
      </c>
      <c r="L117" s="74">
        <v>0</v>
      </c>
      <c r="M117" s="74">
        <v>0</v>
      </c>
      <c r="N117" s="74">
        <v>0</v>
      </c>
      <c r="O117" s="74">
        <v>0.09</v>
      </c>
      <c r="P117" s="74">
        <v>0.91</v>
      </c>
      <c r="Q117" s="74">
        <v>0</v>
      </c>
      <c r="R117" s="74">
        <v>0</v>
      </c>
      <c r="S117" s="74">
        <v>0</v>
      </c>
      <c r="T117" s="75">
        <v>0</v>
      </c>
    </row>
    <row r="118" spans="1:20" ht="14.25">
      <c r="A118" s="9"/>
      <c r="B118" s="4"/>
      <c r="C118" s="4">
        <v>200</v>
      </c>
      <c r="D118" s="4">
        <f>312000+104000</f>
        <v>416000</v>
      </c>
      <c r="E118" s="4" t="s">
        <v>6</v>
      </c>
      <c r="F118" s="25"/>
      <c r="G118" s="113"/>
      <c r="H118" s="90" t="s">
        <v>396</v>
      </c>
      <c r="I118" s="82">
        <v>305</v>
      </c>
      <c r="J118" s="82">
        <v>0.1</v>
      </c>
      <c r="K118" s="82">
        <v>2.5</v>
      </c>
      <c r="L118" s="74">
        <v>0</v>
      </c>
      <c r="M118" s="74">
        <v>0</v>
      </c>
      <c r="N118" s="74">
        <v>0</v>
      </c>
      <c r="O118" s="74">
        <v>0</v>
      </c>
      <c r="P118" s="74">
        <v>0.99</v>
      </c>
      <c r="Q118" s="74">
        <v>0</v>
      </c>
      <c r="R118" s="74">
        <v>0</v>
      </c>
      <c r="S118" s="74">
        <v>0</v>
      </c>
      <c r="T118" s="75">
        <v>0.01</v>
      </c>
    </row>
    <row r="119" spans="1:20" ht="14.25">
      <c r="A119" s="9"/>
      <c r="B119" s="4"/>
      <c r="C119" s="4">
        <v>300</v>
      </c>
      <c r="D119" s="4">
        <f>360000+116000</f>
        <v>476000</v>
      </c>
      <c r="E119" s="4" t="s">
        <v>6</v>
      </c>
      <c r="F119" s="25"/>
      <c r="G119" s="113"/>
      <c r="H119" s="90" t="s">
        <v>397</v>
      </c>
      <c r="I119" s="82">
        <v>173</v>
      </c>
      <c r="J119" s="82">
        <v>0.1</v>
      </c>
      <c r="K119" s="82">
        <v>1.5</v>
      </c>
      <c r="L119" s="74">
        <v>0</v>
      </c>
      <c r="M119" s="74">
        <v>0</v>
      </c>
      <c r="N119" s="74">
        <v>0</v>
      </c>
      <c r="O119" s="74">
        <v>0.01</v>
      </c>
      <c r="P119" s="74">
        <v>0.95</v>
      </c>
      <c r="Q119" s="74">
        <v>0.01</v>
      </c>
      <c r="R119" s="74">
        <v>0</v>
      </c>
      <c r="S119" s="74">
        <v>0.03</v>
      </c>
      <c r="T119" s="75">
        <v>0</v>
      </c>
    </row>
    <row r="120" spans="1:20" ht="14.25">
      <c r="A120" s="9"/>
      <c r="B120" s="4"/>
      <c r="C120" s="4"/>
      <c r="D120" s="4"/>
      <c r="E120" s="4"/>
      <c r="F120" s="25"/>
      <c r="G120" s="113"/>
      <c r="H120" s="90" t="s">
        <v>166</v>
      </c>
      <c r="I120" s="82">
        <v>173</v>
      </c>
      <c r="J120" s="82">
        <v>0.1</v>
      </c>
      <c r="K120" s="82">
        <v>1.5</v>
      </c>
      <c r="L120" s="74">
        <v>0</v>
      </c>
      <c r="M120" s="74">
        <v>0</v>
      </c>
      <c r="N120" s="74">
        <v>0</v>
      </c>
      <c r="O120" s="74">
        <v>0.01</v>
      </c>
      <c r="P120" s="74">
        <v>0.79</v>
      </c>
      <c r="Q120" s="74">
        <v>0.02</v>
      </c>
      <c r="R120" s="74">
        <v>0</v>
      </c>
      <c r="S120" s="74">
        <v>0.17</v>
      </c>
      <c r="T120" s="75">
        <v>0.02</v>
      </c>
    </row>
    <row r="121" spans="1:20" ht="14.25">
      <c r="A121" s="9"/>
      <c r="B121" s="4"/>
      <c r="C121" s="4"/>
      <c r="D121" s="4"/>
      <c r="E121" s="4"/>
      <c r="F121" s="25"/>
      <c r="G121" s="113"/>
      <c r="H121" s="90" t="s">
        <v>398</v>
      </c>
      <c r="I121" s="82">
        <v>319</v>
      </c>
      <c r="J121" s="82">
        <v>0.1</v>
      </c>
      <c r="K121" s="82">
        <v>2.3</v>
      </c>
      <c r="L121" s="74">
        <v>0</v>
      </c>
      <c r="M121" s="74">
        <v>0</v>
      </c>
      <c r="N121" s="74">
        <v>0</v>
      </c>
      <c r="O121" s="74">
        <v>0.46</v>
      </c>
      <c r="P121" s="74">
        <v>0.5</v>
      </c>
      <c r="Q121" s="74">
        <v>0.02</v>
      </c>
      <c r="R121" s="74">
        <v>0</v>
      </c>
      <c r="S121" s="74">
        <v>0.02</v>
      </c>
      <c r="T121" s="75">
        <v>0</v>
      </c>
    </row>
    <row r="122" spans="1:20" ht="15" thickBot="1">
      <c r="A122" s="9"/>
      <c r="B122" s="4" t="s">
        <v>355</v>
      </c>
      <c r="C122" s="4"/>
      <c r="D122" s="202">
        <f>AVERAGE(D115/C115,D116/C116,D117/C117,D118/C118,D119/C119)</f>
        <v>4173.535714285715</v>
      </c>
      <c r="E122" s="4" t="s">
        <v>6</v>
      </c>
      <c r="F122" s="25"/>
      <c r="G122" s="113"/>
      <c r="H122" s="91" t="s">
        <v>165</v>
      </c>
      <c r="I122" s="92">
        <v>110</v>
      </c>
      <c r="J122" s="92">
        <v>0.1</v>
      </c>
      <c r="K122" s="92">
        <v>1.4</v>
      </c>
      <c r="L122" s="93">
        <v>0</v>
      </c>
      <c r="M122" s="93">
        <v>0.01</v>
      </c>
      <c r="N122" s="93">
        <v>0</v>
      </c>
      <c r="O122" s="93">
        <v>0.04</v>
      </c>
      <c r="P122" s="93">
        <v>0.22</v>
      </c>
      <c r="Q122" s="93">
        <v>0.2</v>
      </c>
      <c r="R122" s="93">
        <v>0.01</v>
      </c>
      <c r="S122" s="93">
        <v>0.53</v>
      </c>
      <c r="T122" s="94">
        <v>0</v>
      </c>
    </row>
    <row r="123" spans="1:20" ht="15" thickBot="1">
      <c r="A123" s="26" t="s">
        <v>310</v>
      </c>
      <c r="B123" s="16"/>
      <c r="C123" s="16"/>
      <c r="D123" s="16"/>
      <c r="E123" s="16"/>
      <c r="F123" s="17"/>
      <c r="G123" s="114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</row>
    <row r="124" spans="1:20" ht="15">
      <c r="A124" s="9"/>
      <c r="B124" s="4" t="s">
        <v>311</v>
      </c>
      <c r="C124" s="4"/>
      <c r="D124" s="131">
        <v>0.02</v>
      </c>
      <c r="E124" s="4"/>
      <c r="F124" s="25" t="s">
        <v>312</v>
      </c>
      <c r="G124" s="113"/>
      <c r="H124" s="349" t="s">
        <v>23</v>
      </c>
      <c r="I124" s="349"/>
      <c r="J124" s="349"/>
      <c r="K124" s="349"/>
      <c r="L124" s="349"/>
      <c r="M124" s="349"/>
      <c r="N124" s="349"/>
      <c r="O124" s="349"/>
      <c r="P124" s="349"/>
      <c r="Q124" s="349"/>
      <c r="R124" s="349"/>
      <c r="S124" s="349"/>
      <c r="T124" s="350"/>
    </row>
    <row r="125" spans="1:20" ht="14.25">
      <c r="A125" s="9"/>
      <c r="B125" s="4" t="s">
        <v>314</v>
      </c>
      <c r="C125" s="4"/>
      <c r="D125" s="131">
        <v>0.04</v>
      </c>
      <c r="E125" s="4"/>
      <c r="F125" s="25" t="s">
        <v>312</v>
      </c>
      <c r="G125" s="113" t="s">
        <v>313</v>
      </c>
      <c r="H125" s="95"/>
      <c r="I125" s="95"/>
      <c r="J125" s="95"/>
      <c r="K125" s="95"/>
      <c r="L125" s="336" t="s">
        <v>21</v>
      </c>
      <c r="M125" s="336"/>
      <c r="N125" s="336"/>
      <c r="O125" s="336"/>
      <c r="P125" s="336"/>
      <c r="Q125" s="336"/>
      <c r="R125" s="336"/>
      <c r="S125" s="336"/>
      <c r="T125" s="337"/>
    </row>
    <row r="126" spans="1:20" ht="21">
      <c r="A126" s="9"/>
      <c r="B126" s="4" t="s">
        <v>315</v>
      </c>
      <c r="C126" s="4"/>
      <c r="D126" s="131">
        <v>0.02</v>
      </c>
      <c r="E126" s="4"/>
      <c r="F126" s="25" t="s">
        <v>312</v>
      </c>
      <c r="G126" s="113"/>
      <c r="H126" s="338" t="s">
        <v>363</v>
      </c>
      <c r="I126" s="338"/>
      <c r="J126" s="338"/>
      <c r="K126" s="338"/>
      <c r="L126" s="64" t="s">
        <v>381</v>
      </c>
      <c r="M126" s="64" t="s">
        <v>382</v>
      </c>
      <c r="N126" s="64" t="s">
        <v>383</v>
      </c>
      <c r="O126" s="64" t="s">
        <v>384</v>
      </c>
      <c r="P126" s="96" t="s">
        <v>390</v>
      </c>
      <c r="Q126" s="96" t="s">
        <v>391</v>
      </c>
      <c r="R126" s="96" t="s">
        <v>392</v>
      </c>
      <c r="S126" s="96" t="s">
        <v>387</v>
      </c>
      <c r="T126" s="65" t="s">
        <v>365</v>
      </c>
    </row>
    <row r="127" spans="1:20" ht="14.25">
      <c r="A127" s="9"/>
      <c r="B127" s="4"/>
      <c r="C127" s="4"/>
      <c r="E127" s="4"/>
      <c r="F127" s="36"/>
      <c r="G127" s="113"/>
      <c r="H127" s="103"/>
      <c r="I127" s="103"/>
      <c r="J127" s="103"/>
      <c r="K127" s="103"/>
      <c r="L127" s="100">
        <v>4</v>
      </c>
      <c r="M127" s="100">
        <f>L127+1</f>
        <v>5</v>
      </c>
      <c r="N127" s="100">
        <f aca="true" t="shared" si="2" ref="N127:T127">M127+1</f>
        <v>6</v>
      </c>
      <c r="O127" s="100">
        <f t="shared" si="2"/>
        <v>7</v>
      </c>
      <c r="P127" s="100">
        <f t="shared" si="2"/>
        <v>8</v>
      </c>
      <c r="Q127" s="100">
        <f t="shared" si="2"/>
        <v>9</v>
      </c>
      <c r="R127" s="100">
        <f t="shared" si="2"/>
        <v>10</v>
      </c>
      <c r="S127" s="100">
        <f t="shared" si="2"/>
        <v>11</v>
      </c>
      <c r="T127" s="104">
        <f t="shared" si="2"/>
        <v>12</v>
      </c>
    </row>
    <row r="128" spans="1:20" ht="15" customHeight="1">
      <c r="A128" s="9"/>
      <c r="B128" s="4"/>
      <c r="C128" s="4"/>
      <c r="D128" s="4"/>
      <c r="E128" s="4"/>
      <c r="F128" s="25"/>
      <c r="G128" s="113"/>
      <c r="H128" s="66" t="s">
        <v>308</v>
      </c>
      <c r="I128" s="67">
        <v>10</v>
      </c>
      <c r="J128" s="67"/>
      <c r="K128" s="67"/>
      <c r="L128" s="68">
        <v>0.66</v>
      </c>
      <c r="M128" s="68">
        <v>0.17</v>
      </c>
      <c r="N128" s="69">
        <v>0.02</v>
      </c>
      <c r="O128" s="69">
        <v>0.01</v>
      </c>
      <c r="P128" s="69">
        <v>0.03</v>
      </c>
      <c r="Q128" s="69">
        <v>0.17</v>
      </c>
      <c r="R128" s="69">
        <v>0.001</v>
      </c>
      <c r="S128" s="69">
        <v>0.1</v>
      </c>
      <c r="T128" s="70">
        <v>0.01</v>
      </c>
    </row>
    <row r="129" spans="1:20" ht="15" thickBot="1">
      <c r="A129" s="26" t="s">
        <v>219</v>
      </c>
      <c r="B129" s="16"/>
      <c r="C129" s="16"/>
      <c r="D129" s="16"/>
      <c r="E129" s="16"/>
      <c r="F129" s="17"/>
      <c r="G129" s="114"/>
      <c r="H129" s="71"/>
      <c r="I129" s="72">
        <v>11</v>
      </c>
      <c r="J129" s="72"/>
      <c r="K129" s="72"/>
      <c r="L129" s="73">
        <v>0.68</v>
      </c>
      <c r="M129" s="73">
        <v>0.19</v>
      </c>
      <c r="N129" s="74">
        <v>0.02</v>
      </c>
      <c r="O129" s="74">
        <v>0.01</v>
      </c>
      <c r="P129" s="74">
        <v>0.03</v>
      </c>
      <c r="Q129" s="74">
        <v>0.19</v>
      </c>
      <c r="R129" s="74">
        <v>0.001</v>
      </c>
      <c r="S129" s="74">
        <v>0.1</v>
      </c>
      <c r="T129" s="75">
        <v>0.01</v>
      </c>
    </row>
    <row r="130" spans="1:20" ht="15" customHeight="1">
      <c r="A130" s="39"/>
      <c r="B130" s="4" t="s">
        <v>220</v>
      </c>
      <c r="C130" s="4" t="s">
        <v>15</v>
      </c>
      <c r="D130" s="4"/>
      <c r="E130" s="4"/>
      <c r="F130" s="25"/>
      <c r="G130" s="113"/>
      <c r="H130" s="71"/>
      <c r="I130" s="72">
        <v>12</v>
      </c>
      <c r="J130" s="72"/>
      <c r="K130" s="72"/>
      <c r="L130" s="73">
        <v>0.7</v>
      </c>
      <c r="M130" s="73">
        <v>0.2</v>
      </c>
      <c r="N130" s="74">
        <v>0.02</v>
      </c>
      <c r="O130" s="74">
        <v>0.01</v>
      </c>
      <c r="P130" s="74">
        <v>0.03</v>
      </c>
      <c r="Q130" s="74">
        <v>0.2</v>
      </c>
      <c r="R130" s="74">
        <v>0.001</v>
      </c>
      <c r="S130" s="74">
        <v>0.1</v>
      </c>
      <c r="T130" s="75">
        <v>0.01</v>
      </c>
    </row>
    <row r="131" spans="1:20" ht="14.25">
      <c r="A131" s="9"/>
      <c r="B131" s="4" t="s">
        <v>221</v>
      </c>
      <c r="C131" s="1"/>
      <c r="D131" s="202">
        <f>'Entrada de Dados do Usuário'!C93</f>
        <v>0</v>
      </c>
      <c r="E131" s="4" t="s">
        <v>112</v>
      </c>
      <c r="F131" s="25"/>
      <c r="G131" s="363"/>
      <c r="H131" s="71"/>
      <c r="I131" s="72">
        <v>13</v>
      </c>
      <c r="J131" s="72"/>
      <c r="K131" s="72"/>
      <c r="L131" s="73">
        <v>0.71</v>
      </c>
      <c r="M131" s="73">
        <v>0.22</v>
      </c>
      <c r="N131" s="74">
        <v>0.02</v>
      </c>
      <c r="O131" s="74">
        <v>0.01</v>
      </c>
      <c r="P131" s="74">
        <v>0.03</v>
      </c>
      <c r="Q131" s="74">
        <v>0.22</v>
      </c>
      <c r="R131" s="74">
        <v>0.001</v>
      </c>
      <c r="S131" s="74">
        <v>0.1</v>
      </c>
      <c r="T131" s="75">
        <v>0.01</v>
      </c>
    </row>
    <row r="132" spans="1:20" ht="14.25">
      <c r="A132" s="9"/>
      <c r="B132" s="4" t="s">
        <v>222</v>
      </c>
      <c r="C132" s="1"/>
      <c r="D132" s="47">
        <f>'Entrada de Dados do Usuário'!C94</f>
        <v>0</v>
      </c>
      <c r="E132" s="4"/>
      <c r="F132" s="25"/>
      <c r="G132" s="363"/>
      <c r="H132" s="76"/>
      <c r="I132" s="77">
        <v>14</v>
      </c>
      <c r="J132" s="77"/>
      <c r="K132" s="77"/>
      <c r="L132" s="78">
        <v>0.73</v>
      </c>
      <c r="M132" s="78">
        <v>0.25</v>
      </c>
      <c r="N132" s="79">
        <v>0.02</v>
      </c>
      <c r="O132" s="79">
        <v>0.01</v>
      </c>
      <c r="P132" s="79">
        <v>0.03</v>
      </c>
      <c r="Q132" s="79">
        <v>0.25</v>
      </c>
      <c r="R132" s="79">
        <v>0.001</v>
      </c>
      <c r="S132" s="79">
        <v>0.1</v>
      </c>
      <c r="T132" s="80">
        <v>0.01</v>
      </c>
    </row>
    <row r="133" spans="1:20" ht="14.25">
      <c r="A133" s="37"/>
      <c r="B133" s="1" t="s">
        <v>223</v>
      </c>
      <c r="C133" s="1"/>
      <c r="D133" s="132">
        <f>1-'Entrada de Dados do Usuário'!C92</f>
        <v>1</v>
      </c>
      <c r="E133" s="1"/>
      <c r="F133" s="38"/>
      <c r="G133" s="363"/>
      <c r="H133" s="66" t="s">
        <v>306</v>
      </c>
      <c r="I133" s="67">
        <v>15</v>
      </c>
      <c r="J133" s="67"/>
      <c r="K133" s="67"/>
      <c r="L133" s="68">
        <v>0.74</v>
      </c>
      <c r="M133" s="68">
        <v>0.27</v>
      </c>
      <c r="N133" s="69">
        <v>0.04</v>
      </c>
      <c r="O133" s="69">
        <v>0.015</v>
      </c>
      <c r="P133" s="69">
        <v>0.03</v>
      </c>
      <c r="Q133" s="69">
        <v>0.27</v>
      </c>
      <c r="R133" s="69">
        <v>0.005</v>
      </c>
      <c r="S133" s="69">
        <v>0.1</v>
      </c>
      <c r="T133" s="70">
        <v>0.01</v>
      </c>
    </row>
    <row r="134" spans="1:20" ht="14.25">
      <c r="A134" s="37"/>
      <c r="B134" s="1"/>
      <c r="C134" s="1"/>
      <c r="D134" s="1"/>
      <c r="E134" s="1"/>
      <c r="F134" s="38"/>
      <c r="G134" s="118"/>
      <c r="H134" s="71"/>
      <c r="I134" s="72">
        <v>16</v>
      </c>
      <c r="J134" s="72"/>
      <c r="K134" s="72"/>
      <c r="L134" s="73">
        <v>0.75</v>
      </c>
      <c r="M134" s="73">
        <v>0.29</v>
      </c>
      <c r="N134" s="74">
        <v>0.04</v>
      </c>
      <c r="O134" s="74">
        <v>0.015</v>
      </c>
      <c r="P134" s="74">
        <v>0.03</v>
      </c>
      <c r="Q134" s="74">
        <v>0.29</v>
      </c>
      <c r="R134" s="74">
        <v>0.005</v>
      </c>
      <c r="S134" s="74">
        <v>0.1</v>
      </c>
      <c r="T134" s="75">
        <v>0.01</v>
      </c>
    </row>
    <row r="135" spans="1:20" ht="15" thickBot="1">
      <c r="A135" s="26" t="s">
        <v>224</v>
      </c>
      <c r="B135" s="16"/>
      <c r="C135" s="16"/>
      <c r="D135" s="16"/>
      <c r="E135" s="16"/>
      <c r="F135" s="17"/>
      <c r="G135" s="114"/>
      <c r="H135" s="71"/>
      <c r="I135" s="72">
        <v>17</v>
      </c>
      <c r="J135" s="72"/>
      <c r="K135" s="72"/>
      <c r="L135" s="73">
        <v>0.76</v>
      </c>
      <c r="M135" s="73">
        <v>0.32</v>
      </c>
      <c r="N135" s="74">
        <v>0.04</v>
      </c>
      <c r="O135" s="74">
        <v>0.015</v>
      </c>
      <c r="P135" s="74">
        <v>0.03</v>
      </c>
      <c r="Q135" s="74">
        <v>0.32</v>
      </c>
      <c r="R135" s="74">
        <v>0.005</v>
      </c>
      <c r="S135" s="74">
        <v>0.1</v>
      </c>
      <c r="T135" s="75">
        <v>0.01</v>
      </c>
    </row>
    <row r="136" spans="1:20" ht="14.25">
      <c r="A136" s="39"/>
      <c r="B136" s="4" t="s">
        <v>225</v>
      </c>
      <c r="C136" s="1"/>
      <c r="D136" s="122">
        <v>25000</v>
      </c>
      <c r="E136" s="4" t="s">
        <v>5</v>
      </c>
      <c r="F136" s="25">
        <v>72000</v>
      </c>
      <c r="G136" s="113"/>
      <c r="H136" s="71"/>
      <c r="I136" s="72">
        <v>18</v>
      </c>
      <c r="J136" s="72"/>
      <c r="K136" s="72"/>
      <c r="L136" s="73">
        <v>0.77</v>
      </c>
      <c r="M136" s="73">
        <v>0.35</v>
      </c>
      <c r="N136" s="74">
        <v>0.04</v>
      </c>
      <c r="O136" s="74">
        <v>0.015</v>
      </c>
      <c r="P136" s="74">
        <v>0.03</v>
      </c>
      <c r="Q136" s="74">
        <v>0.35</v>
      </c>
      <c r="R136" s="74">
        <v>0.005</v>
      </c>
      <c r="S136" s="74">
        <v>0.1</v>
      </c>
      <c r="T136" s="75">
        <v>0.01</v>
      </c>
    </row>
    <row r="137" spans="1:20" ht="14.25">
      <c r="A137" s="9"/>
      <c r="B137" s="4" t="s">
        <v>226</v>
      </c>
      <c r="C137" s="1"/>
      <c r="D137" s="122">
        <v>25000</v>
      </c>
      <c r="E137" s="4" t="s">
        <v>5</v>
      </c>
      <c r="F137" s="25">
        <v>63000</v>
      </c>
      <c r="G137" s="113"/>
      <c r="H137" s="71"/>
      <c r="I137" s="72">
        <v>19</v>
      </c>
      <c r="J137" s="72"/>
      <c r="K137" s="72"/>
      <c r="L137" s="73">
        <v>0.77</v>
      </c>
      <c r="M137" s="73">
        <v>0.39</v>
      </c>
      <c r="N137" s="74">
        <v>0.04</v>
      </c>
      <c r="O137" s="74">
        <v>0.015</v>
      </c>
      <c r="P137" s="74">
        <v>0.03</v>
      </c>
      <c r="Q137" s="74">
        <v>0.39</v>
      </c>
      <c r="R137" s="74">
        <v>0.005</v>
      </c>
      <c r="S137" s="74">
        <v>0.1</v>
      </c>
      <c r="T137" s="75">
        <v>0.01</v>
      </c>
    </row>
    <row r="138" spans="1:20" ht="14.25">
      <c r="A138" s="9"/>
      <c r="B138" s="4" t="s">
        <v>228</v>
      </c>
      <c r="C138" s="1"/>
      <c r="D138" s="122">
        <v>15000</v>
      </c>
      <c r="E138" s="4" t="s">
        <v>5</v>
      </c>
      <c r="F138" s="25">
        <v>45000</v>
      </c>
      <c r="G138" s="121"/>
      <c r="H138" s="71"/>
      <c r="I138" s="72">
        <v>20</v>
      </c>
      <c r="J138" s="72"/>
      <c r="K138" s="72"/>
      <c r="L138" s="73">
        <v>0.78</v>
      </c>
      <c r="M138" s="73">
        <v>0.42</v>
      </c>
      <c r="N138" s="74">
        <v>0.04</v>
      </c>
      <c r="O138" s="74">
        <v>0.015</v>
      </c>
      <c r="P138" s="74">
        <v>0.03</v>
      </c>
      <c r="Q138" s="74">
        <v>0.42</v>
      </c>
      <c r="R138" s="74">
        <v>0.005</v>
      </c>
      <c r="S138" s="74">
        <v>0.1</v>
      </c>
      <c r="T138" s="75">
        <v>0.01</v>
      </c>
    </row>
    <row r="139" spans="1:20" ht="14.25">
      <c r="A139" s="37"/>
      <c r="B139" s="1" t="s">
        <v>227</v>
      </c>
      <c r="C139" s="1"/>
      <c r="D139" s="1">
        <v>20</v>
      </c>
      <c r="E139" s="1" t="s">
        <v>34</v>
      </c>
      <c r="F139" s="38"/>
      <c r="G139" s="118"/>
      <c r="H139" s="71"/>
      <c r="I139" s="72">
        <v>21</v>
      </c>
      <c r="J139" s="72"/>
      <c r="K139" s="72"/>
      <c r="L139" s="73">
        <v>0.78</v>
      </c>
      <c r="M139" s="73">
        <v>0.46</v>
      </c>
      <c r="N139" s="74">
        <v>0.04</v>
      </c>
      <c r="O139" s="74">
        <v>0.015</v>
      </c>
      <c r="P139" s="74">
        <v>0.03</v>
      </c>
      <c r="Q139" s="74">
        <v>0.46</v>
      </c>
      <c r="R139" s="74">
        <v>0.005</v>
      </c>
      <c r="S139" s="74">
        <v>0.1</v>
      </c>
      <c r="T139" s="75">
        <v>0.01</v>
      </c>
    </row>
    <row r="140" spans="1:20" ht="15" thickBot="1">
      <c r="A140" s="133" t="s">
        <v>357</v>
      </c>
      <c r="B140" s="218"/>
      <c r="C140" s="215"/>
      <c r="D140" s="215"/>
      <c r="E140" s="215"/>
      <c r="F140" s="216"/>
      <c r="G140" s="217"/>
      <c r="H140" s="71"/>
      <c r="I140" s="72">
        <v>22</v>
      </c>
      <c r="J140" s="72"/>
      <c r="K140" s="72"/>
      <c r="L140" s="73">
        <v>0.78</v>
      </c>
      <c r="M140" s="73">
        <v>0.5</v>
      </c>
      <c r="N140" s="74">
        <v>0.04</v>
      </c>
      <c r="O140" s="74">
        <v>0.015</v>
      </c>
      <c r="P140" s="74">
        <v>0.03</v>
      </c>
      <c r="Q140" s="74">
        <v>0.5</v>
      </c>
      <c r="R140" s="74">
        <v>0.005</v>
      </c>
      <c r="S140" s="74">
        <v>0.1</v>
      </c>
      <c r="T140" s="75">
        <v>0.01</v>
      </c>
    </row>
    <row r="141" spans="1:20" ht="14.25">
      <c r="A141" s="37"/>
      <c r="B141" s="4" t="s">
        <v>358</v>
      </c>
      <c r="C141" s="1"/>
      <c r="D141" s="131">
        <v>0.05</v>
      </c>
      <c r="E141" s="1"/>
      <c r="F141" s="38"/>
      <c r="G141" s="118"/>
      <c r="H141" s="71"/>
      <c r="I141" s="72">
        <v>23</v>
      </c>
      <c r="J141" s="72"/>
      <c r="K141" s="72"/>
      <c r="L141" s="73">
        <v>0.79</v>
      </c>
      <c r="M141" s="73">
        <v>0.55</v>
      </c>
      <c r="N141" s="74">
        <v>0.04</v>
      </c>
      <c r="O141" s="74">
        <v>0.015</v>
      </c>
      <c r="P141" s="74">
        <v>0.03</v>
      </c>
      <c r="Q141" s="74">
        <v>0.55</v>
      </c>
      <c r="R141" s="74">
        <v>0.005</v>
      </c>
      <c r="S141" s="74">
        <v>0.1</v>
      </c>
      <c r="T141" s="75">
        <v>0.01</v>
      </c>
    </row>
    <row r="142" spans="1:20" ht="14.25">
      <c r="A142" s="37"/>
      <c r="B142" s="4" t="s">
        <v>359</v>
      </c>
      <c r="C142" s="1"/>
      <c r="D142" s="132">
        <v>0.1</v>
      </c>
      <c r="E142" s="1"/>
      <c r="F142" s="38"/>
      <c r="G142" s="118"/>
      <c r="H142" s="71"/>
      <c r="I142" s="72">
        <v>24</v>
      </c>
      <c r="J142" s="72"/>
      <c r="K142" s="72"/>
      <c r="L142" s="73">
        <v>0.79</v>
      </c>
      <c r="M142" s="73">
        <v>0.6</v>
      </c>
      <c r="N142" s="74">
        <v>0.04</v>
      </c>
      <c r="O142" s="74">
        <v>0.015</v>
      </c>
      <c r="P142" s="74">
        <v>0.03</v>
      </c>
      <c r="Q142" s="74">
        <v>0.6</v>
      </c>
      <c r="R142" s="74">
        <v>0.005</v>
      </c>
      <c r="S142" s="74">
        <v>0.1</v>
      </c>
      <c r="T142" s="75">
        <v>0.01</v>
      </c>
    </row>
    <row r="143" spans="1:20" ht="14.25">
      <c r="A143" s="37"/>
      <c r="B143" s="4" t="s">
        <v>360</v>
      </c>
      <c r="C143" s="1"/>
      <c r="D143" s="132">
        <v>0.1</v>
      </c>
      <c r="E143" s="1"/>
      <c r="F143" s="38"/>
      <c r="G143" s="118"/>
      <c r="H143" s="76"/>
      <c r="I143" s="77">
        <v>25</v>
      </c>
      <c r="J143" s="77"/>
      <c r="K143" s="77"/>
      <c r="L143" s="78">
        <v>0.79</v>
      </c>
      <c r="M143" s="78">
        <v>0.65</v>
      </c>
      <c r="N143" s="79">
        <v>0.04</v>
      </c>
      <c r="O143" s="79">
        <v>0.015</v>
      </c>
      <c r="P143" s="79">
        <v>0.03</v>
      </c>
      <c r="Q143" s="79">
        <v>0.65</v>
      </c>
      <c r="R143" s="79">
        <v>0.005</v>
      </c>
      <c r="S143" s="79">
        <v>0.1</v>
      </c>
      <c r="T143" s="80">
        <v>0.01</v>
      </c>
    </row>
    <row r="144" spans="1:20" ht="15" thickBot="1">
      <c r="A144" s="31"/>
      <c r="B144" s="33"/>
      <c r="C144" s="33"/>
      <c r="D144" s="33"/>
      <c r="E144" s="33"/>
      <c r="F144" s="32"/>
      <c r="G144" s="119"/>
      <c r="H144" s="66" t="s">
        <v>307</v>
      </c>
      <c r="I144" s="67">
        <v>26</v>
      </c>
      <c r="J144" s="67"/>
      <c r="K144" s="67"/>
      <c r="L144" s="68">
        <v>0.79</v>
      </c>
      <c r="M144" s="68">
        <v>0.71</v>
      </c>
      <c r="N144" s="69">
        <v>0.05</v>
      </c>
      <c r="O144" s="69">
        <v>0.02</v>
      </c>
      <c r="P144" s="69">
        <v>0.3</v>
      </c>
      <c r="Q144" s="69">
        <v>0.71</v>
      </c>
      <c r="R144" s="69">
        <v>0.01</v>
      </c>
      <c r="S144" s="69">
        <v>0.1</v>
      </c>
      <c r="T144" s="70">
        <v>0.01</v>
      </c>
    </row>
    <row r="145" spans="1:20" ht="14.25">
      <c r="A145" s="37"/>
      <c r="B145" s="1"/>
      <c r="C145" s="1"/>
      <c r="D145" s="1"/>
      <c r="E145" s="1"/>
      <c r="F145" s="38"/>
      <c r="G145" s="118"/>
      <c r="H145" s="71"/>
      <c r="I145" s="72">
        <v>27</v>
      </c>
      <c r="J145" s="72"/>
      <c r="K145" s="72"/>
      <c r="L145" s="73">
        <v>0.8</v>
      </c>
      <c r="M145" s="73">
        <v>0.78</v>
      </c>
      <c r="N145" s="74">
        <v>0.05</v>
      </c>
      <c r="O145" s="74">
        <v>0.02</v>
      </c>
      <c r="P145" s="74">
        <v>0.3</v>
      </c>
      <c r="Q145" s="74">
        <v>0.78</v>
      </c>
      <c r="R145" s="74">
        <v>0.01</v>
      </c>
      <c r="S145" s="74">
        <v>0.1</v>
      </c>
      <c r="T145" s="75">
        <v>0.01</v>
      </c>
    </row>
    <row r="146" spans="1:20" ht="14.25">
      <c r="A146" s="37"/>
      <c r="B146" s="1"/>
      <c r="C146" s="1"/>
      <c r="D146" s="1"/>
      <c r="E146" s="1"/>
      <c r="F146" s="38"/>
      <c r="G146" s="118"/>
      <c r="H146" s="76"/>
      <c r="I146" s="77">
        <v>28</v>
      </c>
      <c r="J146" s="77"/>
      <c r="K146" s="77"/>
      <c r="L146" s="78">
        <v>0.8</v>
      </c>
      <c r="M146" s="78">
        <v>0.8</v>
      </c>
      <c r="N146" s="79">
        <v>0.05</v>
      </c>
      <c r="O146" s="79">
        <v>0.02</v>
      </c>
      <c r="P146" s="79">
        <v>0.3</v>
      </c>
      <c r="Q146" s="79">
        <v>0.8</v>
      </c>
      <c r="R146" s="79">
        <v>0.01</v>
      </c>
      <c r="S146" s="79">
        <v>0.1</v>
      </c>
      <c r="T146" s="80">
        <v>0.01</v>
      </c>
    </row>
    <row r="147" spans="1:20" ht="14.25">
      <c r="A147" s="37"/>
      <c r="B147" s="1"/>
      <c r="C147" s="1"/>
      <c r="D147" s="1"/>
      <c r="E147" s="1"/>
      <c r="F147" s="38"/>
      <c r="G147" s="118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3"/>
    </row>
    <row r="148" spans="1:20" ht="14.25">
      <c r="A148" s="37"/>
      <c r="B148" s="1"/>
      <c r="C148" s="1"/>
      <c r="D148" s="1"/>
      <c r="E148" s="1"/>
      <c r="F148" s="38"/>
      <c r="G148" s="118"/>
      <c r="H148" s="84" t="s">
        <v>163</v>
      </c>
      <c r="I148" s="95"/>
      <c r="J148" s="95"/>
      <c r="K148" s="59"/>
      <c r="L148" s="339" t="s">
        <v>305</v>
      </c>
      <c r="M148" s="339"/>
      <c r="N148" s="339"/>
      <c r="O148" s="339"/>
      <c r="P148" s="339"/>
      <c r="Q148" s="339"/>
      <c r="R148" s="339"/>
      <c r="S148" s="339"/>
      <c r="T148" s="340"/>
    </row>
    <row r="149" spans="1:20" ht="14.25">
      <c r="A149" s="37"/>
      <c r="B149" s="1"/>
      <c r="C149" s="1"/>
      <c r="D149" s="1"/>
      <c r="E149" s="1"/>
      <c r="F149" s="38"/>
      <c r="G149" s="118"/>
      <c r="H149" s="99"/>
      <c r="I149" s="100" t="s">
        <v>164</v>
      </c>
      <c r="J149" s="100" t="s">
        <v>19</v>
      </c>
      <c r="K149" s="100" t="s">
        <v>264</v>
      </c>
      <c r="L149" s="101"/>
      <c r="M149" s="101"/>
      <c r="N149" s="101"/>
      <c r="O149" s="101"/>
      <c r="P149" s="101"/>
      <c r="Q149" s="101"/>
      <c r="R149" s="101"/>
      <c r="S149" s="101"/>
      <c r="T149" s="102"/>
    </row>
    <row r="150" spans="1:20" ht="15.75" customHeight="1">
      <c r="A150" s="37"/>
      <c r="B150" s="1"/>
      <c r="C150" s="1"/>
      <c r="D150" s="1"/>
      <c r="E150" s="1"/>
      <c r="F150" s="38"/>
      <c r="G150" s="118"/>
      <c r="H150" s="88" t="s">
        <v>393</v>
      </c>
      <c r="I150" s="82">
        <v>46</v>
      </c>
      <c r="J150" s="82">
        <v>0.48</v>
      </c>
      <c r="K150" s="82">
        <v>0.27</v>
      </c>
      <c r="L150" s="74">
        <v>0.328</v>
      </c>
      <c r="M150" s="74">
        <v>0.185</v>
      </c>
      <c r="N150" s="74">
        <v>0.042</v>
      </c>
      <c r="O150" s="74">
        <v>0.04</v>
      </c>
      <c r="P150" s="74">
        <v>0</v>
      </c>
      <c r="Q150" s="74">
        <v>0.406</v>
      </c>
      <c r="R150" s="74">
        <v>0</v>
      </c>
      <c r="S150" s="74">
        <v>0</v>
      </c>
      <c r="T150" s="75">
        <v>0</v>
      </c>
    </row>
    <row r="151" spans="1:20" ht="14.25">
      <c r="A151" s="37"/>
      <c r="B151" s="1"/>
      <c r="C151" s="1"/>
      <c r="D151" s="1"/>
      <c r="E151" s="1"/>
      <c r="F151" s="38"/>
      <c r="G151" s="118"/>
      <c r="H151" s="90" t="s">
        <v>394</v>
      </c>
      <c r="I151" s="82">
        <v>50</v>
      </c>
      <c r="J151" s="82">
        <v>0.45</v>
      </c>
      <c r="K151" s="82">
        <v>0.3</v>
      </c>
      <c r="L151" s="74">
        <v>0.087</v>
      </c>
      <c r="M151" s="74">
        <v>0</v>
      </c>
      <c r="N151" s="74">
        <v>0.137</v>
      </c>
      <c r="O151" s="74">
        <v>0</v>
      </c>
      <c r="P151" s="74">
        <v>0.028</v>
      </c>
      <c r="Q151" s="74">
        <v>0.698</v>
      </c>
      <c r="R151" s="74">
        <v>0.02</v>
      </c>
      <c r="S151" s="74">
        <v>0</v>
      </c>
      <c r="T151" s="75">
        <v>0.03</v>
      </c>
    </row>
    <row r="152" spans="1:20" ht="15.75" customHeight="1">
      <c r="A152" s="37"/>
      <c r="B152" s="1"/>
      <c r="C152" s="1"/>
      <c r="D152" s="1"/>
      <c r="E152" s="1"/>
      <c r="F152" s="38"/>
      <c r="G152" s="118"/>
      <c r="H152" s="90" t="s">
        <v>395</v>
      </c>
      <c r="I152" s="82">
        <v>50</v>
      </c>
      <c r="J152" s="82">
        <v>0.45</v>
      </c>
      <c r="K152" s="82">
        <v>0.3</v>
      </c>
      <c r="L152" s="74">
        <v>0.03</v>
      </c>
      <c r="M152" s="74">
        <v>0</v>
      </c>
      <c r="N152" s="74">
        <v>0.42</v>
      </c>
      <c r="O152" s="74">
        <v>0</v>
      </c>
      <c r="P152" s="74">
        <v>0.247</v>
      </c>
      <c r="Q152" s="74">
        <v>0.247</v>
      </c>
      <c r="R152" s="74">
        <v>0</v>
      </c>
      <c r="S152" s="74">
        <v>0</v>
      </c>
      <c r="T152" s="75">
        <v>0.057</v>
      </c>
    </row>
    <row r="153" spans="1:20" ht="14.25">
      <c r="A153" s="37"/>
      <c r="B153" s="1"/>
      <c r="C153" s="1"/>
      <c r="D153" s="1"/>
      <c r="E153" s="1"/>
      <c r="F153" s="38"/>
      <c r="G153" s="118"/>
      <c r="H153" s="90" t="s">
        <v>40</v>
      </c>
      <c r="I153" s="82">
        <v>45</v>
      </c>
      <c r="J153" s="82">
        <v>0.45</v>
      </c>
      <c r="K153" s="82">
        <v>0.28</v>
      </c>
      <c r="L153" s="74">
        <v>0.54</v>
      </c>
      <c r="M153" s="74">
        <v>0</v>
      </c>
      <c r="N153" s="74">
        <v>0.03</v>
      </c>
      <c r="O153" s="74">
        <v>0.15</v>
      </c>
      <c r="P153" s="74">
        <v>0</v>
      </c>
      <c r="Q153" s="74">
        <v>0</v>
      </c>
      <c r="R153" s="74">
        <v>0</v>
      </c>
      <c r="S153" s="74">
        <v>0</v>
      </c>
      <c r="T153" s="75">
        <v>0.28</v>
      </c>
    </row>
    <row r="154" spans="1:20" ht="14.25">
      <c r="A154" s="37"/>
      <c r="B154" s="1"/>
      <c r="C154" s="1"/>
      <c r="D154" s="1"/>
      <c r="E154" s="1"/>
      <c r="F154" s="38"/>
      <c r="G154" s="118"/>
      <c r="H154" s="90" t="s">
        <v>396</v>
      </c>
      <c r="I154" s="82">
        <v>28</v>
      </c>
      <c r="J154" s="82">
        <v>0.29</v>
      </c>
      <c r="K154" s="82">
        <v>0.3</v>
      </c>
      <c r="L154" s="74">
        <v>0</v>
      </c>
      <c r="M154" s="74">
        <v>0.08</v>
      </c>
      <c r="N154" s="74">
        <v>0.1</v>
      </c>
      <c r="O154" s="74">
        <v>0.41</v>
      </c>
      <c r="P154" s="74">
        <v>0</v>
      </c>
      <c r="Q154" s="74">
        <v>0</v>
      </c>
      <c r="R154" s="74">
        <v>0.02</v>
      </c>
      <c r="S154" s="74">
        <v>0</v>
      </c>
      <c r="T154" s="75">
        <v>0.4</v>
      </c>
    </row>
    <row r="155" spans="1:20" ht="14.25">
      <c r="A155" s="37"/>
      <c r="B155" s="1"/>
      <c r="C155" s="1"/>
      <c r="D155" s="1"/>
      <c r="E155" s="1"/>
      <c r="F155" s="38"/>
      <c r="G155" s="118"/>
      <c r="H155" s="90" t="s">
        <v>397</v>
      </c>
      <c r="I155" s="82">
        <v>28</v>
      </c>
      <c r="J155" s="82">
        <v>0.29</v>
      </c>
      <c r="K155" s="82">
        <v>0.3</v>
      </c>
      <c r="L155" s="74">
        <v>0</v>
      </c>
      <c r="M155" s="74">
        <v>0.06</v>
      </c>
      <c r="N155" s="74">
        <v>0.06</v>
      </c>
      <c r="O155" s="74">
        <v>0.87</v>
      </c>
      <c r="P155" s="74">
        <v>0.01</v>
      </c>
      <c r="Q155" s="74">
        <v>0</v>
      </c>
      <c r="R155" s="74">
        <v>0</v>
      </c>
      <c r="S155" s="74">
        <v>0</v>
      </c>
      <c r="T155" s="75">
        <v>0</v>
      </c>
    </row>
    <row r="156" spans="1:20" ht="14.25">
      <c r="A156" s="37"/>
      <c r="B156" s="1"/>
      <c r="C156" s="1"/>
      <c r="D156" s="1"/>
      <c r="E156" s="1"/>
      <c r="F156" s="38"/>
      <c r="G156" s="118"/>
      <c r="H156" s="90" t="s">
        <v>166</v>
      </c>
      <c r="I156" s="82">
        <v>28</v>
      </c>
      <c r="J156" s="82">
        <v>0.29</v>
      </c>
      <c r="K156" s="82">
        <v>0.3</v>
      </c>
      <c r="L156" s="74">
        <v>0</v>
      </c>
      <c r="M156" s="74">
        <v>0.14</v>
      </c>
      <c r="N156" s="74">
        <v>0</v>
      </c>
      <c r="O156" s="74">
        <v>0.69</v>
      </c>
      <c r="P156" s="74">
        <v>0</v>
      </c>
      <c r="Q156" s="74">
        <v>0.17</v>
      </c>
      <c r="R156" s="74">
        <v>0</v>
      </c>
      <c r="S156" s="74">
        <v>0</v>
      </c>
      <c r="T156" s="75">
        <v>0</v>
      </c>
    </row>
    <row r="157" spans="1:20" ht="14.25">
      <c r="A157" s="37"/>
      <c r="B157" s="1"/>
      <c r="C157" s="1"/>
      <c r="D157" s="1"/>
      <c r="E157" s="1"/>
      <c r="F157" s="38"/>
      <c r="G157" s="118"/>
      <c r="H157" s="90" t="s">
        <v>398</v>
      </c>
      <c r="I157" s="82">
        <v>28</v>
      </c>
      <c r="J157" s="82">
        <v>0.29</v>
      </c>
      <c r="K157" s="82">
        <v>0.3</v>
      </c>
      <c r="L157" s="74">
        <v>0</v>
      </c>
      <c r="M157" s="74">
        <v>0.4</v>
      </c>
      <c r="N157" s="74">
        <v>0</v>
      </c>
      <c r="O157" s="74">
        <v>0.54</v>
      </c>
      <c r="P157" s="74">
        <v>0</v>
      </c>
      <c r="Q157" s="74">
        <v>0</v>
      </c>
      <c r="R157" s="74">
        <v>0</v>
      </c>
      <c r="S157" s="74">
        <v>0.07</v>
      </c>
      <c r="T157" s="75">
        <v>0</v>
      </c>
    </row>
    <row r="158" spans="1:20" ht="15" thickBot="1">
      <c r="A158" s="37"/>
      <c r="B158" s="1"/>
      <c r="C158" s="1"/>
      <c r="D158" s="1"/>
      <c r="E158" s="1"/>
      <c r="F158" s="38"/>
      <c r="G158" s="57"/>
      <c r="H158" s="145" t="s">
        <v>165</v>
      </c>
      <c r="I158" s="92">
        <v>28</v>
      </c>
      <c r="J158" s="92">
        <v>0.29</v>
      </c>
      <c r="K158" s="92">
        <v>0.3</v>
      </c>
      <c r="L158" s="93">
        <v>0.09</v>
      </c>
      <c r="M158" s="93">
        <v>0.22</v>
      </c>
      <c r="N158" s="93">
        <v>0.16</v>
      </c>
      <c r="O158" s="93">
        <v>0.3</v>
      </c>
      <c r="P158" s="93">
        <v>0.03</v>
      </c>
      <c r="Q158" s="93">
        <v>0</v>
      </c>
      <c r="R158" s="93">
        <v>0.09</v>
      </c>
      <c r="S158" s="93">
        <v>0.08</v>
      </c>
      <c r="T158" s="94">
        <v>0.03</v>
      </c>
    </row>
    <row r="159" spans="1:20" ht="15" thickBot="1">
      <c r="A159" s="37"/>
      <c r="B159" s="1"/>
      <c r="C159" s="1"/>
      <c r="D159" s="1"/>
      <c r="E159" s="1"/>
      <c r="F159" s="38"/>
      <c r="G159" s="57"/>
      <c r="H159" s="219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</row>
    <row r="160" spans="1:20" ht="14.25">
      <c r="A160" s="9"/>
      <c r="B160" s="4"/>
      <c r="C160" s="4"/>
      <c r="D160" s="4"/>
      <c r="E160" s="4"/>
      <c r="F160" s="25"/>
      <c r="G160" s="134"/>
      <c r="H160" s="348" t="s">
        <v>309</v>
      </c>
      <c r="I160" s="349"/>
      <c r="J160" s="349"/>
      <c r="K160" s="349"/>
      <c r="L160" s="349"/>
      <c r="M160" s="349"/>
      <c r="N160" s="349"/>
      <c r="O160" s="349"/>
      <c r="P160" s="349"/>
      <c r="Q160" s="349"/>
      <c r="R160" s="349"/>
      <c r="S160" s="349"/>
      <c r="T160" s="350"/>
    </row>
    <row r="161" spans="8:20" ht="14.25">
      <c r="H161" s="135"/>
      <c r="I161" s="95"/>
      <c r="J161" s="95"/>
      <c r="K161" s="95"/>
      <c r="L161" s="336" t="s">
        <v>21</v>
      </c>
      <c r="M161" s="336"/>
      <c r="N161" s="336"/>
      <c r="O161" s="336"/>
      <c r="P161" s="336"/>
      <c r="Q161" s="336"/>
      <c r="R161" s="336"/>
      <c r="S161" s="336"/>
      <c r="T161" s="337"/>
    </row>
    <row r="162" spans="8:20" ht="21">
      <c r="H162" s="351" t="s">
        <v>363</v>
      </c>
      <c r="I162" s="338"/>
      <c r="J162" s="338"/>
      <c r="K162" s="338"/>
      <c r="L162" s="64" t="s">
        <v>381</v>
      </c>
      <c r="M162" s="64" t="s">
        <v>382</v>
      </c>
      <c r="N162" s="64" t="s">
        <v>383</v>
      </c>
      <c r="O162" s="64" t="s">
        <v>384</v>
      </c>
      <c r="P162" s="96" t="s">
        <v>390</v>
      </c>
      <c r="Q162" s="96" t="s">
        <v>391</v>
      </c>
      <c r="R162" s="96" t="s">
        <v>392</v>
      </c>
      <c r="S162" s="96" t="s">
        <v>387</v>
      </c>
      <c r="T162" s="65" t="s">
        <v>365</v>
      </c>
    </row>
    <row r="163" spans="8:20" ht="14.25">
      <c r="H163" s="136"/>
      <c r="I163" s="103"/>
      <c r="J163" s="103"/>
      <c r="K163" s="103"/>
      <c r="L163" s="100">
        <v>4</v>
      </c>
      <c r="M163" s="100">
        <f>L163+1</f>
        <v>5</v>
      </c>
      <c r="N163" s="100">
        <f aca="true" t="shared" si="3" ref="N163:T163">M163+1</f>
        <v>6</v>
      </c>
      <c r="O163" s="100">
        <f t="shared" si="3"/>
        <v>7</v>
      </c>
      <c r="P163" s="100">
        <f t="shared" si="3"/>
        <v>8</v>
      </c>
      <c r="Q163" s="100">
        <f t="shared" si="3"/>
        <v>9</v>
      </c>
      <c r="R163" s="100">
        <f t="shared" si="3"/>
        <v>10</v>
      </c>
      <c r="S163" s="100">
        <f t="shared" si="3"/>
        <v>11</v>
      </c>
      <c r="T163" s="104">
        <f t="shared" si="3"/>
        <v>12</v>
      </c>
    </row>
    <row r="164" spans="8:20" ht="14.25">
      <c r="H164" s="137" t="s">
        <v>308</v>
      </c>
      <c r="I164" s="67">
        <v>10</v>
      </c>
      <c r="J164" s="67"/>
      <c r="K164" s="67"/>
      <c r="L164" s="68">
        <v>0.66</v>
      </c>
      <c r="M164" s="68">
        <v>0.17</v>
      </c>
      <c r="N164" s="69">
        <v>0.02</v>
      </c>
      <c r="O164" s="69">
        <v>0.01</v>
      </c>
      <c r="P164" s="69">
        <v>0.03</v>
      </c>
      <c r="Q164" s="69">
        <v>0.17</v>
      </c>
      <c r="R164" s="69">
        <v>0.001</v>
      </c>
      <c r="S164" s="69">
        <v>0.1</v>
      </c>
      <c r="T164" s="70">
        <v>0.01</v>
      </c>
    </row>
    <row r="165" spans="8:20" ht="14.25">
      <c r="H165" s="138"/>
      <c r="I165" s="72">
        <v>11</v>
      </c>
      <c r="J165" s="72"/>
      <c r="K165" s="72"/>
      <c r="L165" s="73">
        <v>0.68</v>
      </c>
      <c r="M165" s="73">
        <v>0.19</v>
      </c>
      <c r="N165" s="74">
        <v>0.02</v>
      </c>
      <c r="O165" s="74">
        <v>0.01</v>
      </c>
      <c r="P165" s="74">
        <v>0.03</v>
      </c>
      <c r="Q165" s="74">
        <v>0.19</v>
      </c>
      <c r="R165" s="74">
        <v>0.001</v>
      </c>
      <c r="S165" s="74">
        <v>0.1</v>
      </c>
      <c r="T165" s="75">
        <v>0.01</v>
      </c>
    </row>
    <row r="166" spans="8:20" ht="15" customHeight="1">
      <c r="H166" s="138"/>
      <c r="I166" s="72">
        <v>12</v>
      </c>
      <c r="J166" s="72"/>
      <c r="K166" s="72"/>
      <c r="L166" s="73">
        <v>0.7</v>
      </c>
      <c r="M166" s="73">
        <v>0.2</v>
      </c>
      <c r="N166" s="74">
        <v>0.02</v>
      </c>
      <c r="O166" s="74">
        <v>0.01</v>
      </c>
      <c r="P166" s="74">
        <v>0.03</v>
      </c>
      <c r="Q166" s="74">
        <v>0.2</v>
      </c>
      <c r="R166" s="74">
        <v>0.001</v>
      </c>
      <c r="S166" s="74">
        <v>0.1</v>
      </c>
      <c r="T166" s="75">
        <v>0.01</v>
      </c>
    </row>
    <row r="167" spans="8:20" ht="14.25">
      <c r="H167" s="138"/>
      <c r="I167" s="72">
        <v>13</v>
      </c>
      <c r="J167" s="72"/>
      <c r="K167" s="72"/>
      <c r="L167" s="73">
        <v>0.71</v>
      </c>
      <c r="M167" s="73">
        <v>0.22</v>
      </c>
      <c r="N167" s="74">
        <v>0.02</v>
      </c>
      <c r="O167" s="74">
        <v>0.01</v>
      </c>
      <c r="P167" s="74">
        <v>0.03</v>
      </c>
      <c r="Q167" s="74">
        <v>0.22</v>
      </c>
      <c r="R167" s="74">
        <v>0.001</v>
      </c>
      <c r="S167" s="74">
        <v>0.1</v>
      </c>
      <c r="T167" s="75">
        <v>0.01</v>
      </c>
    </row>
    <row r="168" spans="8:20" ht="15" customHeight="1">
      <c r="H168" s="139"/>
      <c r="I168" s="77">
        <v>14</v>
      </c>
      <c r="J168" s="77"/>
      <c r="K168" s="77"/>
      <c r="L168" s="78">
        <v>0.73</v>
      </c>
      <c r="M168" s="78">
        <v>0.25</v>
      </c>
      <c r="N168" s="79">
        <v>0.02</v>
      </c>
      <c r="O168" s="79">
        <v>0.01</v>
      </c>
      <c r="P168" s="79">
        <v>0.03</v>
      </c>
      <c r="Q168" s="79">
        <v>0.25</v>
      </c>
      <c r="R168" s="79">
        <v>0.001</v>
      </c>
      <c r="S168" s="79">
        <v>0.1</v>
      </c>
      <c r="T168" s="80">
        <v>0.01</v>
      </c>
    </row>
    <row r="169" spans="8:20" ht="14.25">
      <c r="H169" s="137" t="s">
        <v>306</v>
      </c>
      <c r="I169" s="67">
        <v>15</v>
      </c>
      <c r="J169" s="67"/>
      <c r="K169" s="67"/>
      <c r="L169" s="68">
        <v>0.74</v>
      </c>
      <c r="M169" s="68">
        <v>0.27</v>
      </c>
      <c r="N169" s="69">
        <v>0.04</v>
      </c>
      <c r="O169" s="69">
        <v>0.015</v>
      </c>
      <c r="P169" s="69">
        <v>0.03</v>
      </c>
      <c r="Q169" s="69">
        <v>0.27</v>
      </c>
      <c r="R169" s="69">
        <v>0.005</v>
      </c>
      <c r="S169" s="69">
        <v>0.1</v>
      </c>
      <c r="T169" s="70">
        <v>0.01</v>
      </c>
    </row>
    <row r="170" spans="8:20" ht="14.25">
      <c r="H170" s="138"/>
      <c r="I170" s="72">
        <v>16</v>
      </c>
      <c r="J170" s="72"/>
      <c r="K170" s="72"/>
      <c r="L170" s="73">
        <v>0.75</v>
      </c>
      <c r="M170" s="73">
        <v>0.29</v>
      </c>
      <c r="N170" s="74">
        <v>0.04</v>
      </c>
      <c r="O170" s="74">
        <v>0.015</v>
      </c>
      <c r="P170" s="74">
        <v>0.03</v>
      </c>
      <c r="Q170" s="74">
        <v>0.29</v>
      </c>
      <c r="R170" s="74">
        <v>0.005</v>
      </c>
      <c r="S170" s="74">
        <v>0.1</v>
      </c>
      <c r="T170" s="75">
        <v>0.01</v>
      </c>
    </row>
    <row r="171" spans="8:20" ht="14.25">
      <c r="H171" s="138"/>
      <c r="I171" s="72">
        <v>17</v>
      </c>
      <c r="J171" s="72"/>
      <c r="K171" s="72"/>
      <c r="L171" s="73">
        <v>0.76</v>
      </c>
      <c r="M171" s="73">
        <v>0.32</v>
      </c>
      <c r="N171" s="74">
        <v>0.04</v>
      </c>
      <c r="O171" s="74">
        <v>0.015</v>
      </c>
      <c r="P171" s="74">
        <v>0.03</v>
      </c>
      <c r="Q171" s="74">
        <v>0.32</v>
      </c>
      <c r="R171" s="74">
        <v>0.005</v>
      </c>
      <c r="S171" s="74">
        <v>0.1</v>
      </c>
      <c r="T171" s="75">
        <v>0.01</v>
      </c>
    </row>
    <row r="172" spans="8:20" ht="14.25">
      <c r="H172" s="138"/>
      <c r="I172" s="72">
        <v>18</v>
      </c>
      <c r="J172" s="72"/>
      <c r="K172" s="72"/>
      <c r="L172" s="73">
        <v>0.77</v>
      </c>
      <c r="M172" s="73">
        <v>0.35</v>
      </c>
      <c r="N172" s="74">
        <v>0.04</v>
      </c>
      <c r="O172" s="74">
        <v>0.015</v>
      </c>
      <c r="P172" s="74">
        <v>0.03</v>
      </c>
      <c r="Q172" s="74">
        <v>0.35</v>
      </c>
      <c r="R172" s="74">
        <v>0.005</v>
      </c>
      <c r="S172" s="74">
        <v>0.1</v>
      </c>
      <c r="T172" s="75">
        <v>0.01</v>
      </c>
    </row>
    <row r="173" spans="8:20" ht="14.25">
      <c r="H173" s="138"/>
      <c r="I173" s="72">
        <v>19</v>
      </c>
      <c r="J173" s="72"/>
      <c r="K173" s="72"/>
      <c r="L173" s="73">
        <v>0.77</v>
      </c>
      <c r="M173" s="73">
        <v>0.39</v>
      </c>
      <c r="N173" s="74">
        <v>0.04</v>
      </c>
      <c r="O173" s="74">
        <v>0.015</v>
      </c>
      <c r="P173" s="74">
        <v>0.03</v>
      </c>
      <c r="Q173" s="74">
        <v>0.39</v>
      </c>
      <c r="R173" s="74">
        <v>0.005</v>
      </c>
      <c r="S173" s="74">
        <v>0.1</v>
      </c>
      <c r="T173" s="75">
        <v>0.01</v>
      </c>
    </row>
    <row r="174" spans="8:20" ht="14.25">
      <c r="H174" s="138"/>
      <c r="I174" s="72">
        <v>20</v>
      </c>
      <c r="J174" s="72"/>
      <c r="K174" s="72"/>
      <c r="L174" s="73">
        <v>0.78</v>
      </c>
      <c r="M174" s="73">
        <v>0.42</v>
      </c>
      <c r="N174" s="74">
        <v>0.04</v>
      </c>
      <c r="O174" s="74">
        <v>0.015</v>
      </c>
      <c r="P174" s="74">
        <v>0.03</v>
      </c>
      <c r="Q174" s="74">
        <v>0.42</v>
      </c>
      <c r="R174" s="74">
        <v>0.005</v>
      </c>
      <c r="S174" s="74">
        <v>0.1</v>
      </c>
      <c r="T174" s="75">
        <v>0.01</v>
      </c>
    </row>
    <row r="175" spans="8:20" ht="14.25">
      <c r="H175" s="138"/>
      <c r="I175" s="72">
        <v>21</v>
      </c>
      <c r="J175" s="72"/>
      <c r="K175" s="72"/>
      <c r="L175" s="73">
        <v>0.78</v>
      </c>
      <c r="M175" s="73">
        <v>0.46</v>
      </c>
      <c r="N175" s="74">
        <v>0.04</v>
      </c>
      <c r="O175" s="74">
        <v>0.015</v>
      </c>
      <c r="P175" s="74">
        <v>0.03</v>
      </c>
      <c r="Q175" s="74">
        <v>0.46</v>
      </c>
      <c r="R175" s="74">
        <v>0.005</v>
      </c>
      <c r="S175" s="74">
        <v>0.1</v>
      </c>
      <c r="T175" s="75">
        <v>0.01</v>
      </c>
    </row>
    <row r="176" spans="8:20" ht="14.25">
      <c r="H176" s="138"/>
      <c r="I176" s="72">
        <v>22</v>
      </c>
      <c r="J176" s="72"/>
      <c r="K176" s="72"/>
      <c r="L176" s="73">
        <v>0.78</v>
      </c>
      <c r="M176" s="73">
        <v>0.5</v>
      </c>
      <c r="N176" s="74">
        <v>0.04</v>
      </c>
      <c r="O176" s="74">
        <v>0.015</v>
      </c>
      <c r="P176" s="74">
        <v>0.03</v>
      </c>
      <c r="Q176" s="74">
        <v>0.5</v>
      </c>
      <c r="R176" s="74">
        <v>0.005</v>
      </c>
      <c r="S176" s="74">
        <v>0.1</v>
      </c>
      <c r="T176" s="75">
        <v>0.01</v>
      </c>
    </row>
    <row r="177" spans="8:20" ht="14.25">
      <c r="H177" s="138"/>
      <c r="I177" s="72">
        <v>23</v>
      </c>
      <c r="J177" s="72"/>
      <c r="K177" s="72"/>
      <c r="L177" s="73">
        <v>0.79</v>
      </c>
      <c r="M177" s="73">
        <v>0.55</v>
      </c>
      <c r="N177" s="74">
        <v>0.04</v>
      </c>
      <c r="O177" s="74">
        <v>0.015</v>
      </c>
      <c r="P177" s="74">
        <v>0.03</v>
      </c>
      <c r="Q177" s="74">
        <v>0.55</v>
      </c>
      <c r="R177" s="74">
        <v>0.005</v>
      </c>
      <c r="S177" s="74">
        <v>0.1</v>
      </c>
      <c r="T177" s="75">
        <v>0.01</v>
      </c>
    </row>
    <row r="178" spans="8:20" ht="14.25">
      <c r="H178" s="138"/>
      <c r="I178" s="72">
        <v>24</v>
      </c>
      <c r="J178" s="72"/>
      <c r="K178" s="72"/>
      <c r="L178" s="73">
        <v>0.79</v>
      </c>
      <c r="M178" s="73">
        <v>0.6</v>
      </c>
      <c r="N178" s="74">
        <v>0.04</v>
      </c>
      <c r="O178" s="74">
        <v>0.015</v>
      </c>
      <c r="P178" s="74">
        <v>0.03</v>
      </c>
      <c r="Q178" s="74">
        <v>0.6</v>
      </c>
      <c r="R178" s="74">
        <v>0.005</v>
      </c>
      <c r="S178" s="74">
        <v>0.1</v>
      </c>
      <c r="T178" s="75">
        <v>0.01</v>
      </c>
    </row>
    <row r="179" spans="8:20" ht="14.25">
      <c r="H179" s="139"/>
      <c r="I179" s="77">
        <v>25</v>
      </c>
      <c r="J179" s="77"/>
      <c r="K179" s="77"/>
      <c r="L179" s="78">
        <v>0.79</v>
      </c>
      <c r="M179" s="78">
        <v>0.65</v>
      </c>
      <c r="N179" s="79">
        <v>0.04</v>
      </c>
      <c r="O179" s="79">
        <v>0.015</v>
      </c>
      <c r="P179" s="79">
        <v>0.03</v>
      </c>
      <c r="Q179" s="79">
        <v>0.65</v>
      </c>
      <c r="R179" s="79">
        <v>0.005</v>
      </c>
      <c r="S179" s="79">
        <v>0.1</v>
      </c>
      <c r="T179" s="80">
        <v>0.01</v>
      </c>
    </row>
    <row r="180" spans="8:20" ht="14.25">
      <c r="H180" s="137" t="s">
        <v>307</v>
      </c>
      <c r="I180" s="67">
        <v>26</v>
      </c>
      <c r="J180" s="67"/>
      <c r="K180" s="67"/>
      <c r="L180" s="68">
        <v>0.79</v>
      </c>
      <c r="M180" s="68">
        <v>0.71</v>
      </c>
      <c r="N180" s="69">
        <v>0.05</v>
      </c>
      <c r="O180" s="69">
        <v>0.02</v>
      </c>
      <c r="P180" s="69">
        <v>0.3</v>
      </c>
      <c r="Q180" s="69">
        <v>0.71</v>
      </c>
      <c r="R180" s="69">
        <v>0.01</v>
      </c>
      <c r="S180" s="69">
        <v>0.1</v>
      </c>
      <c r="T180" s="70">
        <v>0.01</v>
      </c>
    </row>
    <row r="181" spans="8:20" ht="14.25">
      <c r="H181" s="138"/>
      <c r="I181" s="72">
        <v>27</v>
      </c>
      <c r="J181" s="72"/>
      <c r="K181" s="72"/>
      <c r="L181" s="73">
        <v>0.8</v>
      </c>
      <c r="M181" s="73">
        <v>0.78</v>
      </c>
      <c r="N181" s="74">
        <v>0.05</v>
      </c>
      <c r="O181" s="74">
        <v>0.02</v>
      </c>
      <c r="P181" s="74">
        <v>0.3</v>
      </c>
      <c r="Q181" s="74">
        <v>0.78</v>
      </c>
      <c r="R181" s="74">
        <v>0.01</v>
      </c>
      <c r="S181" s="74">
        <v>0.1</v>
      </c>
      <c r="T181" s="75">
        <v>0.01</v>
      </c>
    </row>
    <row r="182" spans="8:20" ht="14.25">
      <c r="H182" s="139"/>
      <c r="I182" s="77">
        <v>28</v>
      </c>
      <c r="J182" s="77"/>
      <c r="K182" s="77"/>
      <c r="L182" s="78">
        <v>0.8</v>
      </c>
      <c r="M182" s="78">
        <v>0.8</v>
      </c>
      <c r="N182" s="79">
        <v>0.05</v>
      </c>
      <c r="O182" s="79">
        <v>0.02</v>
      </c>
      <c r="P182" s="79">
        <v>0.3</v>
      </c>
      <c r="Q182" s="79">
        <v>0.8</v>
      </c>
      <c r="R182" s="79">
        <v>0.01</v>
      </c>
      <c r="S182" s="79">
        <v>0.1</v>
      </c>
      <c r="T182" s="80">
        <v>0.01</v>
      </c>
    </row>
    <row r="183" spans="8:20" ht="14.25">
      <c r="H183" s="140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3"/>
    </row>
    <row r="184" spans="8:20" ht="14.25">
      <c r="H184" s="141" t="s">
        <v>163</v>
      </c>
      <c r="I184" s="95"/>
      <c r="J184" s="95"/>
      <c r="K184" s="59"/>
      <c r="L184" s="339" t="s">
        <v>305</v>
      </c>
      <c r="M184" s="339"/>
      <c r="N184" s="339"/>
      <c r="O184" s="339"/>
      <c r="P184" s="339"/>
      <c r="Q184" s="339"/>
      <c r="R184" s="339"/>
      <c r="S184" s="339"/>
      <c r="T184" s="340"/>
    </row>
    <row r="185" spans="8:20" ht="14.25">
      <c r="H185" s="142"/>
      <c r="I185" s="100" t="s">
        <v>164</v>
      </c>
      <c r="J185" s="100" t="s">
        <v>19</v>
      </c>
      <c r="K185" s="100" t="s">
        <v>264</v>
      </c>
      <c r="L185" s="101"/>
      <c r="M185" s="101"/>
      <c r="N185" s="101"/>
      <c r="O185" s="101"/>
      <c r="P185" s="101"/>
      <c r="Q185" s="101"/>
      <c r="R185" s="101"/>
      <c r="S185" s="101"/>
      <c r="T185" s="102"/>
    </row>
    <row r="186" spans="8:20" ht="14.25">
      <c r="H186" s="143" t="s">
        <v>393</v>
      </c>
      <c r="I186" s="82">
        <v>198</v>
      </c>
      <c r="J186" s="82">
        <v>0.48</v>
      </c>
      <c r="K186" s="82">
        <v>0.5</v>
      </c>
      <c r="L186" s="74">
        <v>0.328</v>
      </c>
      <c r="M186" s="74">
        <v>0.185</v>
      </c>
      <c r="N186" s="74">
        <v>0.042</v>
      </c>
      <c r="O186" s="74">
        <v>0.04</v>
      </c>
      <c r="P186" s="74">
        <v>0</v>
      </c>
      <c r="Q186" s="74">
        <v>0.406</v>
      </c>
      <c r="R186" s="74">
        <v>0</v>
      </c>
      <c r="S186" s="74">
        <v>0</v>
      </c>
      <c r="T186" s="75">
        <v>0</v>
      </c>
    </row>
    <row r="187" spans="8:20" ht="14.25">
      <c r="H187" s="144" t="s">
        <v>394</v>
      </c>
      <c r="I187" s="82">
        <v>198</v>
      </c>
      <c r="J187" s="82">
        <v>0.45</v>
      </c>
      <c r="K187" s="82">
        <v>0.46</v>
      </c>
      <c r="L187" s="74">
        <v>0.087</v>
      </c>
      <c r="M187" s="74">
        <v>0</v>
      </c>
      <c r="N187" s="74">
        <v>0.137</v>
      </c>
      <c r="O187" s="74">
        <v>0</v>
      </c>
      <c r="P187" s="74">
        <v>0.028</v>
      </c>
      <c r="Q187" s="74">
        <v>0.698</v>
      </c>
      <c r="R187" s="74">
        <v>0.02</v>
      </c>
      <c r="S187" s="74">
        <v>0</v>
      </c>
      <c r="T187" s="75">
        <v>0.03</v>
      </c>
    </row>
    <row r="188" spans="8:20" ht="15.75" customHeight="1">
      <c r="H188" s="144" t="s">
        <v>395</v>
      </c>
      <c r="I188" s="82">
        <v>180</v>
      </c>
      <c r="J188" s="82">
        <v>0.45</v>
      </c>
      <c r="K188" s="82">
        <v>0.5</v>
      </c>
      <c r="L188" s="74">
        <v>0.03</v>
      </c>
      <c r="M188" s="74">
        <v>0</v>
      </c>
      <c r="N188" s="74">
        <v>0.42</v>
      </c>
      <c r="O188" s="74">
        <v>0</v>
      </c>
      <c r="P188" s="74">
        <v>0.247</v>
      </c>
      <c r="Q188" s="74">
        <v>0.247</v>
      </c>
      <c r="R188" s="74">
        <v>0</v>
      </c>
      <c r="S188" s="74">
        <v>0</v>
      </c>
      <c r="T188" s="75">
        <v>0.057</v>
      </c>
    </row>
    <row r="189" spans="8:20" ht="14.25">
      <c r="H189" s="144" t="s">
        <v>40</v>
      </c>
      <c r="I189" s="82">
        <v>180</v>
      </c>
      <c r="J189" s="82">
        <v>0.45</v>
      </c>
      <c r="K189" s="82">
        <v>0.5</v>
      </c>
      <c r="L189" s="74">
        <v>0.54</v>
      </c>
      <c r="M189" s="74">
        <v>0</v>
      </c>
      <c r="N189" s="74">
        <v>0.03</v>
      </c>
      <c r="O189" s="74">
        <v>0.15</v>
      </c>
      <c r="P189" s="74">
        <v>0</v>
      </c>
      <c r="Q189" s="74">
        <v>0</v>
      </c>
      <c r="R189" s="74">
        <v>0</v>
      </c>
      <c r="S189" s="74">
        <v>0</v>
      </c>
      <c r="T189" s="75">
        <v>0.28</v>
      </c>
    </row>
    <row r="190" spans="8:20" ht="15.75" customHeight="1">
      <c r="H190" s="144" t="s">
        <v>396</v>
      </c>
      <c r="I190" s="82">
        <v>28</v>
      </c>
      <c r="J190" s="82">
        <v>0.29</v>
      </c>
      <c r="K190" s="82">
        <v>0.3</v>
      </c>
      <c r="L190" s="74">
        <v>0</v>
      </c>
      <c r="M190" s="74">
        <v>0.08</v>
      </c>
      <c r="N190" s="74">
        <v>0.1</v>
      </c>
      <c r="O190" s="74">
        <v>0.41</v>
      </c>
      <c r="P190" s="74">
        <v>0</v>
      </c>
      <c r="Q190" s="74">
        <v>0</v>
      </c>
      <c r="R190" s="74">
        <v>0.02</v>
      </c>
      <c r="S190" s="74">
        <v>0</v>
      </c>
      <c r="T190" s="75">
        <v>0.4</v>
      </c>
    </row>
    <row r="191" spans="8:20" ht="14.25">
      <c r="H191" s="144" t="s">
        <v>397</v>
      </c>
      <c r="I191" s="82">
        <v>28</v>
      </c>
      <c r="J191" s="82">
        <v>0.29</v>
      </c>
      <c r="K191" s="82">
        <v>0.3</v>
      </c>
      <c r="L191" s="74">
        <v>0</v>
      </c>
      <c r="M191" s="74">
        <v>0.06</v>
      </c>
      <c r="N191" s="74">
        <v>0.06</v>
      </c>
      <c r="O191" s="74">
        <v>0.87</v>
      </c>
      <c r="P191" s="74">
        <v>0.01</v>
      </c>
      <c r="Q191" s="74">
        <v>0</v>
      </c>
      <c r="R191" s="74">
        <v>0</v>
      </c>
      <c r="S191" s="74">
        <v>0</v>
      </c>
      <c r="T191" s="75">
        <v>0</v>
      </c>
    </row>
    <row r="192" spans="8:20" ht="14.25">
      <c r="H192" s="144" t="s">
        <v>166</v>
      </c>
      <c r="I192" s="82">
        <v>28</v>
      </c>
      <c r="J192" s="82">
        <v>0.29</v>
      </c>
      <c r="K192" s="82">
        <v>0.3</v>
      </c>
      <c r="L192" s="74">
        <v>0</v>
      </c>
      <c r="M192" s="74">
        <v>0.14</v>
      </c>
      <c r="N192" s="74">
        <v>0</v>
      </c>
      <c r="O192" s="74">
        <v>0.69</v>
      </c>
      <c r="P192" s="74">
        <v>0</v>
      </c>
      <c r="Q192" s="74">
        <v>0.17</v>
      </c>
      <c r="R192" s="74">
        <v>0</v>
      </c>
      <c r="S192" s="74">
        <v>0</v>
      </c>
      <c r="T192" s="75">
        <v>0</v>
      </c>
    </row>
    <row r="193" spans="8:20" ht="14.25">
      <c r="H193" s="144" t="s">
        <v>398</v>
      </c>
      <c r="I193" s="82">
        <v>28</v>
      </c>
      <c r="J193" s="82">
        <v>0.29</v>
      </c>
      <c r="K193" s="82">
        <v>0.3</v>
      </c>
      <c r="L193" s="74">
        <v>0</v>
      </c>
      <c r="M193" s="74">
        <v>0.4</v>
      </c>
      <c r="N193" s="74">
        <v>0</v>
      </c>
      <c r="O193" s="74">
        <v>0.54</v>
      </c>
      <c r="P193" s="74">
        <v>0</v>
      </c>
      <c r="Q193" s="74">
        <v>0</v>
      </c>
      <c r="R193" s="74">
        <v>0</v>
      </c>
      <c r="S193" s="74">
        <v>0.07</v>
      </c>
      <c r="T193" s="75">
        <v>0</v>
      </c>
    </row>
    <row r="194" spans="8:20" ht="15" thickBot="1">
      <c r="H194" s="145" t="s">
        <v>165</v>
      </c>
      <c r="I194" s="92">
        <v>28</v>
      </c>
      <c r="J194" s="92">
        <v>0.29</v>
      </c>
      <c r="K194" s="92">
        <v>0.3</v>
      </c>
      <c r="L194" s="93">
        <v>0.09</v>
      </c>
      <c r="M194" s="93">
        <v>0.22</v>
      </c>
      <c r="N194" s="93">
        <v>0.16</v>
      </c>
      <c r="O194" s="93">
        <v>0.3</v>
      </c>
      <c r="P194" s="93">
        <v>0.03</v>
      </c>
      <c r="Q194" s="93">
        <v>0</v>
      </c>
      <c r="R194" s="93">
        <v>0.09</v>
      </c>
      <c r="S194" s="93">
        <v>0.08</v>
      </c>
      <c r="T194" s="94">
        <v>0.03</v>
      </c>
    </row>
    <row r="201" spans="8:15" ht="14.25">
      <c r="H201" s="362"/>
      <c r="I201" s="362"/>
      <c r="J201" s="362"/>
      <c r="K201" s="362"/>
      <c r="L201" s="5"/>
      <c r="M201" s="4"/>
      <c r="N201" s="4"/>
      <c r="O201" s="4"/>
    </row>
    <row r="202" spans="8:15" ht="14.25">
      <c r="H202" s="4"/>
      <c r="I202" s="4"/>
      <c r="J202" s="4"/>
      <c r="K202" s="4"/>
      <c r="L202" s="4"/>
      <c r="M202" s="4"/>
      <c r="N202" s="4"/>
      <c r="O202" s="4"/>
    </row>
    <row r="203" spans="8:15" ht="43.5" customHeight="1">
      <c r="H203" s="4"/>
      <c r="I203" s="4"/>
      <c r="J203" s="45"/>
      <c r="K203" s="52"/>
      <c r="L203" s="52"/>
      <c r="M203" s="45"/>
      <c r="N203" s="45"/>
      <c r="O203" s="4"/>
    </row>
    <row r="204" spans="8:15" ht="14.25">
      <c r="H204" s="4"/>
      <c r="I204" s="4"/>
      <c r="J204" s="4"/>
      <c r="K204" s="4"/>
      <c r="L204" s="4"/>
      <c r="M204" s="5"/>
      <c r="N204" s="4"/>
      <c r="O204" s="4"/>
    </row>
    <row r="205" spans="8:15" ht="14.25">
      <c r="H205" s="5"/>
      <c r="I205" s="53"/>
      <c r="J205" s="5"/>
      <c r="K205" s="5"/>
      <c r="L205" s="53"/>
      <c r="M205" s="5"/>
      <c r="N205" s="53"/>
      <c r="O205" s="4"/>
    </row>
    <row r="206" spans="8:15" ht="14.25">
      <c r="H206" s="5"/>
      <c r="I206" s="53"/>
      <c r="J206" s="5"/>
      <c r="K206" s="5"/>
      <c r="L206" s="53"/>
      <c r="M206" s="5"/>
      <c r="N206" s="53"/>
      <c r="O206" s="4"/>
    </row>
    <row r="207" spans="8:15" ht="14.25">
      <c r="H207" s="5"/>
      <c r="I207" s="53"/>
      <c r="J207" s="5"/>
      <c r="K207" s="5"/>
      <c r="L207" s="53"/>
      <c r="M207" s="5"/>
      <c r="N207" s="53"/>
      <c r="O207" s="4"/>
    </row>
    <row r="208" spans="8:15" ht="14.25">
      <c r="H208" s="5"/>
      <c r="I208" s="53"/>
      <c r="J208" s="5"/>
      <c r="K208" s="5"/>
      <c r="L208" s="53"/>
      <c r="M208" s="5"/>
      <c r="N208" s="53"/>
      <c r="O208" s="4"/>
    </row>
    <row r="209" spans="8:15" ht="14.25">
      <c r="H209" s="4"/>
      <c r="I209" s="4"/>
      <c r="J209" s="4"/>
      <c r="K209" s="4"/>
      <c r="L209" s="4"/>
      <c r="M209" s="4"/>
      <c r="N209" s="4"/>
      <c r="O209" s="4"/>
    </row>
    <row r="210" spans="8:15" ht="14.25">
      <c r="H210" s="362"/>
      <c r="I210" s="362"/>
      <c r="J210" s="362"/>
      <c r="K210" s="362"/>
      <c r="L210" s="5"/>
      <c r="M210" s="4"/>
      <c r="N210" s="4"/>
      <c r="O210" s="4"/>
    </row>
    <row r="211" spans="8:15" ht="14.25">
      <c r="H211" s="4"/>
      <c r="I211" s="4"/>
      <c r="J211" s="4"/>
      <c r="K211" s="4"/>
      <c r="L211" s="4"/>
      <c r="M211" s="4"/>
      <c r="N211" s="4"/>
      <c r="O211" s="4"/>
    </row>
    <row r="212" spans="8:15" ht="14.25">
      <c r="H212" s="4"/>
      <c r="I212" s="4"/>
      <c r="J212" s="5"/>
      <c r="K212" s="4"/>
      <c r="L212" s="4"/>
      <c r="M212" s="4"/>
      <c r="N212" s="4"/>
      <c r="O212" s="4"/>
    </row>
    <row r="213" spans="8:15" ht="14.25">
      <c r="H213" s="4"/>
      <c r="I213" s="4"/>
      <c r="J213" s="5"/>
      <c r="K213" s="4"/>
      <c r="L213" s="4"/>
      <c r="M213" s="4"/>
      <c r="N213" s="4"/>
      <c r="O213" s="4"/>
    </row>
    <row r="214" spans="8:15" ht="14.25">
      <c r="H214" s="4"/>
      <c r="I214" s="4"/>
      <c r="J214" s="5"/>
      <c r="K214" s="4"/>
      <c r="L214" s="4"/>
      <c r="M214" s="4"/>
      <c r="N214" s="4"/>
      <c r="O214" s="4"/>
    </row>
    <row r="215" spans="8:15" ht="14.25">
      <c r="H215" s="4"/>
      <c r="I215" s="4"/>
      <c r="J215" s="4"/>
      <c r="K215" s="4"/>
      <c r="L215" s="4"/>
      <c r="M215" s="4"/>
      <c r="N215" s="4"/>
      <c r="O215" s="4"/>
    </row>
    <row r="216" spans="8:15" ht="14.25">
      <c r="H216" s="4"/>
      <c r="I216" s="4"/>
      <c r="J216" s="5"/>
      <c r="K216" s="5"/>
      <c r="L216" s="5"/>
      <c r="M216" s="5"/>
      <c r="N216" s="4"/>
      <c r="O216" s="4"/>
    </row>
    <row r="217" spans="8:15" ht="14.25">
      <c r="H217" s="46"/>
      <c r="I217" s="46"/>
      <c r="J217" s="5"/>
      <c r="K217" s="5"/>
      <c r="L217" s="5"/>
      <c r="M217" s="5"/>
      <c r="N217" s="4"/>
      <c r="O217" s="4"/>
    </row>
    <row r="218" spans="8:15" ht="14.25">
      <c r="H218" s="46"/>
      <c r="I218" s="46"/>
      <c r="J218" s="5"/>
      <c r="K218" s="5"/>
      <c r="L218" s="5"/>
      <c r="M218" s="5"/>
      <c r="N218" s="4"/>
      <c r="O218" s="4"/>
    </row>
    <row r="219" spans="8:15" ht="14.25">
      <c r="H219" s="46"/>
      <c r="I219" s="46"/>
      <c r="J219" s="5"/>
      <c r="K219" s="5"/>
      <c r="L219" s="5"/>
      <c r="M219" s="5"/>
      <c r="N219" s="4"/>
      <c r="O219" s="4"/>
    </row>
    <row r="220" spans="8:15" ht="14.25">
      <c r="H220" s="46"/>
      <c r="I220" s="46"/>
      <c r="J220" s="5"/>
      <c r="K220" s="5"/>
      <c r="L220" s="5"/>
      <c r="M220" s="5"/>
      <c r="N220" s="4"/>
      <c r="O220" s="4"/>
    </row>
  </sheetData>
  <sheetProtection password="E9AB" sheet="1"/>
  <mergeCells count="30">
    <mergeCell ref="F106:F113"/>
    <mergeCell ref="F89:F90"/>
    <mergeCell ref="F78:F83"/>
    <mergeCell ref="H210:K210"/>
    <mergeCell ref="H124:T124"/>
    <mergeCell ref="H88:T88"/>
    <mergeCell ref="H201:K201"/>
    <mergeCell ref="G131:G133"/>
    <mergeCell ref="L184:T184"/>
    <mergeCell ref="L89:T89"/>
    <mergeCell ref="H90:K90"/>
    <mergeCell ref="L112:T112"/>
    <mergeCell ref="H160:T160"/>
    <mergeCell ref="H162:K162"/>
    <mergeCell ref="L161:T161"/>
    <mergeCell ref="H50:T50"/>
    <mergeCell ref="H52:T52"/>
    <mergeCell ref="L53:T53"/>
    <mergeCell ref="L76:T76"/>
    <mergeCell ref="I76:K76"/>
    <mergeCell ref="G12:G14"/>
    <mergeCell ref="L125:T125"/>
    <mergeCell ref="H126:K126"/>
    <mergeCell ref="L148:T148"/>
    <mergeCell ref="H19:M19"/>
    <mergeCell ref="H30:M30"/>
    <mergeCell ref="G38:G41"/>
    <mergeCell ref="G51:G62"/>
    <mergeCell ref="H54:K54"/>
    <mergeCell ref="H49:T49"/>
  </mergeCells>
  <printOptions/>
  <pageMargins left="0.7" right="0.7" top="0.75" bottom="0.75" header="0.3" footer="0.3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="62" zoomScaleNormal="62" zoomScalePageLayoutView="0" workbookViewId="0" topLeftCell="A1">
      <pane ySplit="2" topLeftCell="A3" activePane="bottomLeft" state="frozen"/>
      <selection pane="topLeft" activeCell="B14" sqref="B14"/>
      <selection pane="bottomLeft" activeCell="C17" sqref="C17"/>
    </sheetView>
  </sheetViews>
  <sheetFormatPr defaultColWidth="9.140625" defaultRowHeight="15"/>
  <cols>
    <col min="1" max="1" width="10.00390625" style="0" customWidth="1"/>
    <col min="2" max="2" width="58.57421875" style="0" customWidth="1"/>
    <col min="3" max="23" width="10.7109375" style="0" customWidth="1"/>
    <col min="24" max="26" width="4.57421875" style="0" customWidth="1"/>
  </cols>
  <sheetData>
    <row r="1" spans="1:23" s="1" customFormat="1" ht="14.25">
      <c r="A1" s="371" t="s">
        <v>47</v>
      </c>
      <c r="B1" s="369" t="s">
        <v>98</v>
      </c>
      <c r="C1" s="367" t="s">
        <v>97</v>
      </c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8"/>
    </row>
    <row r="2" spans="1:26" s="1" customFormat="1" ht="14.25">
      <c r="A2" s="372"/>
      <c r="B2" s="370"/>
      <c r="C2" s="166">
        <v>1</v>
      </c>
      <c r="D2" s="8">
        <v>2</v>
      </c>
      <c r="E2" s="8">
        <v>3</v>
      </c>
      <c r="F2" s="8">
        <v>4</v>
      </c>
      <c r="G2" s="8">
        <v>5</v>
      </c>
      <c r="H2" s="8">
        <v>6</v>
      </c>
      <c r="I2" s="8">
        <v>7</v>
      </c>
      <c r="J2" s="8">
        <v>8</v>
      </c>
      <c r="K2" s="8">
        <v>9</v>
      </c>
      <c r="L2" s="8">
        <v>10</v>
      </c>
      <c r="M2" s="8">
        <v>11</v>
      </c>
      <c r="N2" s="8">
        <v>12</v>
      </c>
      <c r="O2" s="8">
        <v>13</v>
      </c>
      <c r="P2" s="8">
        <v>14</v>
      </c>
      <c r="Q2" s="8">
        <v>15</v>
      </c>
      <c r="R2" s="8">
        <v>16</v>
      </c>
      <c r="S2" s="8">
        <v>17</v>
      </c>
      <c r="T2" s="8">
        <v>18</v>
      </c>
      <c r="U2" s="8">
        <v>19</v>
      </c>
      <c r="V2" s="8">
        <v>20</v>
      </c>
      <c r="W2" s="12">
        <v>21</v>
      </c>
      <c r="X2" s="174"/>
      <c r="Y2" s="174"/>
      <c r="Z2" s="174"/>
    </row>
    <row r="3" spans="1:23" s="3" customFormat="1" ht="21" thickBot="1">
      <c r="A3" s="376" t="s">
        <v>148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8"/>
    </row>
    <row r="4" spans="1:23" s="3" customFormat="1" ht="15" thickBot="1">
      <c r="A4" s="379" t="s">
        <v>151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1"/>
    </row>
    <row r="5" spans="1:25" s="3" customFormat="1" ht="14.25">
      <c r="A5" s="41"/>
      <c r="B5" s="40" t="s">
        <v>153</v>
      </c>
      <c r="C5" s="163">
        <f>'Entrada de Dados do Usuário'!$C$11</f>
        <v>0</v>
      </c>
      <c r="D5" s="163">
        <f>C5*(1+'Entrada de Dados do Usuário'!$C$16)</f>
        <v>0</v>
      </c>
      <c r="E5" s="163">
        <f>D5*(1+'Entrada de Dados do Usuário'!$C$16)</f>
        <v>0</v>
      </c>
      <c r="F5" s="163">
        <f>E5*(1+'Entrada de Dados do Usuário'!$C$16)</f>
        <v>0</v>
      </c>
      <c r="G5" s="163">
        <f>F5*(1+'Entrada de Dados do Usuário'!$C$16)</f>
        <v>0</v>
      </c>
      <c r="H5" s="163">
        <f>G5*(1+'Entrada de Dados do Usuário'!$C$16)</f>
        <v>0</v>
      </c>
      <c r="I5" s="163">
        <f>H5*(1+'Entrada de Dados do Usuário'!$C$16)</f>
        <v>0</v>
      </c>
      <c r="J5" s="163">
        <f>I5*(1+'Entrada de Dados do Usuário'!$C$16)</f>
        <v>0</v>
      </c>
      <c r="K5" s="163">
        <f>J5*(1+'Entrada de Dados do Usuário'!$C$16)</f>
        <v>0</v>
      </c>
      <c r="L5" s="163">
        <f>K5*(1+'Entrada de Dados do Usuário'!$C$16)</f>
        <v>0</v>
      </c>
      <c r="M5" s="163">
        <f>L5*(1+'Entrada de Dados do Usuário'!$C$16)</f>
        <v>0</v>
      </c>
      <c r="N5" s="163">
        <f>M5*(1+'Entrada de Dados do Usuário'!$C$16)</f>
        <v>0</v>
      </c>
      <c r="O5" s="163">
        <f>N5*(1+'Entrada de Dados do Usuário'!$C$16)</f>
        <v>0</v>
      </c>
      <c r="P5" s="163">
        <f>O5*(1+'Entrada de Dados do Usuário'!$C$16)</f>
        <v>0</v>
      </c>
      <c r="Q5" s="163">
        <f>P5*(1+'Entrada de Dados do Usuário'!$C$16)</f>
        <v>0</v>
      </c>
      <c r="R5" s="163">
        <f>Q5*(1+'Entrada de Dados do Usuário'!$C$16)</f>
        <v>0</v>
      </c>
      <c r="S5" s="163">
        <f>R5*(1+'Entrada de Dados do Usuário'!$C$16)</f>
        <v>0</v>
      </c>
      <c r="T5" s="163">
        <f>S5*(1+'Entrada de Dados do Usuário'!$C$16)</f>
        <v>0</v>
      </c>
      <c r="U5" s="163">
        <f>T5*(1+'Entrada de Dados do Usuário'!$C$16)</f>
        <v>0</v>
      </c>
      <c r="V5" s="163">
        <f>U5*(1+'Entrada de Dados do Usuário'!$C$16)</f>
        <v>0</v>
      </c>
      <c r="W5" s="163">
        <f>V5*(1+'Entrada de Dados do Usuário'!$C$16)</f>
        <v>0</v>
      </c>
      <c r="X5" s="382"/>
      <c r="Y5" s="382"/>
    </row>
    <row r="6" spans="1:25" s="3" customFormat="1" ht="14.25">
      <c r="A6" s="42"/>
      <c r="B6" s="40" t="s">
        <v>154</v>
      </c>
      <c r="C6" s="162">
        <f>'Modelo de CR'!C9*'Entradas de Cálculos'!$D$92*'Modelo de CR'!C5*'Entradas de Cálculos'!$D$89*'Entradas de Cálculos'!$D$91</f>
        <v>0</v>
      </c>
      <c r="D6" s="162">
        <f>'Modelo de CR'!D9*'Entradas de Cálculos'!$D$92*'Modelo de CR'!D5*'Entradas de Cálculos'!$D$89*'Entradas de Cálculos'!$D$91</f>
        <v>0</v>
      </c>
      <c r="E6" s="162">
        <f>'Modelo de CR'!E9*'Entradas de Cálculos'!$D$92*'Modelo de CR'!E5*'Entradas de Cálculos'!$D$89*'Entradas de Cálculos'!$D$91</f>
        <v>0</v>
      </c>
      <c r="F6" s="162">
        <f>'Modelo de CR'!F9*'Entradas de Cálculos'!$D$92*'Modelo de CR'!F5*'Entradas de Cálculos'!$D$89*'Entradas de Cálculos'!$D$91</f>
        <v>0</v>
      </c>
      <c r="G6" s="162">
        <f>'Modelo de CR'!G9*'Entradas de Cálculos'!$D$92*'Modelo de CR'!G5*'Entradas de Cálculos'!$D$89*'Entradas de Cálculos'!$D$91</f>
        <v>0</v>
      </c>
      <c r="H6" s="162">
        <f>'Modelo de CR'!H9*'Entradas de Cálculos'!$D$92*'Modelo de CR'!H5*'Entradas de Cálculos'!$D$89*'Entradas de Cálculos'!$D$91</f>
        <v>0</v>
      </c>
      <c r="I6" s="162">
        <f>'Modelo de CR'!I9*'Entradas de Cálculos'!$D$92*'Modelo de CR'!I5*'Entradas de Cálculos'!$D$89*'Entradas de Cálculos'!$D$91</f>
        <v>0</v>
      </c>
      <c r="J6" s="162">
        <f>'Modelo de CR'!J9*'Entradas de Cálculos'!$D$92*'Modelo de CR'!J5*'Entradas de Cálculos'!$D$89*'Entradas de Cálculos'!$D$91</f>
        <v>0</v>
      </c>
      <c r="K6" s="162">
        <f>'Modelo de CR'!K9*'Entradas de Cálculos'!$D$92*'Modelo de CR'!K5*'Entradas de Cálculos'!$D$89*'Entradas de Cálculos'!$D$91</f>
        <v>0</v>
      </c>
      <c r="L6" s="162">
        <f>'Modelo de CR'!L9*'Entradas de Cálculos'!$D$92*'Modelo de CR'!L5*'Entradas de Cálculos'!$D$89*'Entradas de Cálculos'!$D$91</f>
        <v>0</v>
      </c>
      <c r="M6" s="162">
        <f>'Modelo de CR'!M9*'Entradas de Cálculos'!$D$92*'Modelo de CR'!M5*'Entradas de Cálculos'!$D$89*'Entradas de Cálculos'!$D$91</f>
        <v>0</v>
      </c>
      <c r="N6" s="162">
        <f>'Modelo de CR'!N9*'Entradas de Cálculos'!$D$92*'Modelo de CR'!N5*'Entradas de Cálculos'!$D$89*'Entradas de Cálculos'!$D$91</f>
        <v>0</v>
      </c>
      <c r="O6" s="162">
        <f>'Modelo de CR'!O9*'Entradas de Cálculos'!$D$92*'Modelo de CR'!O5*'Entradas de Cálculos'!$D$89*'Entradas de Cálculos'!$D$91</f>
        <v>0</v>
      </c>
      <c r="P6" s="162">
        <f>'Modelo de CR'!P9*'Entradas de Cálculos'!$D$92*'Modelo de CR'!P5*'Entradas de Cálculos'!$D$89*'Entradas de Cálculos'!$D$91</f>
        <v>0</v>
      </c>
      <c r="Q6" s="162">
        <f>'Modelo de CR'!Q9*'Entradas de Cálculos'!$D$92*'Modelo de CR'!Q5*'Entradas de Cálculos'!$D$89*'Entradas de Cálculos'!$D$91</f>
        <v>0</v>
      </c>
      <c r="R6" s="162">
        <f>'Modelo de CR'!R9*'Entradas de Cálculos'!$D$92*'Modelo de CR'!R5*'Entradas de Cálculos'!$D$89*'Entradas de Cálculos'!$D$91</f>
        <v>0</v>
      </c>
      <c r="S6" s="162">
        <f>'Modelo de CR'!S9*'Entradas de Cálculos'!$D$92*'Modelo de CR'!S5*'Entradas de Cálculos'!$D$89*'Entradas de Cálculos'!$D$91</f>
        <v>0</v>
      </c>
      <c r="T6" s="162">
        <f>'Modelo de CR'!T9*'Entradas de Cálculos'!$D$92*'Modelo de CR'!T5*'Entradas de Cálculos'!$D$89*'Entradas de Cálculos'!$D$91</f>
        <v>0</v>
      </c>
      <c r="U6" s="162">
        <f>'Modelo de CR'!U9*'Entradas de Cálculos'!$D$92*'Modelo de CR'!U5*'Entradas de Cálculos'!$D$89*'Entradas de Cálculos'!$D$91</f>
        <v>0</v>
      </c>
      <c r="V6" s="162">
        <f>'Modelo de CR'!V9*'Entradas de Cálculos'!$D$92*'Modelo de CR'!V5*'Entradas de Cálculos'!$D$89*'Entradas de Cálculos'!$D$91</f>
        <v>0</v>
      </c>
      <c r="W6" s="162">
        <f>'Modelo de CR'!W9*'Entradas de Cálculos'!$D$92*'Modelo de CR'!W5*'Entradas de Cálculos'!$D$89*'Entradas de Cálculos'!$D$91</f>
        <v>0</v>
      </c>
      <c r="X6" s="382"/>
      <c r="Y6" s="382"/>
    </row>
    <row r="7" spans="1:25" s="3" customFormat="1" ht="14.25">
      <c r="A7" s="42"/>
      <c r="B7" s="40" t="s">
        <v>155</v>
      </c>
      <c r="C7" s="162">
        <f>C6*'Entrada de Dados do Usuário'!$C$40</f>
        <v>0</v>
      </c>
      <c r="D7" s="162">
        <f>D6*'Entrada de Dados do Usuário'!$C$40</f>
        <v>0</v>
      </c>
      <c r="E7" s="162">
        <f>E6*'Entrada de Dados do Usuário'!$C$40</f>
        <v>0</v>
      </c>
      <c r="F7" s="162">
        <f>F6*'Entrada de Dados do Usuário'!$C$40</f>
        <v>0</v>
      </c>
      <c r="G7" s="162">
        <f>G6*'Entrada de Dados do Usuário'!$C$40</f>
        <v>0</v>
      </c>
      <c r="H7" s="162">
        <f>H6*'Entrada de Dados do Usuário'!$C$40</f>
        <v>0</v>
      </c>
      <c r="I7" s="162">
        <f>I6*'Entrada de Dados do Usuário'!$C$40</f>
        <v>0</v>
      </c>
      <c r="J7" s="162">
        <f>J6*'Entrada de Dados do Usuário'!$C$40</f>
        <v>0</v>
      </c>
      <c r="K7" s="162">
        <f>K6*'Entrada de Dados do Usuário'!$C$40</f>
        <v>0</v>
      </c>
      <c r="L7" s="162">
        <f>L6*'Entrada de Dados do Usuário'!$C$40</f>
        <v>0</v>
      </c>
      <c r="M7" s="162">
        <f>M6*'Entrada de Dados do Usuário'!$C$40</f>
        <v>0</v>
      </c>
      <c r="N7" s="162">
        <f>N6*'Entrada de Dados do Usuário'!$C$40</f>
        <v>0</v>
      </c>
      <c r="O7" s="162">
        <f>O6*'Entrada de Dados do Usuário'!$C$40</f>
        <v>0</v>
      </c>
      <c r="P7" s="162">
        <f>P6*'Entrada de Dados do Usuário'!$C$40</f>
        <v>0</v>
      </c>
      <c r="Q7" s="162">
        <f>Q6*'Entrada de Dados do Usuário'!$C$40</f>
        <v>0</v>
      </c>
      <c r="R7" s="162">
        <f>R6*'Entrada de Dados do Usuário'!$C$40</f>
        <v>0</v>
      </c>
      <c r="S7" s="162">
        <f>S6*'Entrada de Dados do Usuário'!$C$40</f>
        <v>0</v>
      </c>
      <c r="T7" s="162">
        <f>T6*'Entrada de Dados do Usuário'!$C$40</f>
        <v>0</v>
      </c>
      <c r="U7" s="162">
        <f>U6*'Entrada de Dados do Usuário'!$C$40</f>
        <v>0</v>
      </c>
      <c r="V7" s="162">
        <f>V6*'Entrada de Dados do Usuário'!$C$40</f>
        <v>0</v>
      </c>
      <c r="W7" s="162">
        <f>W6*'Entrada de Dados do Usuário'!$C$40</f>
        <v>0</v>
      </c>
      <c r="X7" s="382"/>
      <c r="Y7" s="382"/>
    </row>
    <row r="8" spans="1:25" s="3" customFormat="1" ht="15" thickBot="1">
      <c r="A8" s="42"/>
      <c r="B8" s="40" t="s">
        <v>156</v>
      </c>
      <c r="C8" s="162">
        <f>'Modelo de CR'!C9*'Entradas de Cálculos'!$D$92*'Modelo de CR'!C10*'Modelo de CR'!C11/'Entradas de Cálculos'!$D$25*'Entradas de Cálculos'!$D$22*'Modelo de Tecnologia'!C5</f>
        <v>0</v>
      </c>
      <c r="D8" s="162">
        <f>'Modelo de CR'!D9*'Entradas de Cálculos'!$D$92*'Modelo de CR'!D10*'Modelo de CR'!D11/'Entradas de Cálculos'!$D$25*'Entradas de Cálculos'!$D$22*'Modelo de Tecnologia'!D5</f>
        <v>0</v>
      </c>
      <c r="E8" s="162">
        <f>'Modelo de CR'!E9*'Entradas de Cálculos'!$D$92*'Modelo de CR'!E10*'Modelo de CR'!E11/'Entradas de Cálculos'!$D$25*'Entradas de Cálculos'!$D$22*'Modelo de Tecnologia'!E5</f>
        <v>0</v>
      </c>
      <c r="F8" s="162">
        <f>'Modelo de CR'!F9*'Entradas de Cálculos'!$D$92*'Modelo de CR'!F10*'Modelo de CR'!F11/'Entradas de Cálculos'!$D$25*'Entradas de Cálculos'!$D$22*'Modelo de Tecnologia'!F5</f>
        <v>0</v>
      </c>
      <c r="G8" s="162">
        <f>'Modelo de CR'!G9*'Entradas de Cálculos'!$D$92*'Modelo de CR'!G10*'Modelo de CR'!G11/'Entradas de Cálculos'!$D$25*'Entradas de Cálculos'!$D$22*'Modelo de Tecnologia'!G5</f>
        <v>0</v>
      </c>
      <c r="H8" s="162">
        <f>'Modelo de CR'!H9*'Entradas de Cálculos'!$D$92*'Modelo de CR'!H10*'Modelo de CR'!H11/'Entradas de Cálculos'!$D$25*'Entradas de Cálculos'!$D$22*'Modelo de Tecnologia'!H5</f>
        <v>0</v>
      </c>
      <c r="I8" s="162">
        <f>'Modelo de CR'!I9*'Entradas de Cálculos'!$D$92*'Modelo de CR'!I10*'Modelo de CR'!I11/'Entradas de Cálculos'!$D$25*'Entradas de Cálculos'!$D$22*'Modelo de Tecnologia'!I5</f>
        <v>0</v>
      </c>
      <c r="J8" s="162">
        <f>'Modelo de CR'!J9*'Entradas de Cálculos'!$D$92*'Modelo de CR'!J10*'Modelo de CR'!J11/'Entradas de Cálculos'!$D$25*'Entradas de Cálculos'!$D$22*'Modelo de Tecnologia'!J5</f>
        <v>0</v>
      </c>
      <c r="K8" s="162">
        <f>'Modelo de CR'!K9*'Entradas de Cálculos'!$D$92*'Modelo de CR'!K10*'Modelo de CR'!K11/'Entradas de Cálculos'!$D$25*'Entradas de Cálculos'!$D$22*'Modelo de Tecnologia'!K5</f>
        <v>0</v>
      </c>
      <c r="L8" s="162">
        <f>'Modelo de CR'!L9*'Entradas de Cálculos'!$D$92*'Modelo de CR'!L10*'Modelo de CR'!L11/'Entradas de Cálculos'!$D$25*'Entradas de Cálculos'!$D$22*'Modelo de Tecnologia'!L5</f>
        <v>0</v>
      </c>
      <c r="M8" s="162">
        <f>'Modelo de CR'!M9*'Entradas de Cálculos'!$D$92*'Modelo de CR'!M10*'Modelo de CR'!M11/'Entradas de Cálculos'!$D$25*'Entradas de Cálculos'!$D$22*'Modelo de Tecnologia'!M5</f>
        <v>0</v>
      </c>
      <c r="N8" s="162">
        <f>'Modelo de CR'!N9*'Entradas de Cálculos'!$D$92*'Modelo de CR'!N10*'Modelo de CR'!N11/'Entradas de Cálculos'!$D$25*'Entradas de Cálculos'!$D$22*'Modelo de Tecnologia'!N5</f>
        <v>0</v>
      </c>
      <c r="O8" s="162">
        <f>'Modelo de CR'!O9*'Entradas de Cálculos'!$D$92*'Modelo de CR'!O10*'Modelo de CR'!O11/'Entradas de Cálculos'!$D$25*'Entradas de Cálculos'!$D$22*'Modelo de Tecnologia'!O5</f>
        <v>0</v>
      </c>
      <c r="P8" s="162">
        <f>'Modelo de CR'!P9*'Entradas de Cálculos'!$D$92*'Modelo de CR'!P10*'Modelo de CR'!P11/'Entradas de Cálculos'!$D$25*'Entradas de Cálculos'!$D$22*'Modelo de Tecnologia'!P5</f>
        <v>0</v>
      </c>
      <c r="Q8" s="162">
        <f>'Modelo de CR'!Q9*'Entradas de Cálculos'!$D$92*'Modelo de CR'!Q10*'Modelo de CR'!Q11/'Entradas de Cálculos'!$D$25*'Entradas de Cálculos'!$D$22*'Modelo de Tecnologia'!Q5</f>
        <v>0</v>
      </c>
      <c r="R8" s="162">
        <f>'Modelo de CR'!R9*'Entradas de Cálculos'!$D$92*'Modelo de CR'!R10*'Modelo de CR'!R11/'Entradas de Cálculos'!$D$25*'Entradas de Cálculos'!$D$22*'Modelo de Tecnologia'!R5</f>
        <v>0</v>
      </c>
      <c r="S8" s="162">
        <f>'Modelo de CR'!S9*'Entradas de Cálculos'!$D$92*'Modelo de CR'!S10*'Modelo de CR'!S11/'Entradas de Cálculos'!$D$25*'Entradas de Cálculos'!$D$22*'Modelo de Tecnologia'!S5</f>
        <v>0</v>
      </c>
      <c r="T8" s="162">
        <f>'Modelo de CR'!T9*'Entradas de Cálculos'!$D$92*'Modelo de CR'!T10*'Modelo de CR'!T11/'Entradas de Cálculos'!$D$25*'Entradas de Cálculos'!$D$22*'Modelo de Tecnologia'!T5</f>
        <v>0</v>
      </c>
      <c r="U8" s="162">
        <f>'Modelo de CR'!U9*'Entradas de Cálculos'!$D$92*'Modelo de CR'!U10*'Modelo de CR'!U11/'Entradas de Cálculos'!$D$25*'Entradas de Cálculos'!$D$22*'Modelo de Tecnologia'!U5</f>
        <v>0</v>
      </c>
      <c r="V8" s="162">
        <f>'Modelo de CR'!V9*'Entradas de Cálculos'!$D$92*'Modelo de CR'!V10*'Modelo de CR'!V11/'Entradas de Cálculos'!$D$25*'Entradas de Cálculos'!$D$22*'Modelo de Tecnologia'!V5</f>
        <v>0</v>
      </c>
      <c r="W8" s="162">
        <f>'Modelo de CR'!W9*'Entradas de Cálculos'!$D$92*'Modelo de CR'!W10*'Modelo de CR'!W11/'Entradas de Cálculos'!$D$25*'Entradas de Cálculos'!$D$22*'Modelo de Tecnologia'!W5</f>
        <v>0</v>
      </c>
      <c r="X8" s="382"/>
      <c r="Y8" s="382"/>
    </row>
    <row r="9" spans="1:23" s="3" customFormat="1" ht="15" thickBot="1">
      <c r="A9" s="379" t="s">
        <v>152</v>
      </c>
      <c r="B9" s="380"/>
      <c r="C9" s="380"/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0"/>
      <c r="U9" s="380"/>
      <c r="V9" s="380"/>
      <c r="W9" s="381"/>
    </row>
    <row r="10" spans="1:25" s="3" customFormat="1" ht="14.25">
      <c r="A10" s="41"/>
      <c r="B10" s="40" t="s">
        <v>153</v>
      </c>
      <c r="C10" s="163">
        <f>'Entrada de Dados do Usuário'!C12</f>
        <v>0</v>
      </c>
      <c r="D10" s="163">
        <f>C10*(1+'Entrada de Dados do Usuário'!$C$17)</f>
        <v>0</v>
      </c>
      <c r="E10" s="163">
        <f>D10*(1+'Entrada de Dados do Usuário'!$C$17)</f>
        <v>0</v>
      </c>
      <c r="F10" s="163">
        <f>E10*(1+'Entrada de Dados do Usuário'!$C$17)</f>
        <v>0</v>
      </c>
      <c r="G10" s="163">
        <f>F10*(1+'Entrada de Dados do Usuário'!$C$17)</f>
        <v>0</v>
      </c>
      <c r="H10" s="163">
        <f>G10*(1+'Entrada de Dados do Usuário'!$C$17)</f>
        <v>0</v>
      </c>
      <c r="I10" s="163">
        <f>H10*(1+'Entrada de Dados do Usuário'!$C$17)</f>
        <v>0</v>
      </c>
      <c r="J10" s="163">
        <f>I10*(1+'Entrada de Dados do Usuário'!$C$17)</f>
        <v>0</v>
      </c>
      <c r="K10" s="163">
        <f>J10*(1+'Entrada de Dados do Usuário'!$C$17)</f>
        <v>0</v>
      </c>
      <c r="L10" s="163">
        <f>K10*(1+'Entrada de Dados do Usuário'!$C$17)</f>
        <v>0</v>
      </c>
      <c r="M10" s="163">
        <f>L10*(1+'Entrada de Dados do Usuário'!$C$17)</f>
        <v>0</v>
      </c>
      <c r="N10" s="163">
        <f>M10*(1+'Entrada de Dados do Usuário'!$C$17)</f>
        <v>0</v>
      </c>
      <c r="O10" s="163">
        <f>N10*(1+'Entrada de Dados do Usuário'!$C$17)</f>
        <v>0</v>
      </c>
      <c r="P10" s="163">
        <f>O10*(1+'Entrada de Dados do Usuário'!$C$17)</f>
        <v>0</v>
      </c>
      <c r="Q10" s="163">
        <f>P10*(1+'Entrada de Dados do Usuário'!$C$17)</f>
        <v>0</v>
      </c>
      <c r="R10" s="163">
        <f>Q10*(1+'Entrada de Dados do Usuário'!$C$17)</f>
        <v>0</v>
      </c>
      <c r="S10" s="163">
        <f>R10*(1+'Entrada de Dados do Usuário'!$C$17)</f>
        <v>0</v>
      </c>
      <c r="T10" s="163">
        <f>S10*(1+'Entrada de Dados do Usuário'!$C$17)</f>
        <v>0</v>
      </c>
      <c r="U10" s="163">
        <f>T10*(1+'Entrada de Dados do Usuário'!$C$17)</f>
        <v>0</v>
      </c>
      <c r="V10" s="163">
        <f>U10*(1+'Entrada de Dados do Usuário'!$C$17)</f>
        <v>0</v>
      </c>
      <c r="W10" s="161">
        <f>V10*(1+'Entrada de Dados do Usuário'!$C$17)</f>
        <v>0</v>
      </c>
      <c r="X10" s="382"/>
      <c r="Y10" s="382"/>
    </row>
    <row r="11" spans="1:25" s="3" customFormat="1" ht="14.25">
      <c r="A11" s="42"/>
      <c r="B11" s="40" t="s">
        <v>154</v>
      </c>
      <c r="C11" s="162">
        <f>'Modelo de CR'!C20*'Entradas de Cálculos'!$D$92*'Modelo de CR'!C16*'Entradas de Cálculos'!$D$89*'Entradas de Cálculos'!$D$91</f>
        <v>0</v>
      </c>
      <c r="D11" s="162">
        <f>'Modelo de CR'!D20*'Entradas de Cálculos'!$D$92*'Modelo de CR'!D16*'Entradas de Cálculos'!$D$89*'Entradas de Cálculos'!$D$91</f>
        <v>0</v>
      </c>
      <c r="E11" s="162">
        <f>'Modelo de CR'!E20*'Entradas de Cálculos'!$D$92*'Modelo de CR'!E16*'Entradas de Cálculos'!$D$89*'Entradas de Cálculos'!$D$91</f>
        <v>0</v>
      </c>
      <c r="F11" s="162">
        <f>'Modelo de CR'!F20*'Entradas de Cálculos'!$D$92*'Modelo de CR'!F16*'Entradas de Cálculos'!$D$89*'Entradas de Cálculos'!$D$91</f>
        <v>0</v>
      </c>
      <c r="G11" s="162">
        <f>'Modelo de CR'!G20*'Entradas de Cálculos'!$D$92*'Modelo de CR'!G16*'Entradas de Cálculos'!$D$89*'Entradas de Cálculos'!$D$91</f>
        <v>0</v>
      </c>
      <c r="H11" s="162">
        <f>'Modelo de CR'!H20*'Entradas de Cálculos'!$D$92*'Modelo de CR'!H16*'Entradas de Cálculos'!$D$89*'Entradas de Cálculos'!$D$91</f>
        <v>0</v>
      </c>
      <c r="I11" s="162">
        <f>'Modelo de CR'!I20*'Entradas de Cálculos'!$D$92*'Modelo de CR'!I16*'Entradas de Cálculos'!$D$89*'Entradas de Cálculos'!$D$91</f>
        <v>0</v>
      </c>
      <c r="J11" s="162">
        <f>'Modelo de CR'!J20*'Entradas de Cálculos'!$D$92*'Modelo de CR'!J16*'Entradas de Cálculos'!$D$89*'Entradas de Cálculos'!$D$91</f>
        <v>0</v>
      </c>
      <c r="K11" s="162">
        <f>'Modelo de CR'!K20*'Entradas de Cálculos'!$D$92*'Modelo de CR'!K16*'Entradas de Cálculos'!$D$89*'Entradas de Cálculos'!$D$91</f>
        <v>0</v>
      </c>
      <c r="L11" s="162">
        <f>'Modelo de CR'!L20*'Entradas de Cálculos'!$D$92*'Modelo de CR'!L16*'Entradas de Cálculos'!$D$89*'Entradas de Cálculos'!$D$91</f>
        <v>0</v>
      </c>
      <c r="M11" s="162">
        <f>'Modelo de CR'!M20*'Entradas de Cálculos'!$D$92*'Modelo de CR'!M16*'Entradas de Cálculos'!$D$89*'Entradas de Cálculos'!$D$91</f>
        <v>0</v>
      </c>
      <c r="N11" s="162">
        <f>'Modelo de CR'!N20*'Entradas de Cálculos'!$D$92*'Modelo de CR'!N16*'Entradas de Cálculos'!$D$89*'Entradas de Cálculos'!$D$91</f>
        <v>0</v>
      </c>
      <c r="O11" s="162">
        <f>'Modelo de CR'!O20*'Entradas de Cálculos'!$D$92*'Modelo de CR'!O16*'Entradas de Cálculos'!$D$89*'Entradas de Cálculos'!$D$91</f>
        <v>0</v>
      </c>
      <c r="P11" s="162">
        <f>'Modelo de CR'!P20*'Entradas de Cálculos'!$D$92*'Modelo de CR'!P16*'Entradas de Cálculos'!$D$89*'Entradas de Cálculos'!$D$91</f>
        <v>0</v>
      </c>
      <c r="Q11" s="162">
        <f>'Modelo de CR'!Q20*'Entradas de Cálculos'!$D$92*'Modelo de CR'!Q16*'Entradas de Cálculos'!$D$89*'Entradas de Cálculos'!$D$91</f>
        <v>0</v>
      </c>
      <c r="R11" s="162">
        <f>'Modelo de CR'!R20*'Entradas de Cálculos'!$D$92*'Modelo de CR'!R16*'Entradas de Cálculos'!$D$89*'Entradas de Cálculos'!$D$91</f>
        <v>0</v>
      </c>
      <c r="S11" s="162">
        <f>'Modelo de CR'!S20*'Entradas de Cálculos'!$D$92*'Modelo de CR'!S16*'Entradas de Cálculos'!$D$89*'Entradas de Cálculos'!$D$91</f>
        <v>0</v>
      </c>
      <c r="T11" s="162">
        <f>'Modelo de CR'!T20*'Entradas de Cálculos'!$D$92*'Modelo de CR'!T16*'Entradas de Cálculos'!$D$89*'Entradas de Cálculos'!$D$91</f>
        <v>0</v>
      </c>
      <c r="U11" s="162">
        <f>'Modelo de CR'!U20*'Entradas de Cálculos'!$D$92*'Modelo de CR'!U16*'Entradas de Cálculos'!$D$89*'Entradas de Cálculos'!$D$91</f>
        <v>0</v>
      </c>
      <c r="V11" s="162">
        <f>'Modelo de CR'!V20*'Entradas de Cálculos'!$D$92*'Modelo de CR'!V16*'Entradas de Cálculos'!$D$89*'Entradas de Cálculos'!$D$91</f>
        <v>0</v>
      </c>
      <c r="W11" s="162">
        <f>'Modelo de CR'!W20*'Entradas de Cálculos'!$D$92*'Modelo de CR'!W16*'Entradas de Cálculos'!$D$89*'Entradas de Cálculos'!$D$91</f>
        <v>0</v>
      </c>
      <c r="X11" s="382"/>
      <c r="Y11" s="382"/>
    </row>
    <row r="12" spans="1:25" s="3" customFormat="1" ht="14.25">
      <c r="A12" s="42"/>
      <c r="B12" s="40" t="s">
        <v>155</v>
      </c>
      <c r="C12" s="162">
        <f>C11*'Entrada de Dados do Usuário'!$C$41</f>
        <v>0</v>
      </c>
      <c r="D12" s="162">
        <f>D11*'Entrada de Dados do Usuário'!$C$41</f>
        <v>0</v>
      </c>
      <c r="E12" s="162">
        <f>E11*'Entrada de Dados do Usuário'!$C$41</f>
        <v>0</v>
      </c>
      <c r="F12" s="162">
        <f>F11*'Entrada de Dados do Usuário'!$C$41</f>
        <v>0</v>
      </c>
      <c r="G12" s="162">
        <f>G11*'Entrada de Dados do Usuário'!$C$41</f>
        <v>0</v>
      </c>
      <c r="H12" s="162">
        <f>H11*'Entrada de Dados do Usuário'!$C$41</f>
        <v>0</v>
      </c>
      <c r="I12" s="162">
        <f>I11*'Entrada de Dados do Usuário'!$C$41</f>
        <v>0</v>
      </c>
      <c r="J12" s="162">
        <f>J11*'Entrada de Dados do Usuário'!$C$41</f>
        <v>0</v>
      </c>
      <c r="K12" s="162">
        <f>K11*'Entrada de Dados do Usuário'!$C$41</f>
        <v>0</v>
      </c>
      <c r="L12" s="162">
        <f>L11*'Entrada de Dados do Usuário'!$C$41</f>
        <v>0</v>
      </c>
      <c r="M12" s="162">
        <f>M11*'Entrada de Dados do Usuário'!$C$41</f>
        <v>0</v>
      </c>
      <c r="N12" s="162">
        <f>N11*'Entrada de Dados do Usuário'!$C$41</f>
        <v>0</v>
      </c>
      <c r="O12" s="162">
        <f>O11*'Entrada de Dados do Usuário'!$C$41</f>
        <v>0</v>
      </c>
      <c r="P12" s="162">
        <f>P11*'Entrada de Dados do Usuário'!$C$41</f>
        <v>0</v>
      </c>
      <c r="Q12" s="162">
        <f>Q11*'Entrada de Dados do Usuário'!$C$41</f>
        <v>0</v>
      </c>
      <c r="R12" s="162">
        <f>R11*'Entrada de Dados do Usuário'!$C$41</f>
        <v>0</v>
      </c>
      <c r="S12" s="162">
        <f>S11*'Entrada de Dados do Usuário'!$C$41</f>
        <v>0</v>
      </c>
      <c r="T12" s="162">
        <f>T11*'Entrada de Dados do Usuário'!$C$41</f>
        <v>0</v>
      </c>
      <c r="U12" s="162">
        <f>U11*'Entrada de Dados do Usuário'!$C$41</f>
        <v>0</v>
      </c>
      <c r="V12" s="162">
        <f>V11*'Entrada de Dados do Usuário'!$C$41</f>
        <v>0</v>
      </c>
      <c r="W12" s="162">
        <f>W11*'Entrada de Dados do Usuário'!$C$41</f>
        <v>0</v>
      </c>
      <c r="X12" s="382"/>
      <c r="Y12" s="382"/>
    </row>
    <row r="13" spans="1:25" s="3" customFormat="1" ht="15" thickBot="1">
      <c r="A13" s="42"/>
      <c r="B13" s="40" t="s">
        <v>156</v>
      </c>
      <c r="C13" s="162">
        <f>'Modelo de CR'!C20*'Entradas de Cálculos'!$D$92*'Modelo de CR'!C21*'Modelo de CR'!C22/'Entradas de Cálculos'!$D$25*'Entradas de Cálculos'!$D$22*'Modelo de Tecnologia'!C10</f>
        <v>0</v>
      </c>
      <c r="D13" s="162">
        <f>'Modelo de CR'!D20*'Entradas de Cálculos'!$D$92*'Modelo de CR'!D21*'Modelo de CR'!D22/'Entradas de Cálculos'!$D$25*'Entradas de Cálculos'!$D$22*'Modelo de Tecnologia'!D10</f>
        <v>0</v>
      </c>
      <c r="E13" s="162">
        <f>'Modelo de CR'!E20*'Entradas de Cálculos'!$D$92*'Modelo de CR'!E21*'Modelo de CR'!E22/'Entradas de Cálculos'!$D$25*'Entradas de Cálculos'!$D$22*'Modelo de Tecnologia'!E10</f>
        <v>0</v>
      </c>
      <c r="F13" s="162">
        <f>'Modelo de CR'!F20*'Entradas de Cálculos'!$D$92*'Modelo de CR'!F21*'Modelo de CR'!F22/'Entradas de Cálculos'!$D$25*'Entradas de Cálculos'!$D$22*'Modelo de Tecnologia'!F10</f>
        <v>0</v>
      </c>
      <c r="G13" s="162">
        <f>'Modelo de CR'!G20*'Entradas de Cálculos'!$D$92*'Modelo de CR'!G21*'Modelo de CR'!G22/'Entradas de Cálculos'!$D$25*'Entradas de Cálculos'!$D$22*'Modelo de Tecnologia'!G10</f>
        <v>0</v>
      </c>
      <c r="H13" s="162">
        <f>'Modelo de CR'!H20*'Entradas de Cálculos'!$D$92*'Modelo de CR'!H21*'Modelo de CR'!H22/'Entradas de Cálculos'!$D$25*'Entradas de Cálculos'!$D$22*'Modelo de Tecnologia'!H10</f>
        <v>0</v>
      </c>
      <c r="I13" s="162">
        <f>'Modelo de CR'!I20*'Entradas de Cálculos'!$D$92*'Modelo de CR'!I21*'Modelo de CR'!I22/'Entradas de Cálculos'!$D$25*'Entradas de Cálculos'!$D$22*'Modelo de Tecnologia'!I10</f>
        <v>0</v>
      </c>
      <c r="J13" s="162">
        <f>'Modelo de CR'!J20*'Entradas de Cálculos'!$D$92*'Modelo de CR'!J21*'Modelo de CR'!J22/'Entradas de Cálculos'!$D$25*'Entradas de Cálculos'!$D$22*'Modelo de Tecnologia'!J10</f>
        <v>0</v>
      </c>
      <c r="K13" s="162">
        <f>'Modelo de CR'!K20*'Entradas de Cálculos'!$D$92*'Modelo de CR'!K21*'Modelo de CR'!K22/'Entradas de Cálculos'!$D$25*'Entradas de Cálculos'!$D$22*'Modelo de Tecnologia'!K10</f>
        <v>0</v>
      </c>
      <c r="L13" s="162">
        <f>'Modelo de CR'!L20*'Entradas de Cálculos'!$D$92*'Modelo de CR'!L21*'Modelo de CR'!L22/'Entradas de Cálculos'!$D$25*'Entradas de Cálculos'!$D$22*'Modelo de Tecnologia'!L10</f>
        <v>0</v>
      </c>
      <c r="M13" s="162">
        <f>'Modelo de CR'!M20*'Entradas de Cálculos'!$D$92*'Modelo de CR'!M21*'Modelo de CR'!M22/'Entradas de Cálculos'!$D$25*'Entradas de Cálculos'!$D$22*'Modelo de Tecnologia'!M10</f>
        <v>0</v>
      </c>
      <c r="N13" s="162">
        <f>'Modelo de CR'!N20*'Entradas de Cálculos'!$D$92*'Modelo de CR'!N21*'Modelo de CR'!N22/'Entradas de Cálculos'!$D$25*'Entradas de Cálculos'!$D$22*'Modelo de Tecnologia'!N10</f>
        <v>0</v>
      </c>
      <c r="O13" s="162">
        <f>'Modelo de CR'!O20*'Entradas de Cálculos'!$D$92*'Modelo de CR'!O21*'Modelo de CR'!O22/'Entradas de Cálculos'!$D$25*'Entradas de Cálculos'!$D$22*'Modelo de Tecnologia'!O10</f>
        <v>0</v>
      </c>
      <c r="P13" s="162">
        <f>'Modelo de CR'!P20*'Entradas de Cálculos'!$D$92*'Modelo de CR'!P21*'Modelo de CR'!P22/'Entradas de Cálculos'!$D$25*'Entradas de Cálculos'!$D$22*'Modelo de Tecnologia'!P10</f>
        <v>0</v>
      </c>
      <c r="Q13" s="162">
        <f>'Modelo de CR'!Q20*'Entradas de Cálculos'!$D$92*'Modelo de CR'!Q21*'Modelo de CR'!Q22/'Entradas de Cálculos'!$D$25*'Entradas de Cálculos'!$D$22*'Modelo de Tecnologia'!Q10</f>
        <v>0</v>
      </c>
      <c r="R13" s="162">
        <f>'Modelo de CR'!R20*'Entradas de Cálculos'!$D$92*'Modelo de CR'!R21*'Modelo de CR'!R22/'Entradas de Cálculos'!$D$25*'Entradas de Cálculos'!$D$22*'Modelo de Tecnologia'!R10</f>
        <v>0</v>
      </c>
      <c r="S13" s="162">
        <f>'Modelo de CR'!S20*'Entradas de Cálculos'!$D$92*'Modelo de CR'!S21*'Modelo de CR'!S22/'Entradas de Cálculos'!$D$25*'Entradas de Cálculos'!$D$22*'Modelo de Tecnologia'!S10</f>
        <v>0</v>
      </c>
      <c r="T13" s="162">
        <f>'Modelo de CR'!T20*'Entradas de Cálculos'!$D$92*'Modelo de CR'!T21*'Modelo de CR'!T22/'Entradas de Cálculos'!$D$25*'Entradas de Cálculos'!$D$22*'Modelo de Tecnologia'!T10</f>
        <v>0</v>
      </c>
      <c r="U13" s="162">
        <f>'Modelo de CR'!U20*'Entradas de Cálculos'!$D$92*'Modelo de CR'!U21*'Modelo de CR'!U22/'Entradas de Cálculos'!$D$25*'Entradas de Cálculos'!$D$22*'Modelo de Tecnologia'!U10</f>
        <v>0</v>
      </c>
      <c r="V13" s="162">
        <f>'Modelo de CR'!V20*'Entradas de Cálculos'!$D$92*'Modelo de CR'!V21*'Modelo de CR'!V22/'Entradas de Cálculos'!$D$25*'Entradas de Cálculos'!$D$22*'Modelo de Tecnologia'!V10</f>
        <v>0</v>
      </c>
      <c r="W13" s="162">
        <f>'Modelo de CR'!W20*'Entradas de Cálculos'!$D$92*'Modelo de CR'!W21*'Modelo de CR'!W22/'Entradas de Cálculos'!$D$25*'Entradas de Cálculos'!$D$22*'Modelo de Tecnologia'!W10</f>
        <v>0</v>
      </c>
      <c r="X13" s="382"/>
      <c r="Y13" s="382"/>
    </row>
    <row r="14" spans="1:23" s="3" customFormat="1" ht="21" thickBot="1">
      <c r="A14" s="373" t="s">
        <v>149</v>
      </c>
      <c r="B14" s="374"/>
      <c r="C14" s="374"/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5"/>
    </row>
    <row r="15" spans="1:23" s="3" customFormat="1" ht="15" thickBot="1">
      <c r="A15" s="379" t="s">
        <v>198</v>
      </c>
      <c r="B15" s="380"/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380"/>
      <c r="U15" s="380"/>
      <c r="V15" s="380"/>
      <c r="W15" s="381"/>
    </row>
    <row r="16" spans="1:25" s="3" customFormat="1" ht="14.25">
      <c r="A16" s="41"/>
      <c r="B16" s="40" t="s">
        <v>153</v>
      </c>
      <c r="C16" s="163">
        <f>'Entrada de Dados do Usuário'!C13</f>
        <v>0</v>
      </c>
      <c r="D16" s="163">
        <f>C16*(1+'Entrada de Dados do Usuário'!$C$18)</f>
        <v>0</v>
      </c>
      <c r="E16" s="163">
        <f>D16*(1+'Entrada de Dados do Usuário'!$C$18)</f>
        <v>0</v>
      </c>
      <c r="F16" s="163">
        <f>E16*(1+'Entrada de Dados do Usuário'!$C$18)</f>
        <v>0</v>
      </c>
      <c r="G16" s="163">
        <f>F16*(1+'Entrada de Dados do Usuário'!$C$18)</f>
        <v>0</v>
      </c>
      <c r="H16" s="163">
        <f>G16*(1+'Entrada de Dados do Usuário'!$C$18)</f>
        <v>0</v>
      </c>
      <c r="I16" s="163">
        <f>H16*(1+'Entrada de Dados do Usuário'!$C$18)</f>
        <v>0</v>
      </c>
      <c r="J16" s="163">
        <f>I16*(1+'Entrada de Dados do Usuário'!$C$18)</f>
        <v>0</v>
      </c>
      <c r="K16" s="163">
        <f>J16*(1+'Entrada de Dados do Usuário'!$C$18)</f>
        <v>0</v>
      </c>
      <c r="L16" s="163">
        <f>K16*(1+'Entrada de Dados do Usuário'!$C$18)</f>
        <v>0</v>
      </c>
      <c r="M16" s="163">
        <f>L16*(1+'Entrada de Dados do Usuário'!$C$18)</f>
        <v>0</v>
      </c>
      <c r="N16" s="163">
        <f>M16*(1+'Entrada de Dados do Usuário'!$C$18)</f>
        <v>0</v>
      </c>
      <c r="O16" s="163">
        <f>N16*(1+'Entrada de Dados do Usuário'!$C$18)</f>
        <v>0</v>
      </c>
      <c r="P16" s="163">
        <f>O16*(1+'Entrada de Dados do Usuário'!$C$18)</f>
        <v>0</v>
      </c>
      <c r="Q16" s="163">
        <f>P16*(1+'Entrada de Dados do Usuário'!$C$18)</f>
        <v>0</v>
      </c>
      <c r="R16" s="163">
        <f>Q16*(1+'Entrada de Dados do Usuário'!$C$18)</f>
        <v>0</v>
      </c>
      <c r="S16" s="163">
        <f>R16*(1+'Entrada de Dados do Usuário'!$C$18)</f>
        <v>0</v>
      </c>
      <c r="T16" s="163">
        <f>S16*(1+'Entrada de Dados do Usuário'!$C$18)</f>
        <v>0</v>
      </c>
      <c r="U16" s="163">
        <f>T16*(1+'Entrada de Dados do Usuário'!$C$18)</f>
        <v>0</v>
      </c>
      <c r="V16" s="163">
        <f>U16*(1+'Entrada de Dados do Usuário'!$C$18)</f>
        <v>0</v>
      </c>
      <c r="W16" s="161">
        <f>V16*(1+'Entrada de Dados do Usuário'!$C$18)</f>
        <v>0</v>
      </c>
      <c r="X16" s="382"/>
      <c r="Y16" s="382"/>
    </row>
    <row r="17" spans="1:25" s="3" customFormat="1" ht="14.25">
      <c r="A17" s="42"/>
      <c r="B17" s="40" t="s">
        <v>154</v>
      </c>
      <c r="C17" s="162">
        <f>'Modelo de CR'!C31*'Entradas de Cálculos'!$D$92*'Modelo de CR'!C27*'Entradas de Cálculos'!$D$90*'Entradas de Cálculos'!$D$91</f>
        <v>0</v>
      </c>
      <c r="D17" s="162">
        <f>'Modelo de CR'!D31*'Entradas de Cálculos'!$D$92*'Modelo de CR'!D27*'Entradas de Cálculos'!$D$90*'Entradas de Cálculos'!$D$91</f>
        <v>0</v>
      </c>
      <c r="E17" s="162">
        <f>'Modelo de CR'!E31*'Entradas de Cálculos'!$D$92*'Modelo de CR'!E27*'Entradas de Cálculos'!$D$90*'Entradas de Cálculos'!$D$91</f>
        <v>0</v>
      </c>
      <c r="F17" s="162">
        <f>'Modelo de CR'!F31*'Entradas de Cálculos'!$D$92*'Modelo de CR'!F27*'Entradas de Cálculos'!$D$90*'Entradas de Cálculos'!$D$91</f>
        <v>0</v>
      </c>
      <c r="G17" s="162">
        <f>'Modelo de CR'!G31*'Entradas de Cálculos'!$D$92*'Modelo de CR'!G27*'Entradas de Cálculos'!$D$90*'Entradas de Cálculos'!$D$91</f>
        <v>0</v>
      </c>
      <c r="H17" s="162">
        <f>'Modelo de CR'!H31*'Entradas de Cálculos'!$D$92*'Modelo de CR'!H27*'Entradas de Cálculos'!$D$90*'Entradas de Cálculos'!$D$91</f>
        <v>0</v>
      </c>
      <c r="I17" s="162">
        <f>'Modelo de CR'!I31*'Entradas de Cálculos'!$D$92*'Modelo de CR'!I27*'Entradas de Cálculos'!$D$90*'Entradas de Cálculos'!$D$91</f>
        <v>0</v>
      </c>
      <c r="J17" s="162">
        <f>'Modelo de CR'!J31*'Entradas de Cálculos'!$D$92*'Modelo de CR'!J27*'Entradas de Cálculos'!$D$90*'Entradas de Cálculos'!$D$91</f>
        <v>0</v>
      </c>
      <c r="K17" s="162">
        <f>'Modelo de CR'!K31*'Entradas de Cálculos'!$D$92*'Modelo de CR'!K27*'Entradas de Cálculos'!$D$90*'Entradas de Cálculos'!$D$91</f>
        <v>0</v>
      </c>
      <c r="L17" s="162">
        <f>'Modelo de CR'!L31*'Entradas de Cálculos'!$D$92*'Modelo de CR'!L27*'Entradas de Cálculos'!$D$90*'Entradas de Cálculos'!$D$91</f>
        <v>0</v>
      </c>
      <c r="M17" s="162">
        <f>'Modelo de CR'!M31*'Entradas de Cálculos'!$D$92*'Modelo de CR'!M27*'Entradas de Cálculos'!$D$90*'Entradas de Cálculos'!$D$91</f>
        <v>0</v>
      </c>
      <c r="N17" s="162">
        <f>'Modelo de CR'!N31*'Entradas de Cálculos'!$D$92*'Modelo de CR'!N27*'Entradas de Cálculos'!$D$90*'Entradas de Cálculos'!$D$91</f>
        <v>0</v>
      </c>
      <c r="O17" s="162">
        <f>'Modelo de CR'!O31*'Entradas de Cálculos'!$D$92*'Modelo de CR'!O27*'Entradas de Cálculos'!$D$90*'Entradas de Cálculos'!$D$91</f>
        <v>0</v>
      </c>
      <c r="P17" s="162">
        <f>'Modelo de CR'!P31*'Entradas de Cálculos'!$D$92*'Modelo de CR'!P27*'Entradas de Cálculos'!$D$90*'Entradas de Cálculos'!$D$91</f>
        <v>0</v>
      </c>
      <c r="Q17" s="162">
        <f>'Modelo de CR'!Q31*'Entradas de Cálculos'!$D$92*'Modelo de CR'!Q27*'Entradas de Cálculos'!$D$90*'Entradas de Cálculos'!$D$91</f>
        <v>0</v>
      </c>
      <c r="R17" s="162">
        <f>'Modelo de CR'!R31*'Entradas de Cálculos'!$D$92*'Modelo de CR'!R27*'Entradas de Cálculos'!$D$90*'Entradas de Cálculos'!$D$91</f>
        <v>0</v>
      </c>
      <c r="S17" s="162">
        <f>'Modelo de CR'!S31*'Entradas de Cálculos'!$D$92*'Modelo de CR'!S27*'Entradas de Cálculos'!$D$90*'Entradas de Cálculos'!$D$91</f>
        <v>0</v>
      </c>
      <c r="T17" s="162">
        <f>'Modelo de CR'!T31*'Entradas de Cálculos'!$D$92*'Modelo de CR'!T27*'Entradas de Cálculos'!$D$90*'Entradas de Cálculos'!$D$91</f>
        <v>0</v>
      </c>
      <c r="U17" s="162">
        <f>'Modelo de CR'!U31*'Entradas de Cálculos'!$D$92*'Modelo de CR'!U27*'Entradas de Cálculos'!$D$90*'Entradas de Cálculos'!$D$91</f>
        <v>0</v>
      </c>
      <c r="V17" s="162">
        <f>'Modelo de CR'!V31*'Entradas de Cálculos'!$D$92*'Modelo de CR'!V27*'Entradas de Cálculos'!$D$90*'Entradas de Cálculos'!$D$91</f>
        <v>0</v>
      </c>
      <c r="W17" s="162">
        <f>'Modelo de CR'!W31*'Entradas de Cálculos'!$D$92*'Modelo de CR'!W27*'Entradas de Cálculos'!$D$90*'Entradas de Cálculos'!$D$91</f>
        <v>0</v>
      </c>
      <c r="X17" s="382"/>
      <c r="Y17" s="382"/>
    </row>
    <row r="18" spans="1:25" s="3" customFormat="1" ht="14.25">
      <c r="A18" s="42"/>
      <c r="B18" s="40" t="s">
        <v>155</v>
      </c>
      <c r="C18" s="162">
        <f>C17*'Entrada de Dados do Usuário'!$C$42</f>
        <v>0</v>
      </c>
      <c r="D18" s="162">
        <f>D17*'Entrada de Dados do Usuário'!$C$42</f>
        <v>0</v>
      </c>
      <c r="E18" s="162">
        <f>E17*'Entrada de Dados do Usuário'!$C$42</f>
        <v>0</v>
      </c>
      <c r="F18" s="162">
        <f>F17*'Entrada de Dados do Usuário'!$C$42</f>
        <v>0</v>
      </c>
      <c r="G18" s="162">
        <f>G17*'Entrada de Dados do Usuário'!$C$42</f>
        <v>0</v>
      </c>
      <c r="H18" s="162">
        <f>H17*'Entrada de Dados do Usuário'!$C$42</f>
        <v>0</v>
      </c>
      <c r="I18" s="162">
        <f>I17*'Entrada de Dados do Usuário'!$C$42</f>
        <v>0</v>
      </c>
      <c r="J18" s="162">
        <f>J17*'Entrada de Dados do Usuário'!$C$42</f>
        <v>0</v>
      </c>
      <c r="K18" s="162">
        <f>K17*'Entrada de Dados do Usuário'!$C$42</f>
        <v>0</v>
      </c>
      <c r="L18" s="162">
        <f>L17*'Entrada de Dados do Usuário'!$C$42</f>
        <v>0</v>
      </c>
      <c r="M18" s="162">
        <f>M17*'Entrada de Dados do Usuário'!$C$42</f>
        <v>0</v>
      </c>
      <c r="N18" s="162">
        <f>N17*'Entrada de Dados do Usuário'!$C$42</f>
        <v>0</v>
      </c>
      <c r="O18" s="162">
        <f>O17*'Entrada de Dados do Usuário'!$C$42</f>
        <v>0</v>
      </c>
      <c r="P18" s="162">
        <f>P17*'Entrada de Dados do Usuário'!$C$42</f>
        <v>0</v>
      </c>
      <c r="Q18" s="162">
        <f>Q17*'Entrada de Dados do Usuário'!$C$42</f>
        <v>0</v>
      </c>
      <c r="R18" s="162">
        <f>R17*'Entrada de Dados do Usuário'!$C$42</f>
        <v>0</v>
      </c>
      <c r="S18" s="162">
        <f>S17*'Entrada de Dados do Usuário'!$C$42</f>
        <v>0</v>
      </c>
      <c r="T18" s="162">
        <f>T17*'Entrada de Dados do Usuário'!$C$42</f>
        <v>0</v>
      </c>
      <c r="U18" s="162">
        <f>U17*'Entrada de Dados do Usuário'!$C$42</f>
        <v>0</v>
      </c>
      <c r="V18" s="162">
        <f>V17*'Entrada de Dados do Usuário'!$C$42</f>
        <v>0</v>
      </c>
      <c r="W18" s="162">
        <f>W17*'Entrada de Dados do Usuário'!$C$42</f>
        <v>0</v>
      </c>
      <c r="X18" s="382"/>
      <c r="Y18" s="382"/>
    </row>
    <row r="19" spans="1:25" s="3" customFormat="1" ht="15" thickBot="1">
      <c r="A19" s="42"/>
      <c r="B19" s="40" t="s">
        <v>156</v>
      </c>
      <c r="C19" s="162">
        <f>'Modelo de CR'!C31*'Entradas de Cálculos'!$D$92*'Modelo de CR'!C32*'Modelo de CR'!C33/'Entradas de Cálculos'!$D$25*'Entradas de Cálculos'!$D$22*'Modelo de Tecnologia'!C16</f>
        <v>0</v>
      </c>
      <c r="D19" s="162">
        <f>'Modelo de CR'!D31*'Entradas de Cálculos'!$D$92*'Modelo de CR'!D32*'Modelo de CR'!D33/'Entradas de Cálculos'!$D$25*'Entradas de Cálculos'!$D$22*'Modelo de Tecnologia'!D16</f>
        <v>0</v>
      </c>
      <c r="E19" s="162">
        <f>'Modelo de CR'!E31*'Entradas de Cálculos'!$D$92*'Modelo de CR'!E32*'Modelo de CR'!E33/'Entradas de Cálculos'!$D$25*'Entradas de Cálculos'!$D$22*'Modelo de Tecnologia'!E16</f>
        <v>0</v>
      </c>
      <c r="F19" s="162">
        <f>'Modelo de CR'!F31*'Entradas de Cálculos'!$D$92*'Modelo de CR'!F32*'Modelo de CR'!F33/'Entradas de Cálculos'!$D$25*'Entradas de Cálculos'!$D$22*'Modelo de Tecnologia'!F16</f>
        <v>0</v>
      </c>
      <c r="G19" s="162">
        <f>'Modelo de CR'!G31*'Entradas de Cálculos'!$D$92*'Modelo de CR'!G32*'Modelo de CR'!G33/'Entradas de Cálculos'!$D$25*'Entradas de Cálculos'!$D$22*'Modelo de Tecnologia'!G16</f>
        <v>0</v>
      </c>
      <c r="H19" s="162">
        <f>'Modelo de CR'!H31*'Entradas de Cálculos'!$D$92*'Modelo de CR'!H32*'Modelo de CR'!H33/'Entradas de Cálculos'!$D$25*'Entradas de Cálculos'!$D$22*'Modelo de Tecnologia'!H16</f>
        <v>0</v>
      </c>
      <c r="I19" s="162">
        <f>'Modelo de CR'!I31*'Entradas de Cálculos'!$D$92*'Modelo de CR'!I32*'Modelo de CR'!I33/'Entradas de Cálculos'!$D$25*'Entradas de Cálculos'!$D$22*'Modelo de Tecnologia'!I16</f>
        <v>0</v>
      </c>
      <c r="J19" s="162">
        <f>'Modelo de CR'!J31*'Entradas de Cálculos'!$D$92*'Modelo de CR'!J32*'Modelo de CR'!J33/'Entradas de Cálculos'!$D$25*'Entradas de Cálculos'!$D$22*'Modelo de Tecnologia'!J16</f>
        <v>0</v>
      </c>
      <c r="K19" s="162">
        <f>'Modelo de CR'!K31*'Entradas de Cálculos'!$D$92*'Modelo de CR'!K32*'Modelo de CR'!K33/'Entradas de Cálculos'!$D$25*'Entradas de Cálculos'!$D$22*'Modelo de Tecnologia'!K16</f>
        <v>0</v>
      </c>
      <c r="L19" s="162">
        <f>'Modelo de CR'!L31*'Entradas de Cálculos'!$D$92*'Modelo de CR'!L32*'Modelo de CR'!L33/'Entradas de Cálculos'!$D$25*'Entradas de Cálculos'!$D$22*'Modelo de Tecnologia'!L16</f>
        <v>0</v>
      </c>
      <c r="M19" s="162">
        <f>'Modelo de CR'!M31*'Entradas de Cálculos'!$D$92*'Modelo de CR'!M32*'Modelo de CR'!M33/'Entradas de Cálculos'!$D$25*'Entradas de Cálculos'!$D$22*'Modelo de Tecnologia'!M16</f>
        <v>0</v>
      </c>
      <c r="N19" s="162">
        <f>'Modelo de CR'!N31*'Entradas de Cálculos'!$D$92*'Modelo de CR'!N32*'Modelo de CR'!N33/'Entradas de Cálculos'!$D$25*'Entradas de Cálculos'!$D$22*'Modelo de Tecnologia'!N16</f>
        <v>0</v>
      </c>
      <c r="O19" s="162">
        <f>'Modelo de CR'!O31*'Entradas de Cálculos'!$D$92*'Modelo de CR'!O32*'Modelo de CR'!O33/'Entradas de Cálculos'!$D$25*'Entradas de Cálculos'!$D$22*'Modelo de Tecnologia'!O16</f>
        <v>0</v>
      </c>
      <c r="P19" s="162">
        <f>'Modelo de CR'!P31*'Entradas de Cálculos'!$D$92*'Modelo de CR'!P32*'Modelo de CR'!P33/'Entradas de Cálculos'!$D$25*'Entradas de Cálculos'!$D$22*'Modelo de Tecnologia'!P16</f>
        <v>0</v>
      </c>
      <c r="Q19" s="162">
        <f>'Modelo de CR'!Q31*'Entradas de Cálculos'!$D$92*'Modelo de CR'!Q32*'Modelo de CR'!Q33/'Entradas de Cálculos'!$D$25*'Entradas de Cálculos'!$D$22*'Modelo de Tecnologia'!Q16</f>
        <v>0</v>
      </c>
      <c r="R19" s="162">
        <f>'Modelo de CR'!R31*'Entradas de Cálculos'!$D$92*'Modelo de CR'!R32*'Modelo de CR'!R33/'Entradas de Cálculos'!$D$25*'Entradas de Cálculos'!$D$22*'Modelo de Tecnologia'!R16</f>
        <v>0</v>
      </c>
      <c r="S19" s="162">
        <f>'Modelo de CR'!S31*'Entradas de Cálculos'!$D$92*'Modelo de CR'!S32*'Modelo de CR'!S33/'Entradas de Cálculos'!$D$25*'Entradas de Cálculos'!$D$22*'Modelo de Tecnologia'!S16</f>
        <v>0</v>
      </c>
      <c r="T19" s="162">
        <f>'Modelo de CR'!T31*'Entradas de Cálculos'!$D$92*'Modelo de CR'!T32*'Modelo de CR'!T33/'Entradas de Cálculos'!$D$25*'Entradas de Cálculos'!$D$22*'Modelo de Tecnologia'!T16</f>
        <v>0</v>
      </c>
      <c r="U19" s="162">
        <f>'Modelo de CR'!U31*'Entradas de Cálculos'!$D$92*'Modelo de CR'!U32*'Modelo de CR'!U33/'Entradas de Cálculos'!$D$25*'Entradas de Cálculos'!$D$22*'Modelo de Tecnologia'!U16</f>
        <v>0</v>
      </c>
      <c r="V19" s="162">
        <f>'Modelo de CR'!V31*'Entradas de Cálculos'!$D$92*'Modelo de CR'!V32*'Modelo de CR'!V33/'Entradas de Cálculos'!$D$25*'Entradas de Cálculos'!$D$22*'Modelo de Tecnologia'!V16</f>
        <v>0</v>
      </c>
      <c r="W19" s="162">
        <f>'Modelo de CR'!W31*'Entradas de Cálculos'!$D$92*'Modelo de CR'!W32*'Modelo de CR'!W33/'Entradas de Cálculos'!$D$25*'Entradas de Cálculos'!$D$22*'Modelo de Tecnologia'!W16</f>
        <v>0</v>
      </c>
      <c r="X19" s="382"/>
      <c r="Y19" s="382"/>
    </row>
    <row r="20" spans="1:23" s="3" customFormat="1" ht="15" thickBot="1">
      <c r="A20" s="379" t="s">
        <v>199</v>
      </c>
      <c r="B20" s="380"/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380"/>
      <c r="P20" s="380"/>
      <c r="Q20" s="380"/>
      <c r="R20" s="380"/>
      <c r="S20" s="380"/>
      <c r="T20" s="380"/>
      <c r="U20" s="380"/>
      <c r="V20" s="380"/>
      <c r="W20" s="381"/>
    </row>
    <row r="21" spans="1:25" s="3" customFormat="1" ht="14.25">
      <c r="A21" s="34"/>
      <c r="B21" s="40" t="s">
        <v>153</v>
      </c>
      <c r="C21" s="163">
        <f>'Entrada de Dados do Usuário'!C14</f>
        <v>0</v>
      </c>
      <c r="D21" s="163">
        <f>C21*(1+'Entrada de Dados do Usuário'!$C$19)</f>
        <v>0</v>
      </c>
      <c r="E21" s="163">
        <f>D21*(1+'Entrada de Dados do Usuário'!$C$19)</f>
        <v>0</v>
      </c>
      <c r="F21" s="163">
        <f>E21*(1+'Entrada de Dados do Usuário'!$C$19)</f>
        <v>0</v>
      </c>
      <c r="G21" s="163">
        <f>F21*(1+'Entrada de Dados do Usuário'!$C$19)</f>
        <v>0</v>
      </c>
      <c r="H21" s="163">
        <f>G21*(1+'Entrada de Dados do Usuário'!$C$19)</f>
        <v>0</v>
      </c>
      <c r="I21" s="163">
        <f>H21*(1+'Entrada de Dados do Usuário'!$C$19)</f>
        <v>0</v>
      </c>
      <c r="J21" s="163">
        <f>I21*(1+'Entrada de Dados do Usuário'!$C$19)</f>
        <v>0</v>
      </c>
      <c r="K21" s="163">
        <f>J21*(1+'Entrada de Dados do Usuário'!$C$19)</f>
        <v>0</v>
      </c>
      <c r="L21" s="163">
        <f>K21*(1+'Entrada de Dados do Usuário'!$C$19)</f>
        <v>0</v>
      </c>
      <c r="M21" s="163">
        <f>L21*(1+'Entrada de Dados do Usuário'!$C$19)</f>
        <v>0</v>
      </c>
      <c r="N21" s="163">
        <f>M21*(1+'Entrada de Dados do Usuário'!$C$19)</f>
        <v>0</v>
      </c>
      <c r="O21" s="163">
        <f>N21*(1+'Entrada de Dados do Usuário'!$C$19)</f>
        <v>0</v>
      </c>
      <c r="P21" s="163">
        <f>O21*(1+'Entrada de Dados do Usuário'!$C$19)</f>
        <v>0</v>
      </c>
      <c r="Q21" s="163">
        <f>P21*(1+'Entrada de Dados do Usuário'!$C$19)</f>
        <v>0</v>
      </c>
      <c r="R21" s="163">
        <f>Q21*(1+'Entrada de Dados do Usuário'!$C$19)</f>
        <v>0</v>
      </c>
      <c r="S21" s="163">
        <f>R21*(1+'Entrada de Dados do Usuário'!$C$19)</f>
        <v>0</v>
      </c>
      <c r="T21" s="163">
        <f>S21*(1+'Entrada de Dados do Usuário'!$C$19)</f>
        <v>0</v>
      </c>
      <c r="U21" s="163">
        <f>T21*(1+'Entrada de Dados do Usuário'!$C$19)</f>
        <v>0</v>
      </c>
      <c r="V21" s="163">
        <f>U21*(1+'Entrada de Dados do Usuário'!$C$19)</f>
        <v>0</v>
      </c>
      <c r="W21" s="161">
        <f>V21*(1+'Entrada de Dados do Usuário'!$C$19)</f>
        <v>0</v>
      </c>
      <c r="X21" s="382"/>
      <c r="Y21" s="382"/>
    </row>
    <row r="22" spans="1:25" s="3" customFormat="1" ht="14.25">
      <c r="A22" s="9"/>
      <c r="B22" s="40" t="s">
        <v>154</v>
      </c>
      <c r="C22" s="162">
        <f>'Modelo de CR'!C42*'Entradas de Cálculos'!$D$92*'Modelo de CR'!C38*'Entradas de Cálculos'!$D$90*'Entradas de Cálculos'!$D$91</f>
        <v>0</v>
      </c>
      <c r="D22" s="162">
        <f>'Modelo de CR'!D42*'Entradas de Cálculos'!$D$92*'Modelo de CR'!D38*'Entradas de Cálculos'!$D$90*'Entradas de Cálculos'!$D$91</f>
        <v>0</v>
      </c>
      <c r="E22" s="162">
        <f>'Modelo de CR'!E42*'Entradas de Cálculos'!$D$92*'Modelo de CR'!E38*'Entradas de Cálculos'!$D$90*'Entradas de Cálculos'!$D$91</f>
        <v>0</v>
      </c>
      <c r="F22" s="162">
        <f>'Modelo de CR'!F42*'Entradas de Cálculos'!$D$92*'Modelo de CR'!F38*'Entradas de Cálculos'!$D$90*'Entradas de Cálculos'!$D$91</f>
        <v>0</v>
      </c>
      <c r="G22" s="162">
        <f>'Modelo de CR'!G42*'Entradas de Cálculos'!$D$92*'Modelo de CR'!G38*'Entradas de Cálculos'!$D$90*'Entradas de Cálculos'!$D$91</f>
        <v>0</v>
      </c>
      <c r="H22" s="162">
        <f>'Modelo de CR'!H42*'Entradas de Cálculos'!$D$92*'Modelo de CR'!H38*'Entradas de Cálculos'!$D$90*'Entradas de Cálculos'!$D$91</f>
        <v>0</v>
      </c>
      <c r="I22" s="162">
        <f>'Modelo de CR'!I42*'Entradas de Cálculos'!$D$92*'Modelo de CR'!I38*'Entradas de Cálculos'!$D$90*'Entradas de Cálculos'!$D$91</f>
        <v>0</v>
      </c>
      <c r="J22" s="162">
        <f>'Modelo de CR'!J42*'Entradas de Cálculos'!$D$92*'Modelo de CR'!J38*'Entradas de Cálculos'!$D$90*'Entradas de Cálculos'!$D$91</f>
        <v>0</v>
      </c>
      <c r="K22" s="162">
        <f>'Modelo de CR'!K42*'Entradas de Cálculos'!$D$92*'Modelo de CR'!K38*'Entradas de Cálculos'!$D$90*'Entradas de Cálculos'!$D$91</f>
        <v>0</v>
      </c>
      <c r="L22" s="162">
        <f>'Modelo de CR'!L42*'Entradas de Cálculos'!$D$92*'Modelo de CR'!L38*'Entradas de Cálculos'!$D$90*'Entradas de Cálculos'!$D$91</f>
        <v>0</v>
      </c>
      <c r="M22" s="162">
        <f>'Modelo de CR'!M42*'Entradas de Cálculos'!$D$92*'Modelo de CR'!M38*'Entradas de Cálculos'!$D$90*'Entradas de Cálculos'!$D$91</f>
        <v>0</v>
      </c>
      <c r="N22" s="162">
        <f>'Modelo de CR'!N42*'Entradas de Cálculos'!$D$92*'Modelo de CR'!N38*'Entradas de Cálculos'!$D$90*'Entradas de Cálculos'!$D$91</f>
        <v>0</v>
      </c>
      <c r="O22" s="162">
        <f>'Modelo de CR'!O42*'Entradas de Cálculos'!$D$92*'Modelo de CR'!O38*'Entradas de Cálculos'!$D$90*'Entradas de Cálculos'!$D$91</f>
        <v>0</v>
      </c>
      <c r="P22" s="162">
        <f>'Modelo de CR'!P42*'Entradas de Cálculos'!$D$92*'Modelo de CR'!P38*'Entradas de Cálculos'!$D$90*'Entradas de Cálculos'!$D$91</f>
        <v>0</v>
      </c>
      <c r="Q22" s="162">
        <f>'Modelo de CR'!Q42*'Entradas de Cálculos'!$D$92*'Modelo de CR'!Q38*'Entradas de Cálculos'!$D$90*'Entradas de Cálculos'!$D$91</f>
        <v>0</v>
      </c>
      <c r="R22" s="162">
        <f>'Modelo de CR'!R42*'Entradas de Cálculos'!$D$92*'Modelo de CR'!R38*'Entradas de Cálculos'!$D$90*'Entradas de Cálculos'!$D$91</f>
        <v>0</v>
      </c>
      <c r="S22" s="162">
        <f>'Modelo de CR'!S42*'Entradas de Cálculos'!$D$92*'Modelo de CR'!S38*'Entradas de Cálculos'!$D$90*'Entradas de Cálculos'!$D$91</f>
        <v>0</v>
      </c>
      <c r="T22" s="162">
        <f>'Modelo de CR'!T42*'Entradas de Cálculos'!$D$92*'Modelo de CR'!T38*'Entradas de Cálculos'!$D$90*'Entradas de Cálculos'!$D$91</f>
        <v>0</v>
      </c>
      <c r="U22" s="162">
        <f>'Modelo de CR'!U42*'Entradas de Cálculos'!$D$92*'Modelo de CR'!U38*'Entradas de Cálculos'!$D$90*'Entradas de Cálculos'!$D$91</f>
        <v>0</v>
      </c>
      <c r="V22" s="162">
        <f>'Modelo de CR'!V42*'Entradas de Cálculos'!$D$92*'Modelo de CR'!V38*'Entradas de Cálculos'!$D$90*'Entradas de Cálculos'!$D$91</f>
        <v>0</v>
      </c>
      <c r="W22" s="162">
        <f>'Modelo de CR'!W42*'Entradas de Cálculos'!$D$92*'Modelo de CR'!W38*'Entradas de Cálculos'!$D$90*'Entradas de Cálculos'!$D$91</f>
        <v>0</v>
      </c>
      <c r="X22" s="382"/>
      <c r="Y22" s="382"/>
    </row>
    <row r="23" spans="1:25" s="3" customFormat="1" ht="14.25">
      <c r="A23" s="9"/>
      <c r="B23" s="40" t="s">
        <v>155</v>
      </c>
      <c r="C23" s="162">
        <f>C22*'Entrada de Dados do Usuário'!$C$43</f>
        <v>0</v>
      </c>
      <c r="D23" s="162">
        <f>D22*'Entrada de Dados do Usuário'!$C$43</f>
        <v>0</v>
      </c>
      <c r="E23" s="162">
        <f>E22*'Entrada de Dados do Usuário'!$C$43</f>
        <v>0</v>
      </c>
      <c r="F23" s="162">
        <f>F22*'Entrada de Dados do Usuário'!$C$43</f>
        <v>0</v>
      </c>
      <c r="G23" s="162">
        <f>G22*'Entrada de Dados do Usuário'!$C$43</f>
        <v>0</v>
      </c>
      <c r="H23" s="162">
        <f>H22*'Entrada de Dados do Usuário'!$C$43</f>
        <v>0</v>
      </c>
      <c r="I23" s="162">
        <f>I22*'Entrada de Dados do Usuário'!$C$43</f>
        <v>0</v>
      </c>
      <c r="J23" s="162">
        <f>J22*'Entrada de Dados do Usuário'!$C$43</f>
        <v>0</v>
      </c>
      <c r="K23" s="162">
        <f>K22*'Entrada de Dados do Usuário'!$C$43</f>
        <v>0</v>
      </c>
      <c r="L23" s="162">
        <f>L22*'Entrada de Dados do Usuário'!$C$43</f>
        <v>0</v>
      </c>
      <c r="M23" s="162">
        <f>M22*'Entrada de Dados do Usuário'!$C$43</f>
        <v>0</v>
      </c>
      <c r="N23" s="162">
        <f>N22*'Entrada de Dados do Usuário'!$C$43</f>
        <v>0</v>
      </c>
      <c r="O23" s="162">
        <f>O22*'Entrada de Dados do Usuário'!$C$43</f>
        <v>0</v>
      </c>
      <c r="P23" s="162">
        <f>P22*'Entrada de Dados do Usuário'!$C$43</f>
        <v>0</v>
      </c>
      <c r="Q23" s="162">
        <f>Q22*'Entrada de Dados do Usuário'!$C$43</f>
        <v>0</v>
      </c>
      <c r="R23" s="162">
        <f>R22*'Entrada de Dados do Usuário'!$C$43</f>
        <v>0</v>
      </c>
      <c r="S23" s="162">
        <f>S22*'Entrada de Dados do Usuário'!$C$43</f>
        <v>0</v>
      </c>
      <c r="T23" s="162">
        <f>T22*'Entrada de Dados do Usuário'!$C$43</f>
        <v>0</v>
      </c>
      <c r="U23" s="162">
        <f>U22*'Entrada de Dados do Usuário'!$C$43</f>
        <v>0</v>
      </c>
      <c r="V23" s="162">
        <f>V22*'Entrada de Dados do Usuário'!$C$43</f>
        <v>0</v>
      </c>
      <c r="W23" s="162">
        <f>W22*'Entrada de Dados do Usuário'!$C$43</f>
        <v>0</v>
      </c>
      <c r="X23" s="382"/>
      <c r="Y23" s="382"/>
    </row>
    <row r="24" spans="1:25" s="3" customFormat="1" ht="15" thickBot="1">
      <c r="A24" s="9"/>
      <c r="B24" s="40" t="s">
        <v>156</v>
      </c>
      <c r="C24" s="162">
        <f>'Modelo de CR'!C42*'Entradas de Cálculos'!$D$92*'Modelo de CR'!C43*'Modelo de CR'!C44/'Entradas de Cálculos'!$D$25*'Entradas de Cálculos'!$D$22*'Modelo de Tecnologia'!C21</f>
        <v>0</v>
      </c>
      <c r="D24" s="162">
        <f>'Modelo de CR'!D42*'Entradas de Cálculos'!$D$92*'Modelo de CR'!D43*'Modelo de CR'!D44/'Entradas de Cálculos'!$D$25*'Entradas de Cálculos'!$D$22*'Modelo de Tecnologia'!D21</f>
        <v>0</v>
      </c>
      <c r="E24" s="162">
        <f>'Modelo de CR'!E42*'Entradas de Cálculos'!$D$92*'Modelo de CR'!E43*'Modelo de CR'!E44/'Entradas de Cálculos'!$D$25*'Entradas de Cálculos'!$D$22*'Modelo de Tecnologia'!E21</f>
        <v>0</v>
      </c>
      <c r="F24" s="162">
        <f>'Modelo de CR'!F42*'Entradas de Cálculos'!$D$92*'Modelo de CR'!F43*'Modelo de CR'!F44/'Entradas de Cálculos'!$D$25*'Entradas de Cálculos'!$D$22*'Modelo de Tecnologia'!F21</f>
        <v>0</v>
      </c>
      <c r="G24" s="162">
        <f>'Modelo de CR'!G42*'Entradas de Cálculos'!$D$92*'Modelo de CR'!G43*'Modelo de CR'!G44/'Entradas de Cálculos'!$D$25*'Entradas de Cálculos'!$D$22*'Modelo de Tecnologia'!G21</f>
        <v>0</v>
      </c>
      <c r="H24" s="162">
        <f>'Modelo de CR'!H42*'Entradas de Cálculos'!$D$92*'Modelo de CR'!H43*'Modelo de CR'!H44/'Entradas de Cálculos'!$D$25*'Entradas de Cálculos'!$D$22*'Modelo de Tecnologia'!H21</f>
        <v>0</v>
      </c>
      <c r="I24" s="162">
        <f>'Modelo de CR'!I42*'Entradas de Cálculos'!$D$92*'Modelo de CR'!I43*'Modelo de CR'!I44/'Entradas de Cálculos'!$D$25*'Entradas de Cálculos'!$D$22*'Modelo de Tecnologia'!I21</f>
        <v>0</v>
      </c>
      <c r="J24" s="162">
        <f>'Modelo de CR'!J42*'Entradas de Cálculos'!$D$92*'Modelo de CR'!J43*'Modelo de CR'!J44/'Entradas de Cálculos'!$D$25*'Entradas de Cálculos'!$D$22*'Modelo de Tecnologia'!J21</f>
        <v>0</v>
      </c>
      <c r="K24" s="162">
        <f>'Modelo de CR'!K42*'Entradas de Cálculos'!$D$92*'Modelo de CR'!K43*'Modelo de CR'!K44/'Entradas de Cálculos'!$D$25*'Entradas de Cálculos'!$D$22*'Modelo de Tecnologia'!K21</f>
        <v>0</v>
      </c>
      <c r="L24" s="162">
        <f>'Modelo de CR'!L42*'Entradas de Cálculos'!$D$92*'Modelo de CR'!L43*'Modelo de CR'!L44/'Entradas de Cálculos'!$D$25*'Entradas de Cálculos'!$D$22*'Modelo de Tecnologia'!L21</f>
        <v>0</v>
      </c>
      <c r="M24" s="162">
        <f>'Modelo de CR'!M42*'Entradas de Cálculos'!$D$92*'Modelo de CR'!M43*'Modelo de CR'!M44/'Entradas de Cálculos'!$D$25*'Entradas de Cálculos'!$D$22*'Modelo de Tecnologia'!M21</f>
        <v>0</v>
      </c>
      <c r="N24" s="162">
        <f>'Modelo de CR'!N42*'Entradas de Cálculos'!$D$92*'Modelo de CR'!N43*'Modelo de CR'!N44/'Entradas de Cálculos'!$D$25*'Entradas de Cálculos'!$D$22*'Modelo de Tecnologia'!N21</f>
        <v>0</v>
      </c>
      <c r="O24" s="162">
        <f>'Modelo de CR'!O42*'Entradas de Cálculos'!$D$92*'Modelo de CR'!O43*'Modelo de CR'!O44/'Entradas de Cálculos'!$D$25*'Entradas de Cálculos'!$D$22*'Modelo de Tecnologia'!O21</f>
        <v>0</v>
      </c>
      <c r="P24" s="162">
        <f>'Modelo de CR'!P42*'Entradas de Cálculos'!$D$92*'Modelo de CR'!P43*'Modelo de CR'!P44/'Entradas de Cálculos'!$D$25*'Entradas de Cálculos'!$D$22*'Modelo de Tecnologia'!P21</f>
        <v>0</v>
      </c>
      <c r="Q24" s="162">
        <f>'Modelo de CR'!Q42*'Entradas de Cálculos'!$D$92*'Modelo de CR'!Q43*'Modelo de CR'!Q44/'Entradas de Cálculos'!$D$25*'Entradas de Cálculos'!$D$22*'Modelo de Tecnologia'!Q21</f>
        <v>0</v>
      </c>
      <c r="R24" s="162">
        <f>'Modelo de CR'!R42*'Entradas de Cálculos'!$D$92*'Modelo de CR'!R43*'Modelo de CR'!R44/'Entradas de Cálculos'!$D$25*'Entradas de Cálculos'!$D$22*'Modelo de Tecnologia'!R21</f>
        <v>0</v>
      </c>
      <c r="S24" s="162">
        <f>'Modelo de CR'!S42*'Entradas de Cálculos'!$D$92*'Modelo de CR'!S43*'Modelo de CR'!S44/'Entradas de Cálculos'!$D$25*'Entradas de Cálculos'!$D$22*'Modelo de Tecnologia'!S21</f>
        <v>0</v>
      </c>
      <c r="T24" s="162">
        <f>'Modelo de CR'!T42*'Entradas de Cálculos'!$D$92*'Modelo de CR'!T43*'Modelo de CR'!T44/'Entradas de Cálculos'!$D$25*'Entradas de Cálculos'!$D$22*'Modelo de Tecnologia'!T21</f>
        <v>0</v>
      </c>
      <c r="U24" s="162">
        <f>'Modelo de CR'!U42*'Entradas de Cálculos'!$D$92*'Modelo de CR'!U43*'Modelo de CR'!U44/'Entradas de Cálculos'!$D$25*'Entradas de Cálculos'!$D$22*'Modelo de Tecnologia'!U21</f>
        <v>0</v>
      </c>
      <c r="V24" s="162">
        <f>'Modelo de CR'!V42*'Entradas de Cálculos'!$D$92*'Modelo de CR'!V43*'Modelo de CR'!V44/'Entradas de Cálculos'!$D$25*'Entradas de Cálculos'!$D$22*'Modelo de Tecnologia'!V21</f>
        <v>0</v>
      </c>
      <c r="W24" s="162">
        <f>'Modelo de CR'!W42*'Entradas de Cálculos'!$D$92*'Modelo de CR'!W43*'Modelo de CR'!W44/'Entradas de Cálculos'!$D$25*'Entradas de Cálculos'!$D$22*'Modelo de Tecnologia'!W21</f>
        <v>0</v>
      </c>
      <c r="X24" s="382"/>
      <c r="Y24" s="382"/>
    </row>
    <row r="25" spans="1:23" s="3" customFormat="1" ht="21" thickBot="1">
      <c r="A25" s="364" t="s">
        <v>12</v>
      </c>
      <c r="B25" s="365"/>
      <c r="C25" s="365"/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5"/>
      <c r="P25" s="365"/>
      <c r="Q25" s="365"/>
      <c r="R25" s="365"/>
      <c r="S25" s="365"/>
      <c r="T25" s="365"/>
      <c r="U25" s="365"/>
      <c r="V25" s="365"/>
      <c r="W25" s="366"/>
    </row>
    <row r="26" spans="1:23" ht="15" thickBot="1">
      <c r="A26" s="379" t="s">
        <v>13</v>
      </c>
      <c r="B26" s="380"/>
      <c r="C26" s="380"/>
      <c r="D26" s="380"/>
      <c r="E26" s="380"/>
      <c r="F26" s="380"/>
      <c r="G26" s="380"/>
      <c r="H26" s="380"/>
      <c r="I26" s="380"/>
      <c r="J26" s="380"/>
      <c r="K26" s="380"/>
      <c r="L26" s="380"/>
      <c r="M26" s="380"/>
      <c r="N26" s="380"/>
      <c r="O26" s="380"/>
      <c r="P26" s="380"/>
      <c r="Q26" s="380"/>
      <c r="R26" s="380"/>
      <c r="S26" s="380"/>
      <c r="T26" s="380"/>
      <c r="U26" s="380"/>
      <c r="V26" s="380"/>
      <c r="W26" s="381"/>
    </row>
    <row r="27" spans="1:23" ht="14.25">
      <c r="A27" s="44"/>
      <c r="B27" s="40" t="s">
        <v>153</v>
      </c>
      <c r="C27" s="161">
        <f aca="true" t="shared" si="0" ref="C27:W27">C5+C10+C16+C21</f>
        <v>0</v>
      </c>
      <c r="D27" s="161">
        <f t="shared" si="0"/>
        <v>0</v>
      </c>
      <c r="E27" s="161">
        <f t="shared" si="0"/>
        <v>0</v>
      </c>
      <c r="F27" s="161">
        <f t="shared" si="0"/>
        <v>0</v>
      </c>
      <c r="G27" s="161">
        <f t="shared" si="0"/>
        <v>0</v>
      </c>
      <c r="H27" s="161">
        <f t="shared" si="0"/>
        <v>0</v>
      </c>
      <c r="I27" s="161">
        <f t="shared" si="0"/>
        <v>0</v>
      </c>
      <c r="J27" s="161">
        <f t="shared" si="0"/>
        <v>0</v>
      </c>
      <c r="K27" s="161">
        <f t="shared" si="0"/>
        <v>0</v>
      </c>
      <c r="L27" s="161">
        <f t="shared" si="0"/>
        <v>0</v>
      </c>
      <c r="M27" s="161">
        <f t="shared" si="0"/>
        <v>0</v>
      </c>
      <c r="N27" s="161">
        <f t="shared" si="0"/>
        <v>0</v>
      </c>
      <c r="O27" s="161">
        <f t="shared" si="0"/>
        <v>0</v>
      </c>
      <c r="P27" s="161">
        <f t="shared" si="0"/>
        <v>0</v>
      </c>
      <c r="Q27" s="161">
        <f t="shared" si="0"/>
        <v>0</v>
      </c>
      <c r="R27" s="161">
        <f t="shared" si="0"/>
        <v>0</v>
      </c>
      <c r="S27" s="161">
        <f t="shared" si="0"/>
        <v>0</v>
      </c>
      <c r="T27" s="161">
        <f t="shared" si="0"/>
        <v>0</v>
      </c>
      <c r="U27" s="161">
        <f t="shared" si="0"/>
        <v>0</v>
      </c>
      <c r="V27" s="161">
        <f t="shared" si="0"/>
        <v>0</v>
      </c>
      <c r="W27" s="161">
        <f t="shared" si="0"/>
        <v>0</v>
      </c>
    </row>
    <row r="28" spans="1:23" ht="14.25">
      <c r="A28" s="9"/>
      <c r="B28" s="40" t="s">
        <v>154</v>
      </c>
      <c r="C28" s="162">
        <f aca="true" t="shared" si="1" ref="C28:W28">C6+C11+C17+C22</f>
        <v>0</v>
      </c>
      <c r="D28" s="162">
        <f t="shared" si="1"/>
        <v>0</v>
      </c>
      <c r="E28" s="162">
        <f t="shared" si="1"/>
        <v>0</v>
      </c>
      <c r="F28" s="162">
        <f t="shared" si="1"/>
        <v>0</v>
      </c>
      <c r="G28" s="162">
        <f t="shared" si="1"/>
        <v>0</v>
      </c>
      <c r="H28" s="162">
        <f t="shared" si="1"/>
        <v>0</v>
      </c>
      <c r="I28" s="162">
        <f t="shared" si="1"/>
        <v>0</v>
      </c>
      <c r="J28" s="162">
        <f t="shared" si="1"/>
        <v>0</v>
      </c>
      <c r="K28" s="162">
        <f t="shared" si="1"/>
        <v>0</v>
      </c>
      <c r="L28" s="162">
        <f t="shared" si="1"/>
        <v>0</v>
      </c>
      <c r="M28" s="162">
        <f t="shared" si="1"/>
        <v>0</v>
      </c>
      <c r="N28" s="162">
        <f t="shared" si="1"/>
        <v>0</v>
      </c>
      <c r="O28" s="162">
        <f t="shared" si="1"/>
        <v>0</v>
      </c>
      <c r="P28" s="162">
        <f t="shared" si="1"/>
        <v>0</v>
      </c>
      <c r="Q28" s="162">
        <f t="shared" si="1"/>
        <v>0</v>
      </c>
      <c r="R28" s="162">
        <f t="shared" si="1"/>
        <v>0</v>
      </c>
      <c r="S28" s="162">
        <f t="shared" si="1"/>
        <v>0</v>
      </c>
      <c r="T28" s="162">
        <f t="shared" si="1"/>
        <v>0</v>
      </c>
      <c r="U28" s="162">
        <f t="shared" si="1"/>
        <v>0</v>
      </c>
      <c r="V28" s="162">
        <f t="shared" si="1"/>
        <v>0</v>
      </c>
      <c r="W28" s="162">
        <f t="shared" si="1"/>
        <v>0</v>
      </c>
    </row>
    <row r="29" spans="1:23" ht="14.25">
      <c r="A29" s="9"/>
      <c r="B29" s="40" t="s">
        <v>155</v>
      </c>
      <c r="C29" s="162">
        <f aca="true" t="shared" si="2" ref="C29:W29">C7+C12+C18+C23</f>
        <v>0</v>
      </c>
      <c r="D29" s="162">
        <f t="shared" si="2"/>
        <v>0</v>
      </c>
      <c r="E29" s="162">
        <f t="shared" si="2"/>
        <v>0</v>
      </c>
      <c r="F29" s="162">
        <f t="shared" si="2"/>
        <v>0</v>
      </c>
      <c r="G29" s="162">
        <f t="shared" si="2"/>
        <v>0</v>
      </c>
      <c r="H29" s="162">
        <f t="shared" si="2"/>
        <v>0</v>
      </c>
      <c r="I29" s="162">
        <f t="shared" si="2"/>
        <v>0</v>
      </c>
      <c r="J29" s="162">
        <f t="shared" si="2"/>
        <v>0</v>
      </c>
      <c r="K29" s="162">
        <f t="shared" si="2"/>
        <v>0</v>
      </c>
      <c r="L29" s="162">
        <f t="shared" si="2"/>
        <v>0</v>
      </c>
      <c r="M29" s="162">
        <f t="shared" si="2"/>
        <v>0</v>
      </c>
      <c r="N29" s="162">
        <f t="shared" si="2"/>
        <v>0</v>
      </c>
      <c r="O29" s="162">
        <f t="shared" si="2"/>
        <v>0</v>
      </c>
      <c r="P29" s="162">
        <f t="shared" si="2"/>
        <v>0</v>
      </c>
      <c r="Q29" s="162">
        <f t="shared" si="2"/>
        <v>0</v>
      </c>
      <c r="R29" s="162">
        <f t="shared" si="2"/>
        <v>0</v>
      </c>
      <c r="S29" s="162">
        <f t="shared" si="2"/>
        <v>0</v>
      </c>
      <c r="T29" s="162">
        <f t="shared" si="2"/>
        <v>0</v>
      </c>
      <c r="U29" s="162">
        <f t="shared" si="2"/>
        <v>0</v>
      </c>
      <c r="V29" s="162">
        <f t="shared" si="2"/>
        <v>0</v>
      </c>
      <c r="W29" s="162">
        <f t="shared" si="2"/>
        <v>0</v>
      </c>
    </row>
    <row r="30" spans="1:23" ht="14.25">
      <c r="A30" s="9"/>
      <c r="B30" s="40" t="s">
        <v>156</v>
      </c>
      <c r="C30" s="162">
        <f>C8+C13+C19+C24</f>
        <v>0</v>
      </c>
      <c r="D30" s="162">
        <f aca="true" t="shared" si="3" ref="D30:W30">D8+D13+D19+D24</f>
        <v>0</v>
      </c>
      <c r="E30" s="162">
        <f t="shared" si="3"/>
        <v>0</v>
      </c>
      <c r="F30" s="162">
        <f t="shared" si="3"/>
        <v>0</v>
      </c>
      <c r="G30" s="162">
        <f t="shared" si="3"/>
        <v>0</v>
      </c>
      <c r="H30" s="162">
        <f t="shared" si="3"/>
        <v>0</v>
      </c>
      <c r="I30" s="162">
        <f t="shared" si="3"/>
        <v>0</v>
      </c>
      <c r="J30" s="162">
        <f t="shared" si="3"/>
        <v>0</v>
      </c>
      <c r="K30" s="162">
        <f t="shared" si="3"/>
        <v>0</v>
      </c>
      <c r="L30" s="162">
        <f t="shared" si="3"/>
        <v>0</v>
      </c>
      <c r="M30" s="162">
        <f t="shared" si="3"/>
        <v>0</v>
      </c>
      <c r="N30" s="162">
        <f t="shared" si="3"/>
        <v>0</v>
      </c>
      <c r="O30" s="162">
        <f t="shared" si="3"/>
        <v>0</v>
      </c>
      <c r="P30" s="162">
        <f t="shared" si="3"/>
        <v>0</v>
      </c>
      <c r="Q30" s="162">
        <f t="shared" si="3"/>
        <v>0</v>
      </c>
      <c r="R30" s="162">
        <f t="shared" si="3"/>
        <v>0</v>
      </c>
      <c r="S30" s="162">
        <f t="shared" si="3"/>
        <v>0</v>
      </c>
      <c r="T30" s="162">
        <f t="shared" si="3"/>
        <v>0</v>
      </c>
      <c r="U30" s="162">
        <f t="shared" si="3"/>
        <v>0</v>
      </c>
      <c r="V30" s="162">
        <f t="shared" si="3"/>
        <v>0</v>
      </c>
      <c r="W30" s="162">
        <f t="shared" si="3"/>
        <v>0</v>
      </c>
    </row>
    <row r="31" spans="1:23" ht="15" thickBot="1">
      <c r="A31" s="9"/>
      <c r="B31" s="4" t="s">
        <v>157</v>
      </c>
      <c r="C31" s="162">
        <f>C30*'Entradas de Cálculos'!$D$25</f>
        <v>0</v>
      </c>
      <c r="D31" s="162">
        <f>D30*'Entradas de Cálculos'!$D$25</f>
        <v>0</v>
      </c>
      <c r="E31" s="162">
        <f>E30*'Entradas de Cálculos'!$D$25</f>
        <v>0</v>
      </c>
      <c r="F31" s="162">
        <f>F30*'Entradas de Cálculos'!$D$25</f>
        <v>0</v>
      </c>
      <c r="G31" s="162">
        <f>G30*'Entradas de Cálculos'!$D$25</f>
        <v>0</v>
      </c>
      <c r="H31" s="162">
        <f>H30*'Entradas de Cálculos'!$D$25</f>
        <v>0</v>
      </c>
      <c r="I31" s="162">
        <f>I30*'Entradas de Cálculos'!$D$25</f>
        <v>0</v>
      </c>
      <c r="J31" s="162">
        <f>J30*'Entradas de Cálculos'!$D$25</f>
        <v>0</v>
      </c>
      <c r="K31" s="162">
        <f>K30*'Entradas de Cálculos'!$D$25</f>
        <v>0</v>
      </c>
      <c r="L31" s="162">
        <f>L30*'Entradas de Cálculos'!$D$25</f>
        <v>0</v>
      </c>
      <c r="M31" s="162">
        <f>M30*'Entradas de Cálculos'!$D$25</f>
        <v>0</v>
      </c>
      <c r="N31" s="162">
        <f>N30*'Entradas de Cálculos'!$D$25</f>
        <v>0</v>
      </c>
      <c r="O31" s="162">
        <f>O30*'Entradas de Cálculos'!$D$25</f>
        <v>0</v>
      </c>
      <c r="P31" s="162">
        <f>P30*'Entradas de Cálculos'!$D$25</f>
        <v>0</v>
      </c>
      <c r="Q31" s="162">
        <f>Q30*'Entradas de Cálculos'!$D$25</f>
        <v>0</v>
      </c>
      <c r="R31" s="162">
        <f>R30*'Entradas de Cálculos'!$D$25</f>
        <v>0</v>
      </c>
      <c r="S31" s="162">
        <f>S30*'Entradas de Cálculos'!$D$25</f>
        <v>0</v>
      </c>
      <c r="T31" s="162">
        <f>T30*'Entradas de Cálculos'!$D$25</f>
        <v>0</v>
      </c>
      <c r="U31" s="162">
        <f>U30*'Entradas de Cálculos'!$D$25</f>
        <v>0</v>
      </c>
      <c r="V31" s="162">
        <f>V30*'Entradas de Cálculos'!$D$25</f>
        <v>0</v>
      </c>
      <c r="W31" s="162">
        <f>W30*'Entradas de Cálculos'!$D$25</f>
        <v>0</v>
      </c>
    </row>
    <row r="32" spans="1:23" ht="21" thickBot="1">
      <c r="A32" s="364" t="s">
        <v>14</v>
      </c>
      <c r="B32" s="365"/>
      <c r="C32" s="365"/>
      <c r="D32" s="365"/>
      <c r="E32" s="365"/>
      <c r="F32" s="365"/>
      <c r="G32" s="365"/>
      <c r="H32" s="365"/>
      <c r="I32" s="365"/>
      <c r="J32" s="365"/>
      <c r="K32" s="365"/>
      <c r="L32" s="365"/>
      <c r="M32" s="365"/>
      <c r="N32" s="365"/>
      <c r="O32" s="365"/>
      <c r="P32" s="365"/>
      <c r="Q32" s="365"/>
      <c r="R32" s="365"/>
      <c r="S32" s="365"/>
      <c r="T32" s="365"/>
      <c r="U32" s="365"/>
      <c r="V32" s="365"/>
      <c r="W32" s="366"/>
    </row>
    <row r="33" spans="1:23" ht="14.25">
      <c r="A33" s="34"/>
      <c r="B33" s="4" t="s">
        <v>200</v>
      </c>
      <c r="C33" s="163">
        <f>C30</f>
        <v>0</v>
      </c>
      <c r="D33" s="163">
        <f aca="true" t="shared" si="4" ref="D33:W33">D30</f>
        <v>0</v>
      </c>
      <c r="E33" s="163">
        <f t="shared" si="4"/>
        <v>0</v>
      </c>
      <c r="F33" s="163">
        <f t="shared" si="4"/>
        <v>0</v>
      </c>
      <c r="G33" s="163">
        <f t="shared" si="4"/>
        <v>0</v>
      </c>
      <c r="H33" s="163">
        <f t="shared" si="4"/>
        <v>0</v>
      </c>
      <c r="I33" s="163">
        <f t="shared" si="4"/>
        <v>0</v>
      </c>
      <c r="J33" s="163">
        <f t="shared" si="4"/>
        <v>0</v>
      </c>
      <c r="K33" s="163">
        <f t="shared" si="4"/>
        <v>0</v>
      </c>
      <c r="L33" s="163">
        <f t="shared" si="4"/>
        <v>0</v>
      </c>
      <c r="M33" s="163">
        <f t="shared" si="4"/>
        <v>0</v>
      </c>
      <c r="N33" s="163">
        <f t="shared" si="4"/>
        <v>0</v>
      </c>
      <c r="O33" s="163">
        <f t="shared" si="4"/>
        <v>0</v>
      </c>
      <c r="P33" s="163">
        <f t="shared" si="4"/>
        <v>0</v>
      </c>
      <c r="Q33" s="163">
        <f t="shared" si="4"/>
        <v>0</v>
      </c>
      <c r="R33" s="163">
        <f t="shared" si="4"/>
        <v>0</v>
      </c>
      <c r="S33" s="163">
        <f t="shared" si="4"/>
        <v>0</v>
      </c>
      <c r="T33" s="163">
        <f t="shared" si="4"/>
        <v>0</v>
      </c>
      <c r="U33" s="163">
        <f t="shared" si="4"/>
        <v>0</v>
      </c>
      <c r="V33" s="163">
        <f t="shared" si="4"/>
        <v>0</v>
      </c>
      <c r="W33" s="163">
        <f t="shared" si="4"/>
        <v>0</v>
      </c>
    </row>
    <row r="34" spans="1:23" ht="14.25">
      <c r="A34" s="34"/>
      <c r="B34" s="4" t="s">
        <v>201</v>
      </c>
      <c r="C34" s="164">
        <f>IF('Entrada de Dados do Usuário'!$C$53="SIM",SUM('Entrada de Dados do Usuário'!C55:C66),0)</f>
        <v>0</v>
      </c>
      <c r="D34" s="164">
        <f>IF('Entrada de Dados do Usuário'!$C$53="SIM",C34*(1+AVERAGE('Entrada de Dados do Usuário'!$C$16:$C$19)),0)</f>
        <v>0</v>
      </c>
      <c r="E34" s="164">
        <f>IF('Entrada de Dados do Usuário'!$C$53="SIM",D34*(1+AVERAGE('Entrada de Dados do Usuário'!$C$16:$C$19)),0)</f>
        <v>0</v>
      </c>
      <c r="F34" s="164">
        <f>IF('Entrada de Dados do Usuário'!$C$53="SIM",E34*(1+AVERAGE('Entrada de Dados do Usuário'!$C$16:$C$19)),0)</f>
        <v>0</v>
      </c>
      <c r="G34" s="164">
        <f>IF('Entrada de Dados do Usuário'!$C$53="SIM",F34*(1+AVERAGE('Entrada de Dados do Usuário'!$C$16:$C$19)),0)</f>
        <v>0</v>
      </c>
      <c r="H34" s="164">
        <f>IF('Entrada de Dados do Usuário'!$C$53="SIM",G34*(1+AVERAGE('Entrada de Dados do Usuário'!$C$16:$C$19)),0)</f>
        <v>0</v>
      </c>
      <c r="I34" s="164">
        <f>IF('Entrada de Dados do Usuário'!$C$53="SIM",H34*(1+AVERAGE('Entrada de Dados do Usuário'!$C$16:$C$19)),0)</f>
        <v>0</v>
      </c>
      <c r="J34" s="164">
        <f>IF('Entrada de Dados do Usuário'!$C$53="SIM",I34*(1+AVERAGE('Entrada de Dados do Usuário'!$C$16:$C$19)),0)</f>
        <v>0</v>
      </c>
      <c r="K34" s="164">
        <f>IF('Entrada de Dados do Usuário'!$C$53="SIM",J34*(1+AVERAGE('Entrada de Dados do Usuário'!$C$16:$C$19)),0)</f>
        <v>0</v>
      </c>
      <c r="L34" s="164">
        <f>IF('Entrada de Dados do Usuário'!$C$53="SIM",K34*(1+AVERAGE('Entrada de Dados do Usuário'!$C$16:$C$19)),0)</f>
        <v>0</v>
      </c>
      <c r="M34" s="164">
        <f>IF('Entrada de Dados do Usuário'!$C$53="SIM",L34*(1+AVERAGE('Entrada de Dados do Usuário'!$C$16:$C$19)),0)</f>
        <v>0</v>
      </c>
      <c r="N34" s="164">
        <f>IF('Entrada de Dados do Usuário'!$C$53="SIM",M34*(1+AVERAGE('Entrada de Dados do Usuário'!$C$16:$C$19)),0)</f>
        <v>0</v>
      </c>
      <c r="O34" s="164">
        <f>IF('Entrada de Dados do Usuário'!$C$53="SIM",N34*(1+AVERAGE('Entrada de Dados do Usuário'!$C$16:$C$19)),0)</f>
        <v>0</v>
      </c>
      <c r="P34" s="164">
        <f>IF('Entrada de Dados do Usuário'!$C$53="SIM",O34*(1+AVERAGE('Entrada de Dados do Usuário'!$C$16:$C$19)),0)</f>
        <v>0</v>
      </c>
      <c r="Q34" s="164">
        <f>IF('Entrada de Dados do Usuário'!$C$53="SIM",P34*(1+AVERAGE('Entrada de Dados do Usuário'!$C$16:$C$19)),0)</f>
        <v>0</v>
      </c>
      <c r="R34" s="164">
        <f>IF('Entrada de Dados do Usuário'!$C$53="SIM",Q34*(1+AVERAGE('Entrada de Dados do Usuário'!$C$16:$C$19)),0)</f>
        <v>0</v>
      </c>
      <c r="S34" s="164">
        <f>IF('Entrada de Dados do Usuário'!$C$53="SIM",R34*(1+AVERAGE('Entrada de Dados do Usuário'!$C$16:$C$19)),0)</f>
        <v>0</v>
      </c>
      <c r="T34" s="164">
        <f>IF('Entrada de Dados do Usuário'!$C$53="SIM",S34*(1+AVERAGE('Entrada de Dados do Usuário'!$C$16:$C$19)),0)</f>
        <v>0</v>
      </c>
      <c r="U34" s="164">
        <f>IF('Entrada de Dados do Usuário'!$C$53="SIM",T34*(1+AVERAGE('Entrada de Dados do Usuário'!$C$16:$C$19)),0)</f>
        <v>0</v>
      </c>
      <c r="V34" s="164">
        <f>IF('Entrada de Dados do Usuário'!$C$53="SIM",U34*(1+AVERAGE('Entrada de Dados do Usuário'!$C$16:$C$19)),0)</f>
        <v>0</v>
      </c>
      <c r="W34" s="164">
        <f>IF('Entrada de Dados do Usuário'!$C$53="SIM",V34*(1+AVERAGE('Entrada de Dados do Usuário'!$C$16:$C$19)),0)</f>
        <v>0</v>
      </c>
    </row>
    <row r="35" spans="1:23" s="3" customFormat="1" ht="14.25">
      <c r="A35" s="34"/>
      <c r="B35" s="4" t="s">
        <v>202</v>
      </c>
      <c r="C35" s="163">
        <f>IF(C34&lt;=(C31*'Entradas de Cálculos'!$D$19/'Entradas de Cálculos'!$D$26*'Entradas de Cálculos'!$D$21),0,C34-(C31*'Entradas de Cálculos'!$D$19/'Entradas de Cálculos'!$D$26*'Entradas de Cálculos'!$D$21))</f>
        <v>0</v>
      </c>
      <c r="D35" s="163">
        <f>IF(D34&lt;=(D31*'Entradas de Cálculos'!$D$19/'Entradas de Cálculos'!$D$26*'Entradas de Cálculos'!$D$21),0,D34-(D31*'Entradas de Cálculos'!$D$19/'Entradas de Cálculos'!$D$26*'Entradas de Cálculos'!$D$21))</f>
        <v>0</v>
      </c>
      <c r="E35" s="163">
        <f>IF(E34&lt;=(E31*'Entradas de Cálculos'!$D$19/'Entradas de Cálculos'!$D$26*'Entradas de Cálculos'!$D$21),0,E34-(E31*'Entradas de Cálculos'!$D$19/'Entradas de Cálculos'!$D$26*'Entradas de Cálculos'!$D$21))</f>
        <v>0</v>
      </c>
      <c r="F35" s="163">
        <f>IF(F34&lt;=(F31*'Entradas de Cálculos'!$D$19/'Entradas de Cálculos'!$D$26*'Entradas de Cálculos'!$D$21),0,F34-(F31*'Entradas de Cálculos'!$D$19/'Entradas de Cálculos'!$D$26*'Entradas de Cálculos'!$D$21))</f>
        <v>0</v>
      </c>
      <c r="G35" s="163">
        <f>IF(G34&lt;=(G31*'Entradas de Cálculos'!$D$19/'Entradas de Cálculos'!$D$26*'Entradas de Cálculos'!$D$21),0,G34-(G31*'Entradas de Cálculos'!$D$19/'Entradas de Cálculos'!$D$26*'Entradas de Cálculos'!$D$21))</f>
        <v>0</v>
      </c>
      <c r="H35" s="163">
        <f>IF(H34&lt;=(H31*'Entradas de Cálculos'!$D$19/'Entradas de Cálculos'!$D$26*'Entradas de Cálculos'!$D$21),0,H34-(H31*'Entradas de Cálculos'!$D$19/'Entradas de Cálculos'!$D$26*'Entradas de Cálculos'!$D$21))</f>
        <v>0</v>
      </c>
      <c r="I35" s="163">
        <f>IF(I34&lt;=(I31*'Entradas de Cálculos'!$D$19/'Entradas de Cálculos'!$D$26*'Entradas de Cálculos'!$D$21),0,I34-(I31*'Entradas de Cálculos'!$D$19/'Entradas de Cálculos'!$D$26*'Entradas de Cálculos'!$D$21))</f>
        <v>0</v>
      </c>
      <c r="J35" s="163">
        <f>IF(J34&lt;=(J31*'Entradas de Cálculos'!$D$19/'Entradas de Cálculos'!$D$26*'Entradas de Cálculos'!$D$21),0,J34-(J31*'Entradas de Cálculos'!$D$19/'Entradas de Cálculos'!$D$26*'Entradas de Cálculos'!$D$21))</f>
        <v>0</v>
      </c>
      <c r="K35" s="163">
        <f>IF(K34&lt;=(K31*'Entradas de Cálculos'!$D$19/'Entradas de Cálculos'!$D$26*'Entradas de Cálculos'!$D$21),0,K34-(K31*'Entradas de Cálculos'!$D$19/'Entradas de Cálculos'!$D$26*'Entradas de Cálculos'!$D$21))</f>
        <v>0</v>
      </c>
      <c r="L35" s="163">
        <f>IF(L34&lt;=(L31*'Entradas de Cálculos'!$D$19/'Entradas de Cálculos'!$D$26*'Entradas de Cálculos'!$D$21),0,L34-(L31*'Entradas de Cálculos'!$D$19/'Entradas de Cálculos'!$D$26*'Entradas de Cálculos'!$D$21))</f>
        <v>0</v>
      </c>
      <c r="M35" s="163">
        <f>IF(M34&lt;=(M31*'Entradas de Cálculos'!$D$19/'Entradas de Cálculos'!$D$26*'Entradas de Cálculos'!$D$21),0,M34-(M31*'Entradas de Cálculos'!$D$19/'Entradas de Cálculos'!$D$26*'Entradas de Cálculos'!$D$21))</f>
        <v>0</v>
      </c>
      <c r="N35" s="163">
        <f>IF(N34&lt;=(N31*'Entradas de Cálculos'!$D$19/'Entradas de Cálculos'!$D$26*'Entradas de Cálculos'!$D$21),0,N34-(N31*'Entradas de Cálculos'!$D$19/'Entradas de Cálculos'!$D$26*'Entradas de Cálculos'!$D$21))</f>
        <v>0</v>
      </c>
      <c r="O35" s="163">
        <f>IF(O34&lt;=(O31*'Entradas de Cálculos'!$D$19/'Entradas de Cálculos'!$D$26*'Entradas de Cálculos'!$D$21),0,O34-(O31*'Entradas de Cálculos'!$D$19/'Entradas de Cálculos'!$D$26*'Entradas de Cálculos'!$D$21))</f>
        <v>0</v>
      </c>
      <c r="P35" s="163">
        <f>IF(P34&lt;=(P31*'Entradas de Cálculos'!$D$19/'Entradas de Cálculos'!$D$26*'Entradas de Cálculos'!$D$21),0,P34-(P31*'Entradas de Cálculos'!$D$19/'Entradas de Cálculos'!$D$26*'Entradas de Cálculos'!$D$21))</f>
        <v>0</v>
      </c>
      <c r="Q35" s="163">
        <f>IF(Q34&lt;=(Q31*'Entradas de Cálculos'!$D$19/'Entradas de Cálculos'!$D$26*'Entradas de Cálculos'!$D$21),0,Q34-(Q31*'Entradas de Cálculos'!$D$19/'Entradas de Cálculos'!$D$26*'Entradas de Cálculos'!$D$21))</f>
        <v>0</v>
      </c>
      <c r="R35" s="163">
        <f>IF(R34&lt;=(R31*'Entradas de Cálculos'!$D$19/'Entradas de Cálculos'!$D$26*'Entradas de Cálculos'!$D$21),0,R34-(R31*'Entradas de Cálculos'!$D$19/'Entradas de Cálculos'!$D$26*'Entradas de Cálculos'!$D$21))</f>
        <v>0</v>
      </c>
      <c r="S35" s="163">
        <f>IF(S34&lt;=(S31*'Entradas de Cálculos'!$D$19/'Entradas de Cálculos'!$D$26*'Entradas de Cálculos'!$D$21),0,S34-(S31*'Entradas de Cálculos'!$D$19/'Entradas de Cálculos'!$D$26*'Entradas de Cálculos'!$D$21))</f>
        <v>0</v>
      </c>
      <c r="T35" s="163">
        <f>IF(T34&lt;=(T31*'Entradas de Cálculos'!$D$19/'Entradas de Cálculos'!$D$26*'Entradas de Cálculos'!$D$21),0,T34-(T31*'Entradas de Cálculos'!$D$19/'Entradas de Cálculos'!$D$26*'Entradas de Cálculos'!$D$21))</f>
        <v>0</v>
      </c>
      <c r="U35" s="163">
        <f>IF(U34&lt;=(U31*'Entradas de Cálculos'!$D$19/'Entradas de Cálculos'!$D$26*'Entradas de Cálculos'!$D$21),0,U34-(U31*'Entradas de Cálculos'!$D$19/'Entradas de Cálculos'!$D$26*'Entradas de Cálculos'!$D$21))</f>
        <v>0</v>
      </c>
      <c r="V35" s="163">
        <f>IF(V34&lt;=(V31*'Entradas de Cálculos'!$D$19/'Entradas de Cálculos'!$D$26*'Entradas de Cálculos'!$D$21),0,V34-(V31*'Entradas de Cálculos'!$D$19/'Entradas de Cálculos'!$D$26*'Entradas de Cálculos'!$D$21))</f>
        <v>0</v>
      </c>
      <c r="W35" s="163">
        <f>IF(W34&lt;=(W31*'Entradas de Cálculos'!$D$19/'Entradas de Cálculos'!$D$26*'Entradas de Cálculos'!$D$21),0,W34-(W31*'Entradas de Cálculos'!$D$19/'Entradas de Cálculos'!$D$26*'Entradas de Cálculos'!$D$21))</f>
        <v>0</v>
      </c>
    </row>
    <row r="36" spans="1:23" ht="14.25">
      <c r="A36" s="34"/>
      <c r="B36" s="4" t="s">
        <v>203</v>
      </c>
      <c r="C36" s="163">
        <f>IF(('Modelo de Tecnologia'!C34*'Entradas de Cálculos'!$D$26/'Entradas de Cálculos'!$D$19/'Entradas de Cálculos'!$D$21)&lt;'Modelo de Tecnologia'!C31,'Modelo de Tecnologia'!C33-('Modelo de Tecnologia'!C34*'Entradas de Cálculos'!$D$26/'Entradas de Cálculos'!$D$19/'Entradas de Cálculos'!$D$21/'Entradas de Cálculos'!$D$25),0)</f>
        <v>0</v>
      </c>
      <c r="D36" s="163">
        <f>IF(('Modelo de Tecnologia'!D34*'Entradas de Cálculos'!$D$26/'Entradas de Cálculos'!$D$19/'Entradas de Cálculos'!$D$21)&lt;'Modelo de Tecnologia'!D31,'Modelo de Tecnologia'!D33-('Modelo de Tecnologia'!D34*'Entradas de Cálculos'!$D$26/'Entradas de Cálculos'!$D$19/'Entradas de Cálculos'!$D$21/'Entradas de Cálculos'!$D$25),0)</f>
        <v>0</v>
      </c>
      <c r="E36" s="163">
        <f>IF(('Modelo de Tecnologia'!E34*'Entradas de Cálculos'!$D$26/'Entradas de Cálculos'!$D$19/'Entradas de Cálculos'!$D$21)&lt;'Modelo de Tecnologia'!E31,'Modelo de Tecnologia'!E33-('Modelo de Tecnologia'!E34*'Entradas de Cálculos'!$D$26/'Entradas de Cálculos'!$D$19/'Entradas de Cálculos'!$D$21/'Entradas de Cálculos'!$D$25),0)</f>
        <v>0</v>
      </c>
      <c r="F36" s="163">
        <f>IF(('Modelo de Tecnologia'!F34*'Entradas de Cálculos'!$D$26/'Entradas de Cálculos'!$D$19/'Entradas de Cálculos'!$D$21)&lt;'Modelo de Tecnologia'!F31,'Modelo de Tecnologia'!F33-('Modelo de Tecnologia'!F34*'Entradas de Cálculos'!$D$26/'Entradas de Cálculos'!$D$19/'Entradas de Cálculos'!$D$21/'Entradas de Cálculos'!$D$25),0)</f>
        <v>0</v>
      </c>
      <c r="G36" s="163">
        <f>IF(('Modelo de Tecnologia'!G34*'Entradas de Cálculos'!$D$26/'Entradas de Cálculos'!$D$19/'Entradas de Cálculos'!$D$21)&lt;'Modelo de Tecnologia'!G31,'Modelo de Tecnologia'!G33-('Modelo de Tecnologia'!G34*'Entradas de Cálculos'!$D$26/'Entradas de Cálculos'!$D$19/'Entradas de Cálculos'!$D$21/'Entradas de Cálculos'!$D$25),0)</f>
        <v>0</v>
      </c>
      <c r="H36" s="163">
        <f>IF(('Modelo de Tecnologia'!H34*'Entradas de Cálculos'!$D$26/'Entradas de Cálculos'!$D$19/'Entradas de Cálculos'!$D$21)&lt;'Modelo de Tecnologia'!H31,'Modelo de Tecnologia'!H33-('Modelo de Tecnologia'!H34*'Entradas de Cálculos'!$D$26/'Entradas de Cálculos'!$D$19/'Entradas de Cálculos'!$D$21/'Entradas de Cálculos'!$D$25),0)</f>
        <v>0</v>
      </c>
      <c r="I36" s="163">
        <f>IF(('Modelo de Tecnologia'!I34*'Entradas de Cálculos'!$D$26/'Entradas de Cálculos'!$D$19/'Entradas de Cálculos'!$D$21)&lt;'Modelo de Tecnologia'!I31,'Modelo de Tecnologia'!I33-('Modelo de Tecnologia'!I34*'Entradas de Cálculos'!$D$26/'Entradas de Cálculos'!$D$19/'Entradas de Cálculos'!$D$21/'Entradas de Cálculos'!$D$25),0)</f>
        <v>0</v>
      </c>
      <c r="J36" s="163">
        <f>IF(('Modelo de Tecnologia'!J34*'Entradas de Cálculos'!$D$26/'Entradas de Cálculos'!$D$19/'Entradas de Cálculos'!$D$21)&lt;'Modelo de Tecnologia'!J31,'Modelo de Tecnologia'!J33-('Modelo de Tecnologia'!J34*'Entradas de Cálculos'!$D$26/'Entradas de Cálculos'!$D$19/'Entradas de Cálculos'!$D$21/'Entradas de Cálculos'!$D$25),0)</f>
        <v>0</v>
      </c>
      <c r="K36" s="163">
        <f>IF(('Modelo de Tecnologia'!K34*'Entradas de Cálculos'!$D$26/'Entradas de Cálculos'!$D$19/'Entradas de Cálculos'!$D$21)&lt;'Modelo de Tecnologia'!K31,'Modelo de Tecnologia'!K33-('Modelo de Tecnologia'!K34*'Entradas de Cálculos'!$D$26/'Entradas de Cálculos'!$D$19/'Entradas de Cálculos'!$D$21/'Entradas de Cálculos'!$D$25),0)</f>
        <v>0</v>
      </c>
      <c r="L36" s="163">
        <f>IF(('Modelo de Tecnologia'!L34*'Entradas de Cálculos'!$D$26/'Entradas de Cálculos'!$D$19/'Entradas de Cálculos'!$D$21)&lt;'Modelo de Tecnologia'!L31,'Modelo de Tecnologia'!L33-('Modelo de Tecnologia'!L34*'Entradas de Cálculos'!$D$26/'Entradas de Cálculos'!$D$19/'Entradas de Cálculos'!$D$21/'Entradas de Cálculos'!$D$25),0)</f>
        <v>0</v>
      </c>
      <c r="M36" s="163">
        <f>IF(('Modelo de Tecnologia'!M34*'Entradas de Cálculos'!$D$26/'Entradas de Cálculos'!$D$19/'Entradas de Cálculos'!$D$21)&lt;'Modelo de Tecnologia'!M31,'Modelo de Tecnologia'!M33-('Modelo de Tecnologia'!M34*'Entradas de Cálculos'!$D$26/'Entradas de Cálculos'!$D$19/'Entradas de Cálculos'!$D$21/'Entradas de Cálculos'!$D$25),0)</f>
        <v>0</v>
      </c>
      <c r="N36" s="163">
        <f>IF(('Modelo de Tecnologia'!N34*'Entradas de Cálculos'!$D$26/'Entradas de Cálculos'!$D$19/'Entradas de Cálculos'!$D$21)&lt;'Modelo de Tecnologia'!N31,'Modelo de Tecnologia'!N33-('Modelo de Tecnologia'!N34*'Entradas de Cálculos'!$D$26/'Entradas de Cálculos'!$D$19/'Entradas de Cálculos'!$D$21/'Entradas de Cálculos'!$D$25),0)</f>
        <v>0</v>
      </c>
      <c r="O36" s="163">
        <f>IF(('Modelo de Tecnologia'!O34*'Entradas de Cálculos'!$D$26/'Entradas de Cálculos'!$D$19/'Entradas de Cálculos'!$D$21)&lt;'Modelo de Tecnologia'!O31,'Modelo de Tecnologia'!O33-('Modelo de Tecnologia'!O34*'Entradas de Cálculos'!$D$26/'Entradas de Cálculos'!$D$19/'Entradas de Cálculos'!$D$21/'Entradas de Cálculos'!$D$25),0)</f>
        <v>0</v>
      </c>
      <c r="P36" s="163">
        <f>IF(('Modelo de Tecnologia'!P34*'Entradas de Cálculos'!$D$26/'Entradas de Cálculos'!$D$19/'Entradas de Cálculos'!$D$21)&lt;'Modelo de Tecnologia'!P31,'Modelo de Tecnologia'!P33-('Modelo de Tecnologia'!P34*'Entradas de Cálculos'!$D$26/'Entradas de Cálculos'!$D$19/'Entradas de Cálculos'!$D$21/'Entradas de Cálculos'!$D$25),0)</f>
        <v>0</v>
      </c>
      <c r="Q36" s="163">
        <f>IF(('Modelo de Tecnologia'!Q34*'Entradas de Cálculos'!$D$26/'Entradas de Cálculos'!$D$19/'Entradas de Cálculos'!$D$21)&lt;'Modelo de Tecnologia'!Q31,'Modelo de Tecnologia'!Q33-('Modelo de Tecnologia'!Q34*'Entradas de Cálculos'!$D$26/'Entradas de Cálculos'!$D$19/'Entradas de Cálculos'!$D$21/'Entradas de Cálculos'!$D$25),0)</f>
        <v>0</v>
      </c>
      <c r="R36" s="163">
        <f>IF(('Modelo de Tecnologia'!R34*'Entradas de Cálculos'!$D$26/'Entradas de Cálculos'!$D$19/'Entradas de Cálculos'!$D$21)&lt;'Modelo de Tecnologia'!R31,'Modelo de Tecnologia'!R33-('Modelo de Tecnologia'!R34*'Entradas de Cálculos'!$D$26/'Entradas de Cálculos'!$D$19/'Entradas de Cálculos'!$D$21/'Entradas de Cálculos'!$D$25),0)</f>
        <v>0</v>
      </c>
      <c r="S36" s="163">
        <f>IF(('Modelo de Tecnologia'!S34*'Entradas de Cálculos'!$D$26/'Entradas de Cálculos'!$D$19/'Entradas de Cálculos'!$D$21)&lt;'Modelo de Tecnologia'!S31,'Modelo de Tecnologia'!S33-('Modelo de Tecnologia'!S34*'Entradas de Cálculos'!$D$26/'Entradas de Cálculos'!$D$19/'Entradas de Cálculos'!$D$21/'Entradas de Cálculos'!$D$25),0)</f>
        <v>0</v>
      </c>
      <c r="T36" s="163">
        <f>IF(('Modelo de Tecnologia'!T34*'Entradas de Cálculos'!$D$26/'Entradas de Cálculos'!$D$19/'Entradas de Cálculos'!$D$21)&lt;'Modelo de Tecnologia'!T31,'Modelo de Tecnologia'!T33-('Modelo de Tecnologia'!T34*'Entradas de Cálculos'!$D$26/'Entradas de Cálculos'!$D$19/'Entradas de Cálculos'!$D$21/'Entradas de Cálculos'!$D$25),0)</f>
        <v>0</v>
      </c>
      <c r="U36" s="163">
        <f>IF(('Modelo de Tecnologia'!U34*'Entradas de Cálculos'!$D$26/'Entradas de Cálculos'!$D$19/'Entradas de Cálculos'!$D$21)&lt;'Modelo de Tecnologia'!U31,'Modelo de Tecnologia'!U33-('Modelo de Tecnologia'!U34*'Entradas de Cálculos'!$D$26/'Entradas de Cálculos'!$D$19/'Entradas de Cálculos'!$D$21/'Entradas de Cálculos'!$D$25),0)</f>
        <v>0</v>
      </c>
      <c r="V36" s="163">
        <f>IF(('Modelo de Tecnologia'!V34*'Entradas de Cálculos'!$D$26/'Entradas de Cálculos'!$D$19/'Entradas de Cálculos'!$D$21)&lt;'Modelo de Tecnologia'!V31,'Modelo de Tecnologia'!V33-('Modelo de Tecnologia'!V34*'Entradas de Cálculos'!$D$26/'Entradas de Cálculos'!$D$19/'Entradas de Cálculos'!$D$21/'Entradas de Cálculos'!$D$25),0)</f>
        <v>0</v>
      </c>
      <c r="W36" s="163">
        <f>IF(('Modelo de Tecnologia'!W34*'Entradas de Cálculos'!$D$26/'Entradas de Cálculos'!$D$19/'Entradas de Cálculos'!$D$21)&lt;'Modelo de Tecnologia'!W31,'Modelo de Tecnologia'!W33-('Modelo de Tecnologia'!W34*'Entradas de Cálculos'!$D$26/'Entradas de Cálculos'!$D$19/'Entradas de Cálculos'!$D$21/'Entradas de Cálculos'!$D$25),0)</f>
        <v>0</v>
      </c>
    </row>
    <row r="37" spans="1:23" ht="14.25">
      <c r="A37" s="9"/>
      <c r="B37" s="4" t="s">
        <v>208</v>
      </c>
      <c r="C37" s="162">
        <f>(C7*'Entradas de Cálculos'!$D$38+C12*'Entradas de Cálculos'!$D$39+C18*'Entradas de Cálculos'!$D$40+C23*'Entradas de Cálculos'!$D$41)/'Entradas de Cálculos'!$D$16*'Entradas de Cálculos'!$D$9</f>
        <v>0</v>
      </c>
      <c r="D37" s="162">
        <f>(D7*'Entradas de Cálculos'!$D$38+'Modelo de Tecnologia'!D12*'Entradas de Cálculos'!$D$39+'Modelo de Tecnologia'!D18*'Entradas de Cálculos'!$D$40+'Modelo de Tecnologia'!D23*'Entradas de Cálculos'!$D$41)/'Entradas de Cálculos'!$D$16*'Entradas de Cálculos'!$D$9</f>
        <v>0</v>
      </c>
      <c r="E37" s="162">
        <f>(E7*'Entradas de Cálculos'!$D$38+'Modelo de Tecnologia'!E12*'Entradas de Cálculos'!$D$39+'Modelo de Tecnologia'!E18*'Entradas de Cálculos'!$D$40+'Modelo de Tecnologia'!E23*'Entradas de Cálculos'!$D$41)/'Entradas de Cálculos'!$D$16*'Entradas de Cálculos'!$D$9</f>
        <v>0</v>
      </c>
      <c r="F37" s="162">
        <f>(F7*'Entradas de Cálculos'!$D$38+'Modelo de Tecnologia'!F12*'Entradas de Cálculos'!$D$39+'Modelo de Tecnologia'!F18*'Entradas de Cálculos'!$D$40+'Modelo de Tecnologia'!F23*'Entradas de Cálculos'!$D$41)/'Entradas de Cálculos'!$D$16*'Entradas de Cálculos'!$D$9</f>
        <v>0</v>
      </c>
      <c r="G37" s="162">
        <f>(G7*'Entradas de Cálculos'!$D$38+'Modelo de Tecnologia'!G12*'Entradas de Cálculos'!$D$39+'Modelo de Tecnologia'!G18*'Entradas de Cálculos'!$D$40+'Modelo de Tecnologia'!G23*'Entradas de Cálculos'!$D$41)/'Entradas de Cálculos'!$D$16*'Entradas de Cálculos'!$D$9</f>
        <v>0</v>
      </c>
      <c r="H37" s="162">
        <f>(H7*'Entradas de Cálculos'!$D$38+'Modelo de Tecnologia'!H12*'Entradas de Cálculos'!$D$39+'Modelo de Tecnologia'!H18*'Entradas de Cálculos'!$D$40+'Modelo de Tecnologia'!H23*'Entradas de Cálculos'!$D$41)/'Entradas de Cálculos'!$D$16*'Entradas de Cálculos'!$D$9</f>
        <v>0</v>
      </c>
      <c r="I37" s="162">
        <f>(I7*'Entradas de Cálculos'!$D$38+'Modelo de Tecnologia'!I12*'Entradas de Cálculos'!$D$39+'Modelo de Tecnologia'!I18*'Entradas de Cálculos'!$D$40+'Modelo de Tecnologia'!I23*'Entradas de Cálculos'!$D$41)/'Entradas de Cálculos'!$D$16*'Entradas de Cálculos'!$D$9</f>
        <v>0</v>
      </c>
      <c r="J37" s="162">
        <f>(J7*'Entradas de Cálculos'!$D$38+'Modelo de Tecnologia'!J12*'Entradas de Cálculos'!$D$39+'Modelo de Tecnologia'!J18*'Entradas de Cálculos'!$D$40+'Modelo de Tecnologia'!J23*'Entradas de Cálculos'!$D$41)/'Entradas de Cálculos'!$D$16*'Entradas de Cálculos'!$D$9</f>
        <v>0</v>
      </c>
      <c r="K37" s="162">
        <f>(K7*'Entradas de Cálculos'!$D$38+'Modelo de Tecnologia'!K12*'Entradas de Cálculos'!$D$39+'Modelo de Tecnologia'!K18*'Entradas de Cálculos'!$D$40+'Modelo de Tecnologia'!K23*'Entradas de Cálculos'!$D$41)/'Entradas de Cálculos'!$D$16*'Entradas de Cálculos'!$D$9</f>
        <v>0</v>
      </c>
      <c r="L37" s="162">
        <f>(L7*'Entradas de Cálculos'!$D$38+'Modelo de Tecnologia'!L12*'Entradas de Cálculos'!$D$39+'Modelo de Tecnologia'!L18*'Entradas de Cálculos'!$D$40+'Modelo de Tecnologia'!L23*'Entradas de Cálculos'!$D$41)/'Entradas de Cálculos'!$D$16*'Entradas de Cálculos'!$D$9</f>
        <v>0</v>
      </c>
      <c r="M37" s="162">
        <f>(M7*'Entradas de Cálculos'!$D$38+'Modelo de Tecnologia'!M12*'Entradas de Cálculos'!$D$39+'Modelo de Tecnologia'!M18*'Entradas de Cálculos'!$D$40+'Modelo de Tecnologia'!M23*'Entradas de Cálculos'!$D$41)/'Entradas de Cálculos'!$D$16*'Entradas de Cálculos'!$D$9</f>
        <v>0</v>
      </c>
      <c r="N37" s="162">
        <f>(N7*'Entradas de Cálculos'!$D$38+'Modelo de Tecnologia'!N12*'Entradas de Cálculos'!$D$39+'Modelo de Tecnologia'!N18*'Entradas de Cálculos'!$D$40+'Modelo de Tecnologia'!N23*'Entradas de Cálculos'!$D$41)/'Entradas de Cálculos'!$D$16*'Entradas de Cálculos'!$D$9</f>
        <v>0</v>
      </c>
      <c r="O37" s="162">
        <f>(O7*'Entradas de Cálculos'!$D$38+'Modelo de Tecnologia'!O12*'Entradas de Cálculos'!$D$39+'Modelo de Tecnologia'!O18*'Entradas de Cálculos'!$D$40+'Modelo de Tecnologia'!O23*'Entradas de Cálculos'!$D$41)/'Entradas de Cálculos'!$D$16*'Entradas de Cálculos'!$D$9</f>
        <v>0</v>
      </c>
      <c r="P37" s="162">
        <f>(P7*'Entradas de Cálculos'!$D$38+'Modelo de Tecnologia'!P12*'Entradas de Cálculos'!$D$39+'Modelo de Tecnologia'!P18*'Entradas de Cálculos'!$D$40+'Modelo de Tecnologia'!P23*'Entradas de Cálculos'!$D$41)/'Entradas de Cálculos'!$D$16*'Entradas de Cálculos'!$D$9</f>
        <v>0</v>
      </c>
      <c r="Q37" s="162">
        <f>(Q7*'Entradas de Cálculos'!$D$38+'Modelo de Tecnologia'!Q12*'Entradas de Cálculos'!$D$39+'Modelo de Tecnologia'!Q18*'Entradas de Cálculos'!$D$40+'Modelo de Tecnologia'!Q23*'Entradas de Cálculos'!$D$41)/'Entradas de Cálculos'!$D$16*'Entradas de Cálculos'!$D$9</f>
        <v>0</v>
      </c>
      <c r="R37" s="162">
        <f>(R7*'Entradas de Cálculos'!$D$38+'Modelo de Tecnologia'!R12*'Entradas de Cálculos'!$D$39+'Modelo de Tecnologia'!R18*'Entradas de Cálculos'!$D$40+'Modelo de Tecnologia'!R23*'Entradas de Cálculos'!$D$41)/'Entradas de Cálculos'!$D$16*'Entradas de Cálculos'!$D$9</f>
        <v>0</v>
      </c>
      <c r="S37" s="162">
        <f>(S7*'Entradas de Cálculos'!$D$38+'Modelo de Tecnologia'!S12*'Entradas de Cálculos'!$D$39+'Modelo de Tecnologia'!S18*'Entradas de Cálculos'!$D$40+'Modelo de Tecnologia'!S23*'Entradas de Cálculos'!$D$41)/'Entradas de Cálculos'!$D$16*'Entradas de Cálculos'!$D$9</f>
        <v>0</v>
      </c>
      <c r="T37" s="162">
        <f>(T7*'Entradas de Cálculos'!$D$38+'Modelo de Tecnologia'!T12*'Entradas de Cálculos'!$D$39+'Modelo de Tecnologia'!T18*'Entradas de Cálculos'!$D$40+'Modelo de Tecnologia'!T23*'Entradas de Cálculos'!$D$41)/'Entradas de Cálculos'!$D$16*'Entradas de Cálculos'!$D$9</f>
        <v>0</v>
      </c>
      <c r="U37" s="162">
        <f>(U7*'Entradas de Cálculos'!$D$38+'Modelo de Tecnologia'!U12*'Entradas de Cálculos'!$D$39+'Modelo de Tecnologia'!U18*'Entradas de Cálculos'!$D$40+'Modelo de Tecnologia'!U23*'Entradas de Cálculos'!$D$41)/'Entradas de Cálculos'!$D$16*'Entradas de Cálculos'!$D$9</f>
        <v>0</v>
      </c>
      <c r="V37" s="162">
        <f>(V7*'Entradas de Cálculos'!$D$38+'Modelo de Tecnologia'!V12*'Entradas de Cálculos'!$D$39+'Modelo de Tecnologia'!V18*'Entradas de Cálculos'!$D$40+'Modelo de Tecnologia'!V23*'Entradas de Cálculos'!$D$41)/'Entradas de Cálculos'!$D$16*'Entradas de Cálculos'!$D$9</f>
        <v>0</v>
      </c>
      <c r="W37" s="162">
        <f>(W7*'Entradas de Cálculos'!$D$38+'Modelo de Tecnologia'!W12*'Entradas de Cálculos'!$D$39+'Modelo de Tecnologia'!W18*'Entradas de Cálculos'!$D$40+'Modelo de Tecnologia'!W23*'Entradas de Cálculos'!$D$41)/'Entradas de Cálculos'!$D$16*'Entradas de Cálculos'!$D$9</f>
        <v>0</v>
      </c>
    </row>
    <row r="38" spans="1:23" ht="14.25">
      <c r="A38" s="9"/>
      <c r="B38" s="4" t="s">
        <v>207</v>
      </c>
      <c r="C38" s="162">
        <f>I37</f>
        <v>0</v>
      </c>
      <c r="D38" s="162">
        <f aca="true" t="shared" si="5" ref="D38:I38">C38</f>
        <v>0</v>
      </c>
      <c r="E38" s="162">
        <f t="shared" si="5"/>
        <v>0</v>
      </c>
      <c r="F38" s="162">
        <f t="shared" si="5"/>
        <v>0</v>
      </c>
      <c r="G38" s="162">
        <f t="shared" si="5"/>
        <v>0</v>
      </c>
      <c r="H38" s="162">
        <f t="shared" si="5"/>
        <v>0</v>
      </c>
      <c r="I38" s="162">
        <f t="shared" si="5"/>
        <v>0</v>
      </c>
      <c r="J38" s="162">
        <f>P37</f>
        <v>0</v>
      </c>
      <c r="K38" s="162">
        <f aca="true" t="shared" si="6" ref="K38:P38">J38</f>
        <v>0</v>
      </c>
      <c r="L38" s="162">
        <f t="shared" si="6"/>
        <v>0</v>
      </c>
      <c r="M38" s="162">
        <f t="shared" si="6"/>
        <v>0</v>
      </c>
      <c r="N38" s="162">
        <f t="shared" si="6"/>
        <v>0</v>
      </c>
      <c r="O38" s="162">
        <f t="shared" si="6"/>
        <v>0</v>
      </c>
      <c r="P38" s="162">
        <f t="shared" si="6"/>
        <v>0</v>
      </c>
      <c r="Q38" s="162">
        <f>W37</f>
        <v>0</v>
      </c>
      <c r="R38" s="162">
        <f aca="true" t="shared" si="7" ref="R38:W38">Q38</f>
        <v>0</v>
      </c>
      <c r="S38" s="162">
        <f t="shared" si="7"/>
        <v>0</v>
      </c>
      <c r="T38" s="162">
        <f t="shared" si="7"/>
        <v>0</v>
      </c>
      <c r="U38" s="162">
        <f t="shared" si="7"/>
        <v>0</v>
      </c>
      <c r="V38" s="162">
        <f t="shared" si="7"/>
        <v>0</v>
      </c>
      <c r="W38" s="162">
        <f t="shared" si="7"/>
        <v>0</v>
      </c>
    </row>
    <row r="39" spans="1:23" ht="14.25">
      <c r="A39" s="9"/>
      <c r="B39" s="4" t="s">
        <v>213</v>
      </c>
      <c r="C39" s="162">
        <f>C34/'Entradas de Cálculos'!$D$24/'Entradas de Cálculos'!$D$23</f>
        <v>0</v>
      </c>
      <c r="D39" s="162">
        <f>D34/'Entradas de Cálculos'!$D$24/'Entradas de Cálculos'!$D$23</f>
        <v>0</v>
      </c>
      <c r="E39" s="162">
        <f>E34/'Entradas de Cálculos'!$D$24/'Entradas de Cálculos'!$D$23</f>
        <v>0</v>
      </c>
      <c r="F39" s="162">
        <f>F34/'Entradas de Cálculos'!$D$24/'Entradas de Cálculos'!$D$23</f>
        <v>0</v>
      </c>
      <c r="G39" s="162">
        <f>G34/'Entradas de Cálculos'!$D$24/'Entradas de Cálculos'!$D$23</f>
        <v>0</v>
      </c>
      <c r="H39" s="162">
        <f>H34/'Entradas de Cálculos'!$D$24/'Entradas de Cálculos'!$D$23</f>
        <v>0</v>
      </c>
      <c r="I39" s="162">
        <f>I34/'Entradas de Cálculos'!$D$24/'Entradas de Cálculos'!$D$23</f>
        <v>0</v>
      </c>
      <c r="J39" s="162">
        <f>J34/'Entradas de Cálculos'!$D$24/'Entradas de Cálculos'!$D$23</f>
        <v>0</v>
      </c>
      <c r="K39" s="162">
        <f>K34/'Entradas de Cálculos'!$D$24/'Entradas de Cálculos'!$D$23</f>
        <v>0</v>
      </c>
      <c r="L39" s="162">
        <f>L34/'Entradas de Cálculos'!$D$24/'Entradas de Cálculos'!$D$23</f>
        <v>0</v>
      </c>
      <c r="M39" s="162">
        <f>M34/'Entradas de Cálculos'!$D$24/'Entradas de Cálculos'!$D$23</f>
        <v>0</v>
      </c>
      <c r="N39" s="162">
        <f>N34/'Entradas de Cálculos'!$D$24/'Entradas de Cálculos'!$D$23</f>
        <v>0</v>
      </c>
      <c r="O39" s="162">
        <f>O34/'Entradas de Cálculos'!$D$24/'Entradas de Cálculos'!$D$23</f>
        <v>0</v>
      </c>
      <c r="P39" s="162">
        <f>P34/'Entradas de Cálculos'!$D$24/'Entradas de Cálculos'!$D$23</f>
        <v>0</v>
      </c>
      <c r="Q39" s="162">
        <f>Q34/'Entradas de Cálculos'!$D$24/'Entradas de Cálculos'!$D$23</f>
        <v>0</v>
      </c>
      <c r="R39" s="162">
        <f>R34/'Entradas de Cálculos'!$D$24/'Entradas de Cálculos'!$D$23</f>
        <v>0</v>
      </c>
      <c r="S39" s="162">
        <f>S34/'Entradas de Cálculos'!$D$24/'Entradas de Cálculos'!$D$23</f>
        <v>0</v>
      </c>
      <c r="T39" s="162">
        <f>T34/'Entradas de Cálculos'!$D$24/'Entradas de Cálculos'!$D$23</f>
        <v>0</v>
      </c>
      <c r="U39" s="162">
        <f>U34/'Entradas de Cálculos'!$D$24/'Entradas de Cálculos'!$D$23</f>
        <v>0</v>
      </c>
      <c r="V39" s="162">
        <f>V34/'Entradas de Cálculos'!$D$24/'Entradas de Cálculos'!$D$23</f>
        <v>0</v>
      </c>
      <c r="W39" s="162">
        <f>W34/'Entradas de Cálculos'!$D$24/'Entradas de Cálculos'!$D$23</f>
        <v>0</v>
      </c>
    </row>
    <row r="40" spans="1:23" ht="14.25">
      <c r="A40" s="9"/>
      <c r="B40" s="4" t="s">
        <v>206</v>
      </c>
      <c r="C40" s="162">
        <f>MAX(C54:Z54)</f>
        <v>0</v>
      </c>
      <c r="D40" s="162">
        <f>IF(COUNT('Entrada de Dados do Usuário'!$C$16:$C$19)&gt;0,C40*(1+AVERAGE('Entrada de Dados do Usuário'!$C$16:$C$19)),C40)</f>
        <v>0</v>
      </c>
      <c r="E40" s="162">
        <f>IF(COUNT('Entrada de Dados do Usuário'!$C$16:$C$19)&gt;0,D40*(1+AVERAGE('Entrada de Dados do Usuário'!$C$16:$C$19)),D40)</f>
        <v>0</v>
      </c>
      <c r="F40" s="162">
        <f>IF(COUNT('Entrada de Dados do Usuário'!$C$16:$C$19)&gt;0,E40*(1+AVERAGE('Entrada de Dados do Usuário'!$C$16:$C$19)),E40)</f>
        <v>0</v>
      </c>
      <c r="G40" s="162">
        <f>IF(COUNT('Entrada de Dados do Usuário'!$C$16:$C$19)&gt;0,F40*(1+AVERAGE('Entrada de Dados do Usuário'!$C$16:$C$19)),F40)</f>
        <v>0</v>
      </c>
      <c r="H40" s="162">
        <f>IF(COUNT('Entrada de Dados do Usuário'!$C$16:$C$19)&gt;0,G40*(1+AVERAGE('Entrada de Dados do Usuário'!$C$16:$C$19)),G40)</f>
        <v>0</v>
      </c>
      <c r="I40" s="162">
        <f>IF(COUNT('Entrada de Dados do Usuário'!$C$16:$C$19)&gt;0,H40*(1+AVERAGE('Entrada de Dados do Usuário'!$C$16:$C$19)),H40)</f>
        <v>0</v>
      </c>
      <c r="J40" s="162">
        <f>IF(COUNT('Entrada de Dados do Usuário'!$C$16:$C$19)&gt;0,I40*(1+AVERAGE('Entrada de Dados do Usuário'!$C$16:$C$19)),I40)</f>
        <v>0</v>
      </c>
      <c r="K40" s="162">
        <f>IF(COUNT('Entrada de Dados do Usuário'!$C$16:$C$19)&gt;0,J40*(1+AVERAGE('Entrada de Dados do Usuário'!$C$16:$C$19)),J40)</f>
        <v>0</v>
      </c>
      <c r="L40" s="162">
        <f>IF(COUNT('Entrada de Dados do Usuário'!$C$16:$C$19)&gt;0,K40*(1+AVERAGE('Entrada de Dados do Usuário'!$C$16:$C$19)),K40)</f>
        <v>0</v>
      </c>
      <c r="M40" s="162">
        <f>IF(COUNT('Entrada de Dados do Usuário'!$C$16:$C$19)&gt;0,L40*(1+AVERAGE('Entrada de Dados do Usuário'!$C$16:$C$19)),L40)</f>
        <v>0</v>
      </c>
      <c r="N40" s="162">
        <f>IF(COUNT('Entrada de Dados do Usuário'!$C$16:$C$19)&gt;0,M40*(1+AVERAGE('Entrada de Dados do Usuário'!$C$16:$C$19)),M40)</f>
        <v>0</v>
      </c>
      <c r="O40" s="162">
        <f>IF(COUNT('Entrada de Dados do Usuário'!$C$16:$C$19)&gt;0,N40*(1+AVERAGE('Entrada de Dados do Usuário'!$C$16:$C$19)),N40)</f>
        <v>0</v>
      </c>
      <c r="P40" s="162">
        <f>IF(COUNT('Entrada de Dados do Usuário'!$C$16:$C$19)&gt;0,O40*(1+AVERAGE('Entrada de Dados do Usuário'!$C$16:$C$19)),O40)</f>
        <v>0</v>
      </c>
      <c r="Q40" s="162">
        <f>IF(COUNT('Entrada de Dados do Usuário'!$C$16:$C$19)&gt;0,P40*(1+AVERAGE('Entrada de Dados do Usuário'!$C$16:$C$19)),P40)</f>
        <v>0</v>
      </c>
      <c r="R40" s="162">
        <f>IF(COUNT('Entrada de Dados do Usuário'!$C$16:$C$19)&gt;0,Q40*(1+AVERAGE('Entrada de Dados do Usuário'!$C$16:$C$19)),Q40)</f>
        <v>0</v>
      </c>
      <c r="S40" s="162">
        <f>IF(COUNT('Entrada de Dados do Usuário'!$C$16:$C$19)&gt;0,R40*(1+AVERAGE('Entrada de Dados do Usuário'!$C$16:$C$19)),R40)</f>
        <v>0</v>
      </c>
      <c r="T40" s="162">
        <f>IF(COUNT('Entrada de Dados do Usuário'!$C$16:$C$19)&gt;0,S40*(1+AVERAGE('Entrada de Dados do Usuário'!$C$16:$C$19)),S40)</f>
        <v>0</v>
      </c>
      <c r="U40" s="162">
        <f>IF(COUNT('Entrada de Dados do Usuário'!$C$16:$C$19)&gt;0,T40*(1+AVERAGE('Entrada de Dados do Usuário'!$C$16:$C$19)),T40)</f>
        <v>0</v>
      </c>
      <c r="V40" s="162">
        <f>IF(COUNT('Entrada de Dados do Usuário'!$C$16:$C$19)&gt;0,U40*(1+AVERAGE('Entrada de Dados do Usuário'!$C$16:$C$19)),U40)</f>
        <v>0</v>
      </c>
      <c r="W40" s="162">
        <f>IF(COUNT('Entrada de Dados do Usuário'!$C$16:$C$19)&gt;0,V40*(1+AVERAGE('Entrada de Dados do Usuário'!$C$16:$C$19)),V40)</f>
        <v>0</v>
      </c>
    </row>
    <row r="41" spans="1:23" ht="14.25">
      <c r="A41" s="9"/>
      <c r="B41" s="4" t="s">
        <v>214</v>
      </c>
      <c r="C41" s="46">
        <f>IF(C40&gt;C39,CHOOSE(MATCH(C40,'Entradas de Cálculos'!$C$106:$C$112,-1),'Entradas de Cálculos'!$C$106,'Entradas de Cálculos'!$C$107,'Entradas de Cálculos'!$C$108,'Entradas de Cálculos'!$C$109,'Entradas de Cálculos'!$C$110,'Entradas de Cálculos'!$C$111,'Entradas de Cálculos'!$C$112),CHOOSE(MATCH(C39,'Entradas de Cálculos'!$C$106:$C$112,-1),'Entradas de Cálculos'!$C$106,'Entradas de Cálculos'!$C$107,'Entradas de Cálculos'!$C$108,'Entradas de Cálculos'!$C$109,'Entradas de Cálculos'!$C$110,'Entradas de Cálculos'!$C$111,'Entradas de Cálculos'!$C$112))*IF(C39=0,0,1)</f>
        <v>0</v>
      </c>
      <c r="D41" s="46">
        <f>IF(D40&gt;D39,CHOOSE(MATCH(D40,'Entradas de Cálculos'!$C$106:$C$112,-1),'Entradas de Cálculos'!$C$106,'Entradas de Cálculos'!$C$107,'Entradas de Cálculos'!$C$108,'Entradas de Cálculos'!$C$109,'Entradas de Cálculos'!$C$110,'Entradas de Cálculos'!$C$111,'Entradas de Cálculos'!$C$112),CHOOSE(MATCH(D39,'Entradas de Cálculos'!$C$106:$C$112,-1),'Entradas de Cálculos'!$C$106,'Entradas de Cálculos'!$C$107,'Entradas de Cálculos'!$C$108,'Entradas de Cálculos'!$C$109,'Entradas de Cálculos'!$C$110,'Entradas de Cálculos'!$C$111,'Entradas de Cálculos'!$C$112))*IF(D39=0,0,1)</f>
        <v>0</v>
      </c>
      <c r="E41" s="46">
        <f>IF(E40&gt;E39,CHOOSE(MATCH(E40,'Entradas de Cálculos'!$C$106:$C$112,-1),'Entradas de Cálculos'!$C$106,'Entradas de Cálculos'!$C$107,'Entradas de Cálculos'!$C$108,'Entradas de Cálculos'!$C$109,'Entradas de Cálculos'!$C$110,'Entradas de Cálculos'!$C$111,'Entradas de Cálculos'!$C$112),CHOOSE(MATCH(E39,'Entradas de Cálculos'!$C$106:$C$112,-1),'Entradas de Cálculos'!$C$106,'Entradas de Cálculos'!$C$107,'Entradas de Cálculos'!$C$108,'Entradas de Cálculos'!$C$109,'Entradas de Cálculos'!$C$110,'Entradas de Cálculos'!$C$111,'Entradas de Cálculos'!$C$112))*IF(E39=0,0,1)</f>
        <v>0</v>
      </c>
      <c r="F41" s="46">
        <f>IF(F40&gt;F39,CHOOSE(MATCH(F40,'Entradas de Cálculos'!$C$106:$C$112,-1),'Entradas de Cálculos'!$C$106,'Entradas de Cálculos'!$C$107,'Entradas de Cálculos'!$C$108,'Entradas de Cálculos'!$C$109,'Entradas de Cálculos'!$C$110,'Entradas de Cálculos'!$C$111,'Entradas de Cálculos'!$C$112),CHOOSE(MATCH(F39,'Entradas de Cálculos'!$C$106:$C$112,-1),'Entradas de Cálculos'!$C$106,'Entradas de Cálculos'!$C$107,'Entradas de Cálculos'!$C$108,'Entradas de Cálculos'!$C$109,'Entradas de Cálculos'!$C$110,'Entradas de Cálculos'!$C$111,'Entradas de Cálculos'!$C$112))*IF(F39=0,0,1)</f>
        <v>0</v>
      </c>
      <c r="G41" s="46">
        <f>IF(G40&gt;G39,CHOOSE(MATCH(G40,'Entradas de Cálculos'!$C$106:$C$112,-1),'Entradas de Cálculos'!$C$106,'Entradas de Cálculos'!$C$107,'Entradas de Cálculos'!$C$108,'Entradas de Cálculos'!$C$109,'Entradas de Cálculos'!$C$110,'Entradas de Cálculos'!$C$111,'Entradas de Cálculos'!$C$112),CHOOSE(MATCH(G39,'Entradas de Cálculos'!$C$106:$C$112,-1),'Entradas de Cálculos'!$C$106,'Entradas de Cálculos'!$C$107,'Entradas de Cálculos'!$C$108,'Entradas de Cálculos'!$C$109,'Entradas de Cálculos'!$C$110,'Entradas de Cálculos'!$C$111,'Entradas de Cálculos'!$C$112))*IF(G39=0,0,1)</f>
        <v>0</v>
      </c>
      <c r="H41" s="46">
        <f>IF(H40&gt;H39,CHOOSE(MATCH(H40,'Entradas de Cálculos'!$C$106:$C$112,-1),'Entradas de Cálculos'!$C$106,'Entradas de Cálculos'!$C$107,'Entradas de Cálculos'!$C$108,'Entradas de Cálculos'!$C$109,'Entradas de Cálculos'!$C$110,'Entradas de Cálculos'!$C$111,'Entradas de Cálculos'!$C$112),CHOOSE(MATCH(H39,'Entradas de Cálculos'!$C$106:$C$112,-1),'Entradas de Cálculos'!$C$106,'Entradas de Cálculos'!$C$107,'Entradas de Cálculos'!$C$108,'Entradas de Cálculos'!$C$109,'Entradas de Cálculos'!$C$110,'Entradas de Cálculos'!$C$111,'Entradas de Cálculos'!$C$112))*IF(H39=0,0,1)</f>
        <v>0</v>
      </c>
      <c r="I41" s="46">
        <f>IF(I40&gt;I39,CHOOSE(MATCH(I40,'Entradas de Cálculos'!$C$106:$C$112,-1),'Entradas de Cálculos'!$C$106,'Entradas de Cálculos'!$C$107,'Entradas de Cálculos'!$C$108,'Entradas de Cálculos'!$C$109,'Entradas de Cálculos'!$C$110,'Entradas de Cálculos'!$C$111,'Entradas de Cálculos'!$C$112),CHOOSE(MATCH(I39,'Entradas de Cálculos'!$C$106:$C$112,-1),'Entradas de Cálculos'!$C$106,'Entradas de Cálculos'!$C$107,'Entradas de Cálculos'!$C$108,'Entradas de Cálculos'!$C$109,'Entradas de Cálculos'!$C$110,'Entradas de Cálculos'!$C$111,'Entradas de Cálculos'!$C$112))*IF(I39=0,0,1)</f>
        <v>0</v>
      </c>
      <c r="J41" s="46">
        <f>IF(J40&gt;J39,CHOOSE(MATCH(J40,'Entradas de Cálculos'!$C$106:$C$112,-1),'Entradas de Cálculos'!$C$106,'Entradas de Cálculos'!$C$107,'Entradas de Cálculos'!$C$108,'Entradas de Cálculos'!$C$109,'Entradas de Cálculos'!$C$110,'Entradas de Cálculos'!$C$111,'Entradas de Cálculos'!$C$112),CHOOSE(MATCH(J39,'Entradas de Cálculos'!$C$106:$C$112,-1),'Entradas de Cálculos'!$C$106,'Entradas de Cálculos'!$C$107,'Entradas de Cálculos'!$C$108,'Entradas de Cálculos'!$C$109,'Entradas de Cálculos'!$C$110,'Entradas de Cálculos'!$C$111,'Entradas de Cálculos'!$C$112))*IF(J39=0,0,1)</f>
        <v>0</v>
      </c>
      <c r="K41" s="46">
        <f>IF(K40&gt;K39,CHOOSE(MATCH(K40,'Entradas de Cálculos'!$C$106:$C$112,-1),'Entradas de Cálculos'!$C$106,'Entradas de Cálculos'!$C$107,'Entradas de Cálculos'!$C$108,'Entradas de Cálculos'!$C$109,'Entradas de Cálculos'!$C$110,'Entradas de Cálculos'!$C$111,'Entradas de Cálculos'!$C$112),CHOOSE(MATCH(K39,'Entradas de Cálculos'!$C$106:$C$112,-1),'Entradas de Cálculos'!$C$106,'Entradas de Cálculos'!$C$107,'Entradas de Cálculos'!$C$108,'Entradas de Cálculos'!$C$109,'Entradas de Cálculos'!$C$110,'Entradas de Cálculos'!$C$111,'Entradas de Cálculos'!$C$112))*IF(K39=0,0,1)</f>
        <v>0</v>
      </c>
      <c r="L41" s="46">
        <f>IF(L40&gt;L39,CHOOSE(MATCH(L40,'Entradas de Cálculos'!$C$106:$C$112,-1),'Entradas de Cálculos'!$C$106,'Entradas de Cálculos'!$C$107,'Entradas de Cálculos'!$C$108,'Entradas de Cálculos'!$C$109,'Entradas de Cálculos'!$C$110,'Entradas de Cálculos'!$C$111,'Entradas de Cálculos'!$C$112),CHOOSE(MATCH(L39,'Entradas de Cálculos'!$C$106:$C$112,-1),'Entradas de Cálculos'!$C$106,'Entradas de Cálculos'!$C$107,'Entradas de Cálculos'!$C$108,'Entradas de Cálculos'!$C$109,'Entradas de Cálculos'!$C$110,'Entradas de Cálculos'!$C$111,'Entradas de Cálculos'!$C$112))*IF(L39=0,0,1)</f>
        <v>0</v>
      </c>
      <c r="M41" s="46">
        <f>IF(M40&gt;M39,CHOOSE(MATCH(M40,'Entradas de Cálculos'!$C$106:$C$112,-1),'Entradas de Cálculos'!$C$106,'Entradas de Cálculos'!$C$107,'Entradas de Cálculos'!$C$108,'Entradas de Cálculos'!$C$109,'Entradas de Cálculos'!$C$110,'Entradas de Cálculos'!$C$111,'Entradas de Cálculos'!$C$112),CHOOSE(MATCH(M39,'Entradas de Cálculos'!$C$106:$C$112,-1),'Entradas de Cálculos'!$C$106,'Entradas de Cálculos'!$C$107,'Entradas de Cálculos'!$C$108,'Entradas de Cálculos'!$C$109,'Entradas de Cálculos'!$C$110,'Entradas de Cálculos'!$C$111,'Entradas de Cálculos'!$C$112))*IF(M39=0,0,1)</f>
        <v>0</v>
      </c>
      <c r="N41" s="46">
        <f>IF(N40&gt;N39,CHOOSE(MATCH(N40,'Entradas de Cálculos'!$C$106:$C$112,-1),'Entradas de Cálculos'!$C$106,'Entradas de Cálculos'!$C$107,'Entradas de Cálculos'!$C$108,'Entradas de Cálculos'!$C$109,'Entradas de Cálculos'!$C$110,'Entradas de Cálculos'!$C$111,'Entradas de Cálculos'!$C$112),CHOOSE(MATCH(N39,'Entradas de Cálculos'!$C$106:$C$112,-1),'Entradas de Cálculos'!$C$106,'Entradas de Cálculos'!$C$107,'Entradas de Cálculos'!$C$108,'Entradas de Cálculos'!$C$109,'Entradas de Cálculos'!$C$110,'Entradas de Cálculos'!$C$111,'Entradas de Cálculos'!$C$112))*IF(N39=0,0,1)</f>
        <v>0</v>
      </c>
      <c r="O41" s="46">
        <f>IF(O40&gt;O39,CHOOSE(MATCH(O40,'Entradas de Cálculos'!$C$106:$C$112,-1),'Entradas de Cálculos'!$C$106,'Entradas de Cálculos'!$C$107,'Entradas de Cálculos'!$C$108,'Entradas de Cálculos'!$C$109,'Entradas de Cálculos'!$C$110,'Entradas de Cálculos'!$C$111,'Entradas de Cálculos'!$C$112),CHOOSE(MATCH(O39,'Entradas de Cálculos'!$C$106:$C$112,-1),'Entradas de Cálculos'!$C$106,'Entradas de Cálculos'!$C$107,'Entradas de Cálculos'!$C$108,'Entradas de Cálculos'!$C$109,'Entradas de Cálculos'!$C$110,'Entradas de Cálculos'!$C$111,'Entradas de Cálculos'!$C$112))*IF(O39=0,0,1)</f>
        <v>0</v>
      </c>
      <c r="P41" s="46">
        <f>IF(P40&gt;P39,CHOOSE(MATCH(P40,'Entradas de Cálculos'!$C$106:$C$112,-1),'Entradas de Cálculos'!$C$106,'Entradas de Cálculos'!$C$107,'Entradas de Cálculos'!$C$108,'Entradas de Cálculos'!$C$109,'Entradas de Cálculos'!$C$110,'Entradas de Cálculos'!$C$111,'Entradas de Cálculos'!$C$112),CHOOSE(MATCH(P39,'Entradas de Cálculos'!$C$106:$C$112,-1),'Entradas de Cálculos'!$C$106,'Entradas de Cálculos'!$C$107,'Entradas de Cálculos'!$C$108,'Entradas de Cálculos'!$C$109,'Entradas de Cálculos'!$C$110,'Entradas de Cálculos'!$C$111,'Entradas de Cálculos'!$C$112))*IF(P39=0,0,1)</f>
        <v>0</v>
      </c>
      <c r="Q41" s="46">
        <f>IF(Q40&gt;Q39,CHOOSE(MATCH(Q40,'Entradas de Cálculos'!$C$106:$C$112,-1),'Entradas de Cálculos'!$C$106,'Entradas de Cálculos'!$C$107,'Entradas de Cálculos'!$C$108,'Entradas de Cálculos'!$C$109,'Entradas de Cálculos'!$C$110,'Entradas de Cálculos'!$C$111,'Entradas de Cálculos'!$C$112),CHOOSE(MATCH(Q39,'Entradas de Cálculos'!$C$106:$C$112,-1),'Entradas de Cálculos'!$C$106,'Entradas de Cálculos'!$C$107,'Entradas de Cálculos'!$C$108,'Entradas de Cálculos'!$C$109,'Entradas de Cálculos'!$C$110,'Entradas de Cálculos'!$C$111,'Entradas de Cálculos'!$C$112))*IF(Q39=0,0,1)</f>
        <v>0</v>
      </c>
      <c r="R41" s="46">
        <f>IF(R40&gt;R39,CHOOSE(MATCH(R40,'Entradas de Cálculos'!$C$106:$C$112,-1),'Entradas de Cálculos'!$C$106,'Entradas de Cálculos'!$C$107,'Entradas de Cálculos'!$C$108,'Entradas de Cálculos'!$C$109,'Entradas de Cálculos'!$C$110,'Entradas de Cálculos'!$C$111,'Entradas de Cálculos'!$C$112),CHOOSE(MATCH(R39,'Entradas de Cálculos'!$C$106:$C$112,-1),'Entradas de Cálculos'!$C$106,'Entradas de Cálculos'!$C$107,'Entradas de Cálculos'!$C$108,'Entradas de Cálculos'!$C$109,'Entradas de Cálculos'!$C$110,'Entradas de Cálculos'!$C$111,'Entradas de Cálculos'!$C$112))*IF(R39=0,0,1)</f>
        <v>0</v>
      </c>
      <c r="S41" s="46">
        <f>IF(S40&gt;S39,CHOOSE(MATCH(S40,'Entradas de Cálculos'!$C$106:$C$112,-1),'Entradas de Cálculos'!$C$106,'Entradas de Cálculos'!$C$107,'Entradas de Cálculos'!$C$108,'Entradas de Cálculos'!$C$109,'Entradas de Cálculos'!$C$110,'Entradas de Cálculos'!$C$111,'Entradas de Cálculos'!$C$112),CHOOSE(MATCH(S39,'Entradas de Cálculos'!$C$106:$C$112,-1),'Entradas de Cálculos'!$C$106,'Entradas de Cálculos'!$C$107,'Entradas de Cálculos'!$C$108,'Entradas de Cálculos'!$C$109,'Entradas de Cálculos'!$C$110,'Entradas de Cálculos'!$C$111,'Entradas de Cálculos'!$C$112))*IF(S39=0,0,1)</f>
        <v>0</v>
      </c>
      <c r="T41" s="46">
        <f>IF(T40&gt;T39,CHOOSE(MATCH(T40,'Entradas de Cálculos'!$C$106:$C$112,-1),'Entradas de Cálculos'!$C$106,'Entradas de Cálculos'!$C$107,'Entradas de Cálculos'!$C$108,'Entradas de Cálculos'!$C$109,'Entradas de Cálculos'!$C$110,'Entradas de Cálculos'!$C$111,'Entradas de Cálculos'!$C$112),CHOOSE(MATCH(T39,'Entradas de Cálculos'!$C$106:$C$112,-1),'Entradas de Cálculos'!$C$106,'Entradas de Cálculos'!$C$107,'Entradas de Cálculos'!$C$108,'Entradas de Cálculos'!$C$109,'Entradas de Cálculos'!$C$110,'Entradas de Cálculos'!$C$111,'Entradas de Cálculos'!$C$112))*IF(T39=0,0,1)</f>
        <v>0</v>
      </c>
      <c r="U41" s="46">
        <f>IF(U40&gt;U39,CHOOSE(MATCH(U40,'Entradas de Cálculos'!$C$106:$C$112,-1),'Entradas de Cálculos'!$C$106,'Entradas de Cálculos'!$C$107,'Entradas de Cálculos'!$C$108,'Entradas de Cálculos'!$C$109,'Entradas de Cálculos'!$C$110,'Entradas de Cálculos'!$C$111,'Entradas de Cálculos'!$C$112),CHOOSE(MATCH(U39,'Entradas de Cálculos'!$C$106:$C$112,-1),'Entradas de Cálculos'!$C$106,'Entradas de Cálculos'!$C$107,'Entradas de Cálculos'!$C$108,'Entradas de Cálculos'!$C$109,'Entradas de Cálculos'!$C$110,'Entradas de Cálculos'!$C$111,'Entradas de Cálculos'!$C$112))*IF(U39=0,0,1)</f>
        <v>0</v>
      </c>
      <c r="V41" s="46">
        <f>IF(V40&gt;V39,CHOOSE(MATCH(V40,'Entradas de Cálculos'!$C$106:$C$112,-1),'Entradas de Cálculos'!$C$106,'Entradas de Cálculos'!$C$107,'Entradas de Cálculos'!$C$108,'Entradas de Cálculos'!$C$109,'Entradas de Cálculos'!$C$110,'Entradas de Cálculos'!$C$111,'Entradas de Cálculos'!$C$112),CHOOSE(MATCH(V39,'Entradas de Cálculos'!$C$106:$C$112,-1),'Entradas de Cálculos'!$C$106,'Entradas de Cálculos'!$C$107,'Entradas de Cálculos'!$C$108,'Entradas de Cálculos'!$C$109,'Entradas de Cálculos'!$C$110,'Entradas de Cálculos'!$C$111,'Entradas de Cálculos'!$C$112))*IF(V39=0,0,1)</f>
        <v>0</v>
      </c>
      <c r="W41" s="46">
        <f>IF(W40&gt;W39,CHOOSE(MATCH(W40,'Entradas de Cálculos'!$C$106:$C$112,-1),'Entradas de Cálculos'!$C$106,'Entradas de Cálculos'!$C$107,'Entradas de Cálculos'!$C$108,'Entradas de Cálculos'!$C$109,'Entradas de Cálculos'!$C$110,'Entradas de Cálculos'!$C$111,'Entradas de Cálculos'!$C$112),CHOOSE(MATCH(W39,'Entradas de Cálculos'!$C$106:$C$112,-1),'Entradas de Cálculos'!$C$106,'Entradas de Cálculos'!$C$107,'Entradas de Cálculos'!$C$108,'Entradas de Cálculos'!$C$109,'Entradas de Cálculos'!$C$110,'Entradas de Cálculos'!$C$111,'Entradas de Cálculos'!$C$112))*IF(W39=0,0,1)</f>
        <v>0</v>
      </c>
    </row>
    <row r="42" spans="1:23" ht="14.25">
      <c r="A42" s="4"/>
      <c r="B42" s="1" t="s">
        <v>205</v>
      </c>
      <c r="C42" s="162">
        <f>C36/'Entradas de Cálculos'!$D$32/'Entradas de Cálculos'!$D$24*'Entradas de Cálculos'!$D$31</f>
        <v>0</v>
      </c>
      <c r="D42" s="162">
        <f>D36/'Entradas de Cálculos'!$D$32/'Entradas de Cálculos'!$D$24*'Entradas de Cálculos'!$D$31</f>
        <v>0</v>
      </c>
      <c r="E42" s="162">
        <f>E36/'Entradas de Cálculos'!$D$32/'Entradas de Cálculos'!$D$24*'Entradas de Cálculos'!$D$31</f>
        <v>0</v>
      </c>
      <c r="F42" s="162">
        <f>F36/'Entradas de Cálculos'!$D$32/'Entradas de Cálculos'!$D$24*'Entradas de Cálculos'!$D$31</f>
        <v>0</v>
      </c>
      <c r="G42" s="162">
        <f>G36/'Entradas de Cálculos'!$D$32/'Entradas de Cálculos'!$D$24*'Entradas de Cálculos'!$D$31</f>
        <v>0</v>
      </c>
      <c r="H42" s="162">
        <f>H36/'Entradas de Cálculos'!$D$32/'Entradas de Cálculos'!$D$24*'Entradas de Cálculos'!$D$31</f>
        <v>0</v>
      </c>
      <c r="I42" s="162">
        <f>I36/'Entradas de Cálculos'!$D$32/'Entradas de Cálculos'!$D$24*'Entradas de Cálculos'!$D$31</f>
        <v>0</v>
      </c>
      <c r="J42" s="162">
        <f>J36/'Entradas de Cálculos'!$D$32/'Entradas de Cálculos'!$D$24*'Entradas de Cálculos'!$D$31</f>
        <v>0</v>
      </c>
      <c r="K42" s="162">
        <f>K36/'Entradas de Cálculos'!$D$32/'Entradas de Cálculos'!$D$24*'Entradas de Cálculos'!$D$31</f>
        <v>0</v>
      </c>
      <c r="L42" s="162">
        <f>L36/'Entradas de Cálculos'!$D$32/'Entradas de Cálculos'!$D$24*'Entradas de Cálculos'!$D$31</f>
        <v>0</v>
      </c>
      <c r="M42" s="162">
        <f>M36/'Entradas de Cálculos'!$D$32/'Entradas de Cálculos'!$D$24*'Entradas de Cálculos'!$D$31</f>
        <v>0</v>
      </c>
      <c r="N42" s="162">
        <f>N36/'Entradas de Cálculos'!$D$32/'Entradas de Cálculos'!$D$24*'Entradas de Cálculos'!$D$31</f>
        <v>0</v>
      </c>
      <c r="O42" s="162">
        <f>O36/'Entradas de Cálculos'!$D$32/'Entradas de Cálculos'!$D$24*'Entradas de Cálculos'!$D$31</f>
        <v>0</v>
      </c>
      <c r="P42" s="162">
        <f>P36/'Entradas de Cálculos'!$D$32/'Entradas de Cálculos'!$D$24*'Entradas de Cálculos'!$D$31</f>
        <v>0</v>
      </c>
      <c r="Q42" s="162">
        <f>Q36/'Entradas de Cálculos'!$D$32/'Entradas de Cálculos'!$D$24*'Entradas de Cálculos'!$D$31</f>
        <v>0</v>
      </c>
      <c r="R42" s="162">
        <f>R36/'Entradas de Cálculos'!$D$32/'Entradas de Cálculos'!$D$24*'Entradas de Cálculos'!$D$31</f>
        <v>0</v>
      </c>
      <c r="S42" s="162">
        <f>S36/'Entradas de Cálculos'!$D$32/'Entradas de Cálculos'!$D$24*'Entradas de Cálculos'!$D$31</f>
        <v>0</v>
      </c>
      <c r="T42" s="162">
        <f>T36/'Entradas de Cálculos'!$D$32/'Entradas de Cálculos'!$D$24*'Entradas de Cálculos'!$D$31</f>
        <v>0</v>
      </c>
      <c r="U42" s="162">
        <f>U36/'Entradas de Cálculos'!$D$32/'Entradas de Cálculos'!$D$24*'Entradas de Cálculos'!$D$31</f>
        <v>0</v>
      </c>
      <c r="V42" s="162">
        <f>V36/'Entradas de Cálculos'!$D$32/'Entradas de Cálculos'!$D$24*'Entradas de Cálculos'!$D$31</f>
        <v>0</v>
      </c>
      <c r="W42" s="162">
        <f>W36/'Entradas de Cálculos'!$D$32/'Entradas de Cálculos'!$D$24*'Entradas de Cálculos'!$D$31</f>
        <v>0</v>
      </c>
    </row>
    <row r="43" spans="1:23" ht="15" thickBot="1">
      <c r="A43" s="10"/>
      <c r="B43" s="33" t="s">
        <v>204</v>
      </c>
      <c r="C43" s="165">
        <f>I42</f>
        <v>0</v>
      </c>
      <c r="D43" s="165">
        <f aca="true" t="shared" si="8" ref="D43:I43">C43</f>
        <v>0</v>
      </c>
      <c r="E43" s="165">
        <f t="shared" si="8"/>
        <v>0</v>
      </c>
      <c r="F43" s="165">
        <f t="shared" si="8"/>
        <v>0</v>
      </c>
      <c r="G43" s="165">
        <f t="shared" si="8"/>
        <v>0</v>
      </c>
      <c r="H43" s="165">
        <f t="shared" si="8"/>
        <v>0</v>
      </c>
      <c r="I43" s="165">
        <f t="shared" si="8"/>
        <v>0</v>
      </c>
      <c r="J43" s="165">
        <f>P42</f>
        <v>0</v>
      </c>
      <c r="K43" s="165">
        <f aca="true" t="shared" si="9" ref="K43:P43">J43</f>
        <v>0</v>
      </c>
      <c r="L43" s="165">
        <f t="shared" si="9"/>
        <v>0</v>
      </c>
      <c r="M43" s="165">
        <f t="shared" si="9"/>
        <v>0</v>
      </c>
      <c r="N43" s="165">
        <f t="shared" si="9"/>
        <v>0</v>
      </c>
      <c r="O43" s="165">
        <f t="shared" si="9"/>
        <v>0</v>
      </c>
      <c r="P43" s="165">
        <f t="shared" si="9"/>
        <v>0</v>
      </c>
      <c r="Q43" s="165">
        <f>W42</f>
        <v>0</v>
      </c>
      <c r="R43" s="165">
        <f aca="true" t="shared" si="10" ref="R43:W43">Q43</f>
        <v>0</v>
      </c>
      <c r="S43" s="165">
        <f t="shared" si="10"/>
        <v>0</v>
      </c>
      <c r="T43" s="165">
        <f t="shared" si="10"/>
        <v>0</v>
      </c>
      <c r="U43" s="165">
        <f t="shared" si="10"/>
        <v>0</v>
      </c>
      <c r="V43" s="165">
        <f t="shared" si="10"/>
        <v>0</v>
      </c>
      <c r="W43" s="165">
        <f t="shared" si="10"/>
        <v>0</v>
      </c>
    </row>
    <row r="44" spans="1:23" ht="21" thickBot="1">
      <c r="A44" s="364" t="s">
        <v>150</v>
      </c>
      <c r="B44" s="365"/>
      <c r="C44" s="365"/>
      <c r="D44" s="365"/>
      <c r="E44" s="365"/>
      <c r="F44" s="365"/>
      <c r="G44" s="365"/>
      <c r="H44" s="365"/>
      <c r="I44" s="365"/>
      <c r="J44" s="365"/>
      <c r="K44" s="365"/>
      <c r="L44" s="365"/>
      <c r="M44" s="365"/>
      <c r="N44" s="365"/>
      <c r="O44" s="365"/>
      <c r="P44" s="365"/>
      <c r="Q44" s="365"/>
      <c r="R44" s="365"/>
      <c r="S44" s="365"/>
      <c r="T44" s="365"/>
      <c r="U44" s="365"/>
      <c r="V44" s="365"/>
      <c r="W44" s="366"/>
    </row>
    <row r="45" spans="1:26" ht="14.25">
      <c r="A45" s="9"/>
      <c r="B45" s="172" t="s">
        <v>194</v>
      </c>
      <c r="C45" s="173">
        <v>1</v>
      </c>
      <c r="D45" s="173">
        <v>2</v>
      </c>
      <c r="E45" s="173">
        <v>3</v>
      </c>
      <c r="F45" s="173">
        <v>4</v>
      </c>
      <c r="G45" s="173">
        <v>5</v>
      </c>
      <c r="H45" s="173">
        <v>6</v>
      </c>
      <c r="I45" s="173">
        <v>7</v>
      </c>
      <c r="J45" s="173">
        <v>8</v>
      </c>
      <c r="K45" s="173">
        <v>9</v>
      </c>
      <c r="L45" s="173">
        <v>10</v>
      </c>
      <c r="M45" s="173">
        <v>11</v>
      </c>
      <c r="N45" s="173">
        <v>12</v>
      </c>
      <c r="O45" s="173">
        <v>13</v>
      </c>
      <c r="P45" s="173">
        <v>14</v>
      </c>
      <c r="Q45" s="173">
        <v>15</v>
      </c>
      <c r="R45" s="173">
        <v>16</v>
      </c>
      <c r="S45" s="173">
        <v>17</v>
      </c>
      <c r="T45" s="173">
        <v>18</v>
      </c>
      <c r="U45" s="173">
        <v>19</v>
      </c>
      <c r="V45" s="173">
        <v>20</v>
      </c>
      <c r="W45" s="173">
        <v>21</v>
      </c>
      <c r="X45" s="173">
        <v>22</v>
      </c>
      <c r="Y45" s="173">
        <v>23</v>
      </c>
      <c r="Z45" s="173">
        <v>24</v>
      </c>
    </row>
    <row r="46" spans="1:26" ht="14.25">
      <c r="A46" s="9"/>
      <c r="B46" s="4">
        <f>'Entrada de Dados do Usuário'!C71</f>
        <v>0</v>
      </c>
      <c r="C46" s="4">
        <f>IF('Entrada de Dados do Usuário'!$E81&lt;'Entrada de Dados do Usuário'!$D81,IF(OR(AND(C$45&gt;('Entrada de Dados do Usuário'!$D81-1)),AND(C$45&lt;('Entrada de Dados do Usuário'!$E81+1))),'Entrada de Dados do Usuário'!$D71*'Entrada de Dados do Usuário'!$E71,0),IF(AND(AND(C$45&gt;('Entrada de Dados do Usuário'!$D81-1)),AND(C$45&lt;('Entrada de Dados do Usuário'!$E81+1))),'Entrada de Dados do Usuário'!$D71*'Entrada de Dados do Usuário'!$E71,0))</f>
        <v>0</v>
      </c>
      <c r="D46" s="4">
        <f>IF('Entrada de Dados do Usuário'!$E81&lt;'Entrada de Dados do Usuário'!$D81,IF(OR(AND(D$45&gt;('Entrada de Dados do Usuário'!$D81-1)),AND(D$45&lt;('Entrada de Dados do Usuário'!$E81+1))),'Entrada de Dados do Usuário'!$D71*'Entrada de Dados do Usuário'!$E71,0),IF(AND(AND(D$45&gt;('Entrada de Dados do Usuário'!$D81-1)),AND(D$45&lt;('Entrada de Dados do Usuário'!$E81+1))),'Entrada de Dados do Usuário'!$D71*'Entrada de Dados do Usuário'!$E71,0))</f>
        <v>0</v>
      </c>
      <c r="E46" s="4">
        <f>IF('Entrada de Dados do Usuário'!$E81&lt;'Entrada de Dados do Usuário'!$D81,IF(OR(AND(E$45&gt;('Entrada de Dados do Usuário'!$D81-1)),AND(E$45&lt;('Entrada de Dados do Usuário'!$E81+1))),'Entrada de Dados do Usuário'!$D71*'Entrada de Dados do Usuário'!$E71,0),IF(AND(AND(E$45&gt;('Entrada de Dados do Usuário'!$D81-1)),AND(E$45&lt;('Entrada de Dados do Usuário'!$E81+1))),'Entrada de Dados do Usuário'!$D71*'Entrada de Dados do Usuário'!$E71,0))</f>
        <v>0</v>
      </c>
      <c r="F46" s="4">
        <f>IF('Entrada de Dados do Usuário'!$E81&lt;'Entrada de Dados do Usuário'!$D81,IF(OR(AND(F$45&gt;('Entrada de Dados do Usuário'!$D81-1)),AND(F$45&lt;('Entrada de Dados do Usuário'!$E81+1))),'Entrada de Dados do Usuário'!$D71*'Entrada de Dados do Usuário'!$E71,0),IF(AND(AND(F$45&gt;('Entrada de Dados do Usuário'!$D81-1)),AND(F$45&lt;('Entrada de Dados do Usuário'!$E81+1))),'Entrada de Dados do Usuário'!$D71*'Entrada de Dados do Usuário'!$E71,0))</f>
        <v>0</v>
      </c>
      <c r="G46" s="4">
        <f>IF('Entrada de Dados do Usuário'!$E81&lt;'Entrada de Dados do Usuário'!$D81,IF(OR(AND(G$45&gt;('Entrada de Dados do Usuário'!$D81-1)),AND(G$45&lt;('Entrada de Dados do Usuário'!$E81+1))),'Entrada de Dados do Usuário'!$D71*'Entrada de Dados do Usuário'!$E71,0),IF(AND(AND(G$45&gt;('Entrada de Dados do Usuário'!$D81-1)),AND(G$45&lt;('Entrada de Dados do Usuário'!$E81+1))),'Entrada de Dados do Usuário'!$D71*'Entrada de Dados do Usuário'!$E71,0))</f>
        <v>0</v>
      </c>
      <c r="H46" s="4">
        <f>IF('Entrada de Dados do Usuário'!$E81&lt;'Entrada de Dados do Usuário'!$D81,IF(OR(AND(H$45&gt;('Entrada de Dados do Usuário'!$D81-1)),AND(H$45&lt;('Entrada de Dados do Usuário'!$E81+1))),'Entrada de Dados do Usuário'!$D71*'Entrada de Dados do Usuário'!$E71,0),IF(AND(AND(H$45&gt;('Entrada de Dados do Usuário'!$D81-1)),AND(H$45&lt;('Entrada de Dados do Usuário'!$E81+1))),'Entrada de Dados do Usuário'!$D71*'Entrada de Dados do Usuário'!$E71,0))</f>
        <v>0</v>
      </c>
      <c r="I46" s="4">
        <f>IF('Entrada de Dados do Usuário'!$E81&lt;'Entrada de Dados do Usuário'!$D81,IF(OR(AND(I$45&gt;('Entrada de Dados do Usuário'!$D81-1)),AND(I$45&lt;('Entrada de Dados do Usuário'!$E81+1))),'Entrada de Dados do Usuário'!$D71*'Entrada de Dados do Usuário'!$E71,0),IF(AND(AND(I$45&gt;('Entrada de Dados do Usuário'!$D81-1)),AND(I$45&lt;('Entrada de Dados do Usuário'!$E81+1))),'Entrada de Dados do Usuário'!$D71*'Entrada de Dados do Usuário'!$E71,0))</f>
        <v>0</v>
      </c>
      <c r="J46" s="4">
        <f>IF('Entrada de Dados do Usuário'!$E81&lt;'Entrada de Dados do Usuário'!$D81,IF(OR(AND(J$45&gt;('Entrada de Dados do Usuário'!$D81-1)),AND(J$45&lt;('Entrada de Dados do Usuário'!$E81+1))),'Entrada de Dados do Usuário'!$D71*'Entrada de Dados do Usuário'!$E71,0),IF(AND(AND(J$45&gt;('Entrada de Dados do Usuário'!$D81-1)),AND(J$45&lt;('Entrada de Dados do Usuário'!$E81+1))),'Entrada de Dados do Usuário'!$D71*'Entrada de Dados do Usuário'!$E71,0))</f>
        <v>0</v>
      </c>
      <c r="K46" s="4">
        <f>IF('Entrada de Dados do Usuário'!$E81&lt;'Entrada de Dados do Usuário'!$D81,IF(OR(AND(K$45&gt;('Entrada de Dados do Usuário'!$D81-1)),AND(K$45&lt;('Entrada de Dados do Usuário'!$E81+1))),'Entrada de Dados do Usuário'!$D71*'Entrada de Dados do Usuário'!$E71,0),IF(AND(AND(K$45&gt;('Entrada de Dados do Usuário'!$D81-1)),AND(K$45&lt;('Entrada de Dados do Usuário'!$E81+1))),'Entrada de Dados do Usuário'!$D71*'Entrada de Dados do Usuário'!$E71,0))</f>
        <v>0</v>
      </c>
      <c r="L46" s="4">
        <f>IF('Entrada de Dados do Usuário'!$E81&lt;'Entrada de Dados do Usuário'!$D81,IF(OR(AND(L$45&gt;('Entrada de Dados do Usuário'!$D81-1)),AND(L$45&lt;('Entrada de Dados do Usuário'!$E81+1))),'Entrada de Dados do Usuário'!$D71*'Entrada de Dados do Usuário'!$E71,0),IF(AND(AND(L$45&gt;('Entrada de Dados do Usuário'!$D81-1)),AND(L$45&lt;('Entrada de Dados do Usuário'!$E81+1))),'Entrada de Dados do Usuário'!$D71*'Entrada de Dados do Usuário'!$E71,0))</f>
        <v>0</v>
      </c>
      <c r="M46" s="4">
        <f>IF('Entrada de Dados do Usuário'!$E81&lt;'Entrada de Dados do Usuário'!$D81,IF(OR(AND(M$45&gt;('Entrada de Dados do Usuário'!$D81-1)),AND(M$45&lt;('Entrada de Dados do Usuário'!$E81+1))),'Entrada de Dados do Usuário'!$D71*'Entrada de Dados do Usuário'!$E71,0),IF(AND(AND(M$45&gt;('Entrada de Dados do Usuário'!$D81-1)),AND(M$45&lt;('Entrada de Dados do Usuário'!$E81+1))),'Entrada de Dados do Usuário'!$D71*'Entrada de Dados do Usuário'!$E71,0))</f>
        <v>0</v>
      </c>
      <c r="N46" s="4">
        <f>IF('Entrada de Dados do Usuário'!$E81&lt;'Entrada de Dados do Usuário'!$D81,IF(OR(AND(N$45&gt;('Entrada de Dados do Usuário'!$D81-1)),AND(N$45&lt;('Entrada de Dados do Usuário'!$E81+1))),'Entrada de Dados do Usuário'!$D71*'Entrada de Dados do Usuário'!$E71,0),IF(AND(AND(N$45&gt;('Entrada de Dados do Usuário'!$D81-1)),AND(N$45&lt;('Entrada de Dados do Usuário'!$E81+1))),'Entrada de Dados do Usuário'!$D71*'Entrada de Dados do Usuário'!$E71,0))</f>
        <v>0</v>
      </c>
      <c r="O46" s="4">
        <f>IF('Entrada de Dados do Usuário'!$E81&lt;'Entrada de Dados do Usuário'!$D81,IF(OR(AND(O$45&gt;('Entrada de Dados do Usuário'!$D81-1)),AND(O$45&lt;('Entrada de Dados do Usuário'!$E81+1))),'Entrada de Dados do Usuário'!$D71*'Entrada de Dados do Usuário'!$E71,0),IF(AND(AND(O$45&gt;('Entrada de Dados do Usuário'!$D81-1)),AND(O$45&lt;('Entrada de Dados do Usuário'!$E81+1))),'Entrada de Dados do Usuário'!$D71*'Entrada de Dados do Usuário'!$E71,0))</f>
        <v>0</v>
      </c>
      <c r="P46" s="4">
        <f>IF('Entrada de Dados do Usuário'!$E81&lt;'Entrada de Dados do Usuário'!$D81,IF(OR(AND(P$45&gt;('Entrada de Dados do Usuário'!$D81-1)),AND(P$45&lt;('Entrada de Dados do Usuário'!$E81+1))),'Entrada de Dados do Usuário'!$D71*'Entrada de Dados do Usuário'!$E71,0),IF(AND(AND(P$45&gt;('Entrada de Dados do Usuário'!$D81-1)),AND(P$45&lt;('Entrada de Dados do Usuário'!$E81+1))),'Entrada de Dados do Usuário'!$D71*'Entrada de Dados do Usuário'!$E71,0))</f>
        <v>0</v>
      </c>
      <c r="Q46" s="4">
        <f>IF('Entrada de Dados do Usuário'!$E81&lt;'Entrada de Dados do Usuário'!$D81,IF(OR(AND(Q$45&gt;('Entrada de Dados do Usuário'!$D81-1)),AND(Q$45&lt;('Entrada de Dados do Usuário'!$E81+1))),'Entrada de Dados do Usuário'!$D71*'Entrada de Dados do Usuário'!$E71,0),IF(AND(AND(Q$45&gt;('Entrada de Dados do Usuário'!$D81-1)),AND(Q$45&lt;('Entrada de Dados do Usuário'!$E81+1))),'Entrada de Dados do Usuário'!$D71*'Entrada de Dados do Usuário'!$E71,0))</f>
        <v>0</v>
      </c>
      <c r="R46" s="4">
        <f>IF('Entrada de Dados do Usuário'!$E81&lt;'Entrada de Dados do Usuário'!$D81,IF(OR(AND(R$45&gt;('Entrada de Dados do Usuário'!$D81-1)),AND(R$45&lt;('Entrada de Dados do Usuário'!$E81+1))),'Entrada de Dados do Usuário'!$D71*'Entrada de Dados do Usuário'!$E71,0),IF(AND(AND(R$45&gt;('Entrada de Dados do Usuário'!$D81-1)),AND(R$45&lt;('Entrada de Dados do Usuário'!$E81+1))),'Entrada de Dados do Usuário'!$D71*'Entrada de Dados do Usuário'!$E71,0))</f>
        <v>0</v>
      </c>
      <c r="S46" s="4">
        <f>IF('Entrada de Dados do Usuário'!$E81&lt;'Entrada de Dados do Usuário'!$D81,IF(OR(AND(S$45&gt;('Entrada de Dados do Usuário'!$D81-1)),AND(S$45&lt;('Entrada de Dados do Usuário'!$E81+1))),'Entrada de Dados do Usuário'!$D71*'Entrada de Dados do Usuário'!$E71,0),IF(AND(AND(S$45&gt;('Entrada de Dados do Usuário'!$D81-1)),AND(S$45&lt;('Entrada de Dados do Usuário'!$E81+1))),'Entrada de Dados do Usuário'!$D71*'Entrada de Dados do Usuário'!$E71,0))</f>
        <v>0</v>
      </c>
      <c r="T46" s="4">
        <f>IF('Entrada de Dados do Usuário'!$E81&lt;'Entrada de Dados do Usuário'!$D81,IF(OR(AND(T$45&gt;('Entrada de Dados do Usuário'!$D81-1)),AND(T$45&lt;('Entrada de Dados do Usuário'!$E81+1))),'Entrada de Dados do Usuário'!$D71*'Entrada de Dados do Usuário'!$E71,0),IF(AND(AND(T$45&gt;('Entrada de Dados do Usuário'!$D81-1)),AND(T$45&lt;('Entrada de Dados do Usuário'!$E81+1))),'Entrada de Dados do Usuário'!$D71*'Entrada de Dados do Usuário'!$E71,0))</f>
        <v>0</v>
      </c>
      <c r="U46" s="4">
        <f>IF('Entrada de Dados do Usuário'!$E81&lt;'Entrada de Dados do Usuário'!$D81,IF(OR(AND(U$45&gt;('Entrada de Dados do Usuário'!$D81-1)),AND(U$45&lt;('Entrada de Dados do Usuário'!$E81+1))),'Entrada de Dados do Usuário'!$D71*'Entrada de Dados do Usuário'!$E71,0),IF(AND(AND(U$45&gt;('Entrada de Dados do Usuário'!$D81-1)),AND(U$45&lt;('Entrada de Dados do Usuário'!$E81+1))),'Entrada de Dados do Usuário'!$D71*'Entrada de Dados do Usuário'!$E71,0))</f>
        <v>0</v>
      </c>
      <c r="V46" s="4">
        <f>IF('Entrada de Dados do Usuário'!$E81&lt;'Entrada de Dados do Usuário'!$D81,IF(OR(AND(V$45&gt;('Entrada de Dados do Usuário'!$D81-1)),AND(V$45&lt;('Entrada de Dados do Usuário'!$E81+1))),'Entrada de Dados do Usuário'!$D71*'Entrada de Dados do Usuário'!$E71,0),IF(AND(AND(V$45&gt;('Entrada de Dados do Usuário'!$D81-1)),AND(V$45&lt;('Entrada de Dados do Usuário'!$E81+1))),'Entrada de Dados do Usuário'!$D71*'Entrada de Dados do Usuário'!$E71,0))</f>
        <v>0</v>
      </c>
      <c r="W46" s="4">
        <f>IF('Entrada de Dados do Usuário'!$E81&lt;'Entrada de Dados do Usuário'!$D81,IF(OR(AND(W$45&gt;('Entrada de Dados do Usuário'!$D81-1)),AND(W$45&lt;('Entrada de Dados do Usuário'!$E81+1))),'Entrada de Dados do Usuário'!$D71*'Entrada de Dados do Usuário'!$E71,0),IF(AND(AND(W$45&gt;('Entrada de Dados do Usuário'!$D81-1)),AND(W$45&lt;('Entrada de Dados do Usuário'!$E81+1))),'Entrada de Dados do Usuário'!$D71*'Entrada de Dados do Usuário'!$E71,0))</f>
        <v>0</v>
      </c>
      <c r="X46" s="4">
        <f>IF('Entrada de Dados do Usuário'!$E81&lt;'Entrada de Dados do Usuário'!$D81,IF(OR(AND(X$45&gt;('Entrada de Dados do Usuário'!$D81-1)),AND(X$45&lt;('Entrada de Dados do Usuário'!$E81+1))),'Entrada de Dados do Usuário'!$D71*'Entrada de Dados do Usuário'!$E71,0),IF(AND(AND(X$45&gt;('Entrada de Dados do Usuário'!$D81-1)),AND(X$45&lt;('Entrada de Dados do Usuário'!$E81+1))),'Entrada de Dados do Usuário'!$D71*'Entrada de Dados do Usuário'!$E71,0))</f>
        <v>0</v>
      </c>
      <c r="Y46" s="4">
        <f>IF('Entrada de Dados do Usuário'!$E81&lt;'Entrada de Dados do Usuário'!$D81,IF(OR(AND(Y$45&gt;('Entrada de Dados do Usuário'!$D81-1)),AND(Y$45&lt;('Entrada de Dados do Usuário'!$E81+1))),'Entrada de Dados do Usuário'!$D71*'Entrada de Dados do Usuário'!$E71,0),IF(AND(AND(Y$45&gt;('Entrada de Dados do Usuário'!$D81-1)),AND(Y$45&lt;('Entrada de Dados do Usuário'!$E81+1))),'Entrada de Dados do Usuário'!$D71*'Entrada de Dados do Usuário'!$E71,0))</f>
        <v>0</v>
      </c>
      <c r="Z46" s="4">
        <f>IF('Entrada de Dados do Usuário'!$E81&lt;'Entrada de Dados do Usuário'!$D81,IF(OR(AND(Z$45&gt;('Entrada de Dados do Usuário'!$D81-1)),AND(Z$45&lt;('Entrada de Dados do Usuário'!$E81+1))),'Entrada de Dados do Usuário'!$D71*'Entrada de Dados do Usuário'!$E71,0),IF(AND(AND(Z$45&gt;('Entrada de Dados do Usuário'!$D81-1)),AND(Z$45&lt;('Entrada de Dados do Usuário'!$E81+1))),'Entrada de Dados do Usuário'!$D71*'Entrada de Dados do Usuário'!$E71,0))</f>
        <v>0</v>
      </c>
    </row>
    <row r="47" spans="1:26" ht="14.25">
      <c r="A47" s="9"/>
      <c r="B47" s="4">
        <f>'Entrada de Dados do Usuário'!C72</f>
        <v>0</v>
      </c>
      <c r="C47" s="4">
        <f>IF('Entrada de Dados do Usuário'!$E82&lt;'Entrada de Dados do Usuário'!$D82,IF(OR(AND(C$45&gt;('Entrada de Dados do Usuário'!$D82-1)),AND(C$45&lt;('Entrada de Dados do Usuário'!$E82+1))),'Entrada de Dados do Usuário'!$D72*'Entrada de Dados do Usuário'!$E72,0),IF(AND(AND(C$45&gt;('Entrada de Dados do Usuário'!$D82-1)),AND(C$45&lt;('Entrada de Dados do Usuário'!$E82+1))),'Entrada de Dados do Usuário'!$D72*'Entrada de Dados do Usuário'!$E72,0))</f>
        <v>0</v>
      </c>
      <c r="D47" s="4">
        <f>IF('Entrada de Dados do Usuário'!$E82&lt;'Entrada de Dados do Usuário'!$D82,IF(OR(AND(D$45&gt;('Entrada de Dados do Usuário'!$D82-1)),AND(D$45&lt;('Entrada de Dados do Usuário'!$E82+1))),'Entrada de Dados do Usuário'!$D72*'Entrada de Dados do Usuário'!$E72,0),IF(AND(AND(D$45&gt;('Entrada de Dados do Usuário'!$D82-1)),AND(D$45&lt;('Entrada de Dados do Usuário'!$E82+1))),'Entrada de Dados do Usuário'!$D72*'Entrada de Dados do Usuário'!$E72,0))</f>
        <v>0</v>
      </c>
      <c r="E47" s="4">
        <f>IF('Entrada de Dados do Usuário'!$E82&lt;'Entrada de Dados do Usuário'!$D82,IF(OR(AND(E$45&gt;('Entrada de Dados do Usuário'!$D82-1)),AND(E$45&lt;('Entrada de Dados do Usuário'!$E82+1))),'Entrada de Dados do Usuário'!$D72*'Entrada de Dados do Usuário'!$E72,0),IF(AND(AND(E$45&gt;('Entrada de Dados do Usuário'!$D82-1)),AND(E$45&lt;('Entrada de Dados do Usuário'!$E82+1))),'Entrada de Dados do Usuário'!$D72*'Entrada de Dados do Usuário'!$E72,0))</f>
        <v>0</v>
      </c>
      <c r="F47" s="4">
        <f>IF('Entrada de Dados do Usuário'!$E82&lt;'Entrada de Dados do Usuário'!$D82,IF(OR(AND(F$45&gt;('Entrada de Dados do Usuário'!$D82-1)),AND(F$45&lt;('Entrada de Dados do Usuário'!$E82+1))),'Entrada de Dados do Usuário'!$D72*'Entrada de Dados do Usuário'!$E72,0),IF(AND(AND(F$45&gt;('Entrada de Dados do Usuário'!$D82-1)),AND(F$45&lt;('Entrada de Dados do Usuário'!$E82+1))),'Entrada de Dados do Usuário'!$D72*'Entrada de Dados do Usuário'!$E72,0))</f>
        <v>0</v>
      </c>
      <c r="G47" s="4">
        <f>IF('Entrada de Dados do Usuário'!$E82&lt;'Entrada de Dados do Usuário'!$D82,IF(OR(AND(G$45&gt;('Entrada de Dados do Usuário'!$D82-1)),AND(G$45&lt;('Entrada de Dados do Usuário'!$E82+1))),'Entrada de Dados do Usuário'!$D72*'Entrada de Dados do Usuário'!$E72,0),IF(AND(AND(G$45&gt;('Entrada de Dados do Usuário'!$D82-1)),AND(G$45&lt;('Entrada de Dados do Usuário'!$E82+1))),'Entrada de Dados do Usuário'!$D72*'Entrada de Dados do Usuário'!$E72,0))</f>
        <v>0</v>
      </c>
      <c r="H47" s="4">
        <f>IF('Entrada de Dados do Usuário'!$E82&lt;'Entrada de Dados do Usuário'!$D82,IF(OR(AND(H$45&gt;('Entrada de Dados do Usuário'!$D82-1)),AND(H$45&lt;('Entrada de Dados do Usuário'!$E82+1))),'Entrada de Dados do Usuário'!$D72*'Entrada de Dados do Usuário'!$E72,0),IF(AND(AND(H$45&gt;('Entrada de Dados do Usuário'!$D82-1)),AND(H$45&lt;('Entrada de Dados do Usuário'!$E82+1))),'Entrada de Dados do Usuário'!$D72*'Entrada de Dados do Usuário'!$E72,0))</f>
        <v>0</v>
      </c>
      <c r="I47" s="4">
        <f>IF('Entrada de Dados do Usuário'!$E82&lt;'Entrada de Dados do Usuário'!$D82,IF(OR(AND(I$45&gt;('Entrada de Dados do Usuário'!$D82-1)),AND(I$45&lt;('Entrada de Dados do Usuário'!$E82+1))),'Entrada de Dados do Usuário'!$D72*'Entrada de Dados do Usuário'!$E72,0),IF(AND(AND(I$45&gt;('Entrada de Dados do Usuário'!$D82-1)),AND(I$45&lt;('Entrada de Dados do Usuário'!$E82+1))),'Entrada de Dados do Usuário'!$D72*'Entrada de Dados do Usuário'!$E72,0))</f>
        <v>0</v>
      </c>
      <c r="J47" s="4">
        <f>IF('Entrada de Dados do Usuário'!$E82&lt;'Entrada de Dados do Usuário'!$D82,IF(OR(AND(J$45&gt;('Entrada de Dados do Usuário'!$D82-1)),AND(J$45&lt;('Entrada de Dados do Usuário'!$E82+1))),'Entrada de Dados do Usuário'!$D72*'Entrada de Dados do Usuário'!$E72,0),IF(AND(AND(J$45&gt;('Entrada de Dados do Usuário'!$D82-1)),AND(J$45&lt;('Entrada de Dados do Usuário'!$E82+1))),'Entrada de Dados do Usuário'!$D72*'Entrada de Dados do Usuário'!$E72,0))</f>
        <v>0</v>
      </c>
      <c r="K47" s="4">
        <f>IF('Entrada de Dados do Usuário'!$E82&lt;'Entrada de Dados do Usuário'!$D82,IF(OR(AND(K$45&gt;('Entrada de Dados do Usuário'!$D82-1)),AND(K$45&lt;('Entrada de Dados do Usuário'!$E82+1))),'Entrada de Dados do Usuário'!$D72*'Entrada de Dados do Usuário'!$E72,0),IF(AND(AND(K$45&gt;('Entrada de Dados do Usuário'!$D82-1)),AND(K$45&lt;('Entrada de Dados do Usuário'!$E82+1))),'Entrada de Dados do Usuário'!$D72*'Entrada de Dados do Usuário'!$E72,0))</f>
        <v>0</v>
      </c>
      <c r="L47" s="4">
        <f>IF('Entrada de Dados do Usuário'!$E82&lt;'Entrada de Dados do Usuário'!$D82,IF(OR(AND(L$45&gt;('Entrada de Dados do Usuário'!$D82-1)),AND(L$45&lt;('Entrada de Dados do Usuário'!$E82+1))),'Entrada de Dados do Usuário'!$D72*'Entrada de Dados do Usuário'!$E72,0),IF(AND(AND(L$45&gt;('Entrada de Dados do Usuário'!$D82-1)),AND(L$45&lt;('Entrada de Dados do Usuário'!$E82+1))),'Entrada de Dados do Usuário'!$D72*'Entrada de Dados do Usuário'!$E72,0))</f>
        <v>0</v>
      </c>
      <c r="M47" s="4">
        <f>IF('Entrada de Dados do Usuário'!$E82&lt;'Entrada de Dados do Usuário'!$D82,IF(OR(AND(M$45&gt;('Entrada de Dados do Usuário'!$D82-1)),AND(M$45&lt;('Entrada de Dados do Usuário'!$E82+1))),'Entrada de Dados do Usuário'!$D72*'Entrada de Dados do Usuário'!$E72,0),IF(AND(AND(M$45&gt;('Entrada de Dados do Usuário'!$D82-1)),AND(M$45&lt;('Entrada de Dados do Usuário'!$E82+1))),'Entrada de Dados do Usuário'!$D72*'Entrada de Dados do Usuário'!$E72,0))</f>
        <v>0</v>
      </c>
      <c r="N47" s="4">
        <f>IF('Entrada de Dados do Usuário'!$E82&lt;'Entrada de Dados do Usuário'!$D82,IF(OR(AND(N$45&gt;('Entrada de Dados do Usuário'!$D82-1)),AND(N$45&lt;('Entrada de Dados do Usuário'!$E82+1))),'Entrada de Dados do Usuário'!$D72*'Entrada de Dados do Usuário'!$E72,0),IF(AND(AND(N$45&gt;('Entrada de Dados do Usuário'!$D82-1)),AND(N$45&lt;('Entrada de Dados do Usuário'!$E82+1))),'Entrada de Dados do Usuário'!$D72*'Entrada de Dados do Usuário'!$E72,0))</f>
        <v>0</v>
      </c>
      <c r="O47" s="4">
        <f>IF('Entrada de Dados do Usuário'!$E82&lt;'Entrada de Dados do Usuário'!$D82,IF(OR(AND(O$45&gt;('Entrada de Dados do Usuário'!$D82-1)),AND(O$45&lt;('Entrada de Dados do Usuário'!$E82+1))),'Entrada de Dados do Usuário'!$D72*'Entrada de Dados do Usuário'!$E72,0),IF(AND(AND(O$45&gt;('Entrada de Dados do Usuário'!$D82-1)),AND(O$45&lt;('Entrada de Dados do Usuário'!$E82+1))),'Entrada de Dados do Usuário'!$D72*'Entrada de Dados do Usuário'!$E72,0))</f>
        <v>0</v>
      </c>
      <c r="P47" s="4">
        <f>IF('Entrada de Dados do Usuário'!$E82&lt;'Entrada de Dados do Usuário'!$D82,IF(OR(AND(P$45&gt;('Entrada de Dados do Usuário'!$D82-1)),AND(P$45&lt;('Entrada de Dados do Usuário'!$E82+1))),'Entrada de Dados do Usuário'!$D72*'Entrada de Dados do Usuário'!$E72,0),IF(AND(AND(P$45&gt;('Entrada de Dados do Usuário'!$D82-1)),AND(P$45&lt;('Entrada de Dados do Usuário'!$E82+1))),'Entrada de Dados do Usuário'!$D72*'Entrada de Dados do Usuário'!$E72,0))</f>
        <v>0</v>
      </c>
      <c r="Q47" s="4">
        <f>IF('Entrada de Dados do Usuário'!$E82&lt;'Entrada de Dados do Usuário'!$D82,IF(OR(AND(Q$45&gt;('Entrada de Dados do Usuário'!$D82-1)),AND(Q$45&lt;('Entrada de Dados do Usuário'!$E82+1))),'Entrada de Dados do Usuário'!$D72*'Entrada de Dados do Usuário'!$E72,0),IF(AND(AND(Q$45&gt;('Entrada de Dados do Usuário'!$D82-1)),AND(Q$45&lt;('Entrada de Dados do Usuário'!$E82+1))),'Entrada de Dados do Usuário'!$D72*'Entrada de Dados do Usuário'!$E72,0))</f>
        <v>0</v>
      </c>
      <c r="R47" s="4">
        <f>IF('Entrada de Dados do Usuário'!$E82&lt;'Entrada de Dados do Usuário'!$D82,IF(OR(AND(R$45&gt;('Entrada de Dados do Usuário'!$D82-1)),AND(R$45&lt;('Entrada de Dados do Usuário'!$E82+1))),'Entrada de Dados do Usuário'!$D72*'Entrada de Dados do Usuário'!$E72,0),IF(AND(AND(R$45&gt;('Entrada de Dados do Usuário'!$D82-1)),AND(R$45&lt;('Entrada de Dados do Usuário'!$E82+1))),'Entrada de Dados do Usuário'!$D72*'Entrada de Dados do Usuário'!$E72,0))</f>
        <v>0</v>
      </c>
      <c r="S47" s="4">
        <f>IF('Entrada de Dados do Usuário'!$E82&lt;'Entrada de Dados do Usuário'!$D82,IF(OR(AND(S$45&gt;('Entrada de Dados do Usuário'!$D82-1)),AND(S$45&lt;('Entrada de Dados do Usuário'!$E82+1))),'Entrada de Dados do Usuário'!$D72*'Entrada de Dados do Usuário'!$E72,0),IF(AND(AND(S$45&gt;('Entrada de Dados do Usuário'!$D82-1)),AND(S$45&lt;('Entrada de Dados do Usuário'!$E82+1))),'Entrada de Dados do Usuário'!$D72*'Entrada de Dados do Usuário'!$E72,0))</f>
        <v>0</v>
      </c>
      <c r="T47" s="4">
        <f>IF('Entrada de Dados do Usuário'!$E82&lt;'Entrada de Dados do Usuário'!$D82,IF(OR(AND(T$45&gt;('Entrada de Dados do Usuário'!$D82-1)),AND(T$45&lt;('Entrada de Dados do Usuário'!$E82+1))),'Entrada de Dados do Usuário'!$D72*'Entrada de Dados do Usuário'!$E72,0),IF(AND(AND(T$45&gt;('Entrada de Dados do Usuário'!$D82-1)),AND(T$45&lt;('Entrada de Dados do Usuário'!$E82+1))),'Entrada de Dados do Usuário'!$D72*'Entrada de Dados do Usuário'!$E72,0))</f>
        <v>0</v>
      </c>
      <c r="U47" s="4">
        <f>IF('Entrada de Dados do Usuário'!$E82&lt;'Entrada de Dados do Usuário'!$D82,IF(OR(AND(U$45&gt;('Entrada de Dados do Usuário'!$D82-1)),AND(U$45&lt;('Entrada de Dados do Usuário'!$E82+1))),'Entrada de Dados do Usuário'!$D72*'Entrada de Dados do Usuário'!$E72,0),IF(AND(AND(U$45&gt;('Entrada de Dados do Usuário'!$D82-1)),AND(U$45&lt;('Entrada de Dados do Usuário'!$E82+1))),'Entrada de Dados do Usuário'!$D72*'Entrada de Dados do Usuário'!$E72,0))</f>
        <v>0</v>
      </c>
      <c r="V47" s="4">
        <f>IF('Entrada de Dados do Usuário'!$E82&lt;'Entrada de Dados do Usuário'!$D82,IF(OR(AND(V$45&gt;('Entrada de Dados do Usuário'!$D82-1)),AND(V$45&lt;('Entrada de Dados do Usuário'!$E82+1))),'Entrada de Dados do Usuário'!$D72*'Entrada de Dados do Usuário'!$E72,0),IF(AND(AND(V$45&gt;('Entrada de Dados do Usuário'!$D82-1)),AND(V$45&lt;('Entrada de Dados do Usuário'!$E82+1))),'Entrada de Dados do Usuário'!$D72*'Entrada de Dados do Usuário'!$E72,0))</f>
        <v>0</v>
      </c>
      <c r="W47" s="4">
        <f>IF('Entrada de Dados do Usuário'!$E82&lt;'Entrada de Dados do Usuário'!$D82,IF(OR(AND(W$45&gt;('Entrada de Dados do Usuário'!$D82-1)),AND(W$45&lt;('Entrada de Dados do Usuário'!$E82+1))),'Entrada de Dados do Usuário'!$D72*'Entrada de Dados do Usuário'!$E72,0),IF(AND(AND(W$45&gt;('Entrada de Dados do Usuário'!$D82-1)),AND(W$45&lt;('Entrada de Dados do Usuário'!$E82+1))),'Entrada de Dados do Usuário'!$D72*'Entrada de Dados do Usuário'!$E72,0))</f>
        <v>0</v>
      </c>
      <c r="X47" s="4">
        <f>IF('Entrada de Dados do Usuário'!$E82&lt;'Entrada de Dados do Usuário'!$D82,IF(OR(AND(X$45&gt;('Entrada de Dados do Usuário'!$D82-1)),AND(X$45&lt;('Entrada de Dados do Usuário'!$E82+1))),'Entrada de Dados do Usuário'!$D72*'Entrada de Dados do Usuário'!$E72,0),IF(AND(AND(X$45&gt;('Entrada de Dados do Usuário'!$D82-1)),AND(X$45&lt;('Entrada de Dados do Usuário'!$E82+1))),'Entrada de Dados do Usuário'!$D72*'Entrada de Dados do Usuário'!$E72,0))</f>
        <v>0</v>
      </c>
      <c r="Y47" s="4">
        <f>IF('Entrada de Dados do Usuário'!$E82&lt;'Entrada de Dados do Usuário'!$D82,IF(OR(AND(Y$45&gt;('Entrada de Dados do Usuário'!$D82-1)),AND(Y$45&lt;('Entrada de Dados do Usuário'!$E82+1))),'Entrada de Dados do Usuário'!$D72*'Entrada de Dados do Usuário'!$E72,0),IF(AND(AND(Y$45&gt;('Entrada de Dados do Usuário'!$D82-1)),AND(Y$45&lt;('Entrada de Dados do Usuário'!$E82+1))),'Entrada de Dados do Usuário'!$D72*'Entrada de Dados do Usuário'!$E72,0))</f>
        <v>0</v>
      </c>
      <c r="Z47" s="4">
        <f>IF('Entrada de Dados do Usuário'!$E82&lt;'Entrada de Dados do Usuário'!$D82,IF(OR(AND(Z$45&gt;('Entrada de Dados do Usuário'!$D82-1)),AND(Z$45&lt;('Entrada de Dados do Usuário'!$E82+1))),'Entrada de Dados do Usuário'!$D72*'Entrada de Dados do Usuário'!$E72,0),IF(AND(AND(Z$45&gt;('Entrada de Dados do Usuário'!$D82-1)),AND(Z$45&lt;('Entrada de Dados do Usuário'!$E82+1))),'Entrada de Dados do Usuário'!$D72*'Entrada de Dados do Usuário'!$E72,0))</f>
        <v>0</v>
      </c>
    </row>
    <row r="48" spans="1:26" ht="14.25">
      <c r="A48" s="9"/>
      <c r="B48" s="4">
        <f>'Entrada de Dados do Usuário'!C73</f>
        <v>0</v>
      </c>
      <c r="C48" s="4">
        <f>IF('Entrada de Dados do Usuário'!$E83&lt;'Entrada de Dados do Usuário'!$D83,IF(OR(AND(C$45&gt;('Entrada de Dados do Usuário'!$D83-1)),AND(C$45&lt;('Entrada de Dados do Usuário'!$E83+1))),'Entrada de Dados do Usuário'!$D73*'Entrada de Dados do Usuário'!$E73,0),IF(AND(AND(C$45&gt;('Entrada de Dados do Usuário'!$D83-1)),AND(C$45&lt;('Entrada de Dados do Usuário'!$E83+1))),'Entrada de Dados do Usuário'!$D73*'Entrada de Dados do Usuário'!$E73,0))</f>
        <v>0</v>
      </c>
      <c r="D48" s="4">
        <f>IF('Entrada de Dados do Usuário'!$E83&lt;'Entrada de Dados do Usuário'!$D83,IF(OR(AND(D$45&gt;('Entrada de Dados do Usuário'!$D83-1)),AND(D$45&lt;('Entrada de Dados do Usuário'!$E83+1))),'Entrada de Dados do Usuário'!$D73*'Entrada de Dados do Usuário'!$E73,0),IF(AND(AND(D$45&gt;('Entrada de Dados do Usuário'!$D83-1)),AND(D$45&lt;('Entrada de Dados do Usuário'!$E83+1))),'Entrada de Dados do Usuário'!$D73*'Entrada de Dados do Usuário'!$E73,0))</f>
        <v>0</v>
      </c>
      <c r="E48" s="4">
        <f>IF('Entrada de Dados do Usuário'!$E83&lt;'Entrada de Dados do Usuário'!$D83,IF(OR(AND(E$45&gt;('Entrada de Dados do Usuário'!$D83-1)),AND(E$45&lt;('Entrada de Dados do Usuário'!$E83+1))),'Entrada de Dados do Usuário'!$D73*'Entrada de Dados do Usuário'!$E73,0),IF(AND(AND(E$45&gt;('Entrada de Dados do Usuário'!$D83-1)),AND(E$45&lt;('Entrada de Dados do Usuário'!$E83+1))),'Entrada de Dados do Usuário'!$D73*'Entrada de Dados do Usuário'!$E73,0))</f>
        <v>0</v>
      </c>
      <c r="F48" s="4">
        <f>IF('Entrada de Dados do Usuário'!$E83&lt;'Entrada de Dados do Usuário'!$D83,IF(OR(AND(F$45&gt;('Entrada de Dados do Usuário'!$D83-1)),AND(F$45&lt;('Entrada de Dados do Usuário'!$E83+1))),'Entrada de Dados do Usuário'!$D73*'Entrada de Dados do Usuário'!$E73,0),IF(AND(AND(F$45&gt;('Entrada de Dados do Usuário'!$D83-1)),AND(F$45&lt;('Entrada de Dados do Usuário'!$E83+1))),'Entrada de Dados do Usuário'!$D73*'Entrada de Dados do Usuário'!$E73,0))</f>
        <v>0</v>
      </c>
      <c r="G48" s="4">
        <f>IF('Entrada de Dados do Usuário'!$E83&lt;'Entrada de Dados do Usuário'!$D83,IF(OR(AND(G$45&gt;('Entrada de Dados do Usuário'!$D83-1)),AND(G$45&lt;('Entrada de Dados do Usuário'!$E83+1))),'Entrada de Dados do Usuário'!$D73*'Entrada de Dados do Usuário'!$E73,0),IF(AND(AND(G$45&gt;('Entrada de Dados do Usuário'!$D83-1)),AND(G$45&lt;('Entrada de Dados do Usuário'!$E83+1))),'Entrada de Dados do Usuário'!$D73*'Entrada de Dados do Usuário'!$E73,0))</f>
        <v>0</v>
      </c>
      <c r="H48" s="4">
        <f>IF('Entrada de Dados do Usuário'!$E83&lt;'Entrada de Dados do Usuário'!$D83,IF(OR(AND(H$45&gt;('Entrada de Dados do Usuário'!$D83-1)),AND(H$45&lt;('Entrada de Dados do Usuário'!$E83+1))),'Entrada de Dados do Usuário'!$D73*'Entrada de Dados do Usuário'!$E73,0),IF(AND(AND(H$45&gt;('Entrada de Dados do Usuário'!$D83-1)),AND(H$45&lt;('Entrada de Dados do Usuário'!$E83+1))),'Entrada de Dados do Usuário'!$D73*'Entrada de Dados do Usuário'!$E73,0))</f>
        <v>0</v>
      </c>
      <c r="I48" s="4">
        <f>IF('Entrada de Dados do Usuário'!$E83&lt;'Entrada de Dados do Usuário'!$D83,IF(OR(AND(I$45&gt;('Entrada de Dados do Usuário'!$D83-1)),AND(I$45&lt;('Entrada de Dados do Usuário'!$E83+1))),'Entrada de Dados do Usuário'!$D73*'Entrada de Dados do Usuário'!$E73,0),IF(AND(AND(I$45&gt;('Entrada de Dados do Usuário'!$D83-1)),AND(I$45&lt;('Entrada de Dados do Usuário'!$E83+1))),'Entrada de Dados do Usuário'!$D73*'Entrada de Dados do Usuário'!$E73,0))</f>
        <v>0</v>
      </c>
      <c r="J48" s="4">
        <f>IF('Entrada de Dados do Usuário'!$E83&lt;'Entrada de Dados do Usuário'!$D83,IF(OR(AND(J$45&gt;('Entrada de Dados do Usuário'!$D83-1)),AND(J$45&lt;('Entrada de Dados do Usuário'!$E83+1))),'Entrada de Dados do Usuário'!$D73*'Entrada de Dados do Usuário'!$E73,0),IF(AND(AND(J$45&gt;('Entrada de Dados do Usuário'!$D83-1)),AND(J$45&lt;('Entrada de Dados do Usuário'!$E83+1))),'Entrada de Dados do Usuário'!$D73*'Entrada de Dados do Usuário'!$E73,0))</f>
        <v>0</v>
      </c>
      <c r="K48" s="4">
        <f>IF('Entrada de Dados do Usuário'!$E83&lt;'Entrada de Dados do Usuário'!$D83,IF(OR(AND(K$45&gt;('Entrada de Dados do Usuário'!$D83-1)),AND(K$45&lt;('Entrada de Dados do Usuário'!$E83+1))),'Entrada de Dados do Usuário'!$D73*'Entrada de Dados do Usuário'!$E73,0),IF(AND(AND(K$45&gt;('Entrada de Dados do Usuário'!$D83-1)),AND(K$45&lt;('Entrada de Dados do Usuário'!$E83+1))),'Entrada de Dados do Usuário'!$D73*'Entrada de Dados do Usuário'!$E73,0))</f>
        <v>0</v>
      </c>
      <c r="L48" s="4">
        <f>IF('Entrada de Dados do Usuário'!$E83&lt;'Entrada de Dados do Usuário'!$D83,IF(OR(AND(L$45&gt;('Entrada de Dados do Usuário'!$D83-1)),AND(L$45&lt;('Entrada de Dados do Usuário'!$E83+1))),'Entrada de Dados do Usuário'!$D73*'Entrada de Dados do Usuário'!$E73,0),IF(AND(AND(L$45&gt;('Entrada de Dados do Usuário'!$D83-1)),AND(L$45&lt;('Entrada de Dados do Usuário'!$E83+1))),'Entrada de Dados do Usuário'!$D73*'Entrada de Dados do Usuário'!$E73,0))</f>
        <v>0</v>
      </c>
      <c r="M48" s="4">
        <f>IF('Entrada de Dados do Usuário'!$E83&lt;'Entrada de Dados do Usuário'!$D83,IF(OR(AND(M$45&gt;('Entrada de Dados do Usuário'!$D83-1)),AND(M$45&lt;('Entrada de Dados do Usuário'!$E83+1))),'Entrada de Dados do Usuário'!$D73*'Entrada de Dados do Usuário'!$E73,0),IF(AND(AND(M$45&gt;('Entrada de Dados do Usuário'!$D83-1)),AND(M$45&lt;('Entrada de Dados do Usuário'!$E83+1))),'Entrada de Dados do Usuário'!$D73*'Entrada de Dados do Usuário'!$E73,0))</f>
        <v>0</v>
      </c>
      <c r="N48" s="4">
        <f>IF('Entrada de Dados do Usuário'!$E83&lt;'Entrada de Dados do Usuário'!$D83,IF(OR(AND(N$45&gt;('Entrada de Dados do Usuário'!$D83-1)),AND(N$45&lt;('Entrada de Dados do Usuário'!$E83+1))),'Entrada de Dados do Usuário'!$D73*'Entrada de Dados do Usuário'!$E73,0),IF(AND(AND(N$45&gt;('Entrada de Dados do Usuário'!$D83-1)),AND(N$45&lt;('Entrada de Dados do Usuário'!$E83+1))),'Entrada de Dados do Usuário'!$D73*'Entrada de Dados do Usuário'!$E73,0))</f>
        <v>0</v>
      </c>
      <c r="O48" s="4">
        <f>IF('Entrada de Dados do Usuário'!$E83&lt;'Entrada de Dados do Usuário'!$D83,IF(OR(AND(O$45&gt;('Entrada de Dados do Usuário'!$D83-1)),AND(O$45&lt;('Entrada de Dados do Usuário'!$E83+1))),'Entrada de Dados do Usuário'!$D73*'Entrada de Dados do Usuário'!$E73,0),IF(AND(AND(O$45&gt;('Entrada de Dados do Usuário'!$D83-1)),AND(O$45&lt;('Entrada de Dados do Usuário'!$E83+1))),'Entrada de Dados do Usuário'!$D73*'Entrada de Dados do Usuário'!$E73,0))</f>
        <v>0</v>
      </c>
      <c r="P48" s="4">
        <f>IF('Entrada de Dados do Usuário'!$E83&lt;'Entrada de Dados do Usuário'!$D83,IF(OR(AND(P$45&gt;('Entrada de Dados do Usuário'!$D83-1)),AND(P$45&lt;('Entrada de Dados do Usuário'!$E83+1))),'Entrada de Dados do Usuário'!$D73*'Entrada de Dados do Usuário'!$E73,0),IF(AND(AND(P$45&gt;('Entrada de Dados do Usuário'!$D83-1)),AND(P$45&lt;('Entrada de Dados do Usuário'!$E83+1))),'Entrada de Dados do Usuário'!$D73*'Entrada de Dados do Usuário'!$E73,0))</f>
        <v>0</v>
      </c>
      <c r="Q48" s="4">
        <f>IF('Entrada de Dados do Usuário'!$E83&lt;'Entrada de Dados do Usuário'!$D83,IF(OR(AND(Q$45&gt;('Entrada de Dados do Usuário'!$D83-1)),AND(Q$45&lt;('Entrada de Dados do Usuário'!$E83+1))),'Entrada de Dados do Usuário'!$D73*'Entrada de Dados do Usuário'!$E73,0),IF(AND(AND(Q$45&gt;('Entrada de Dados do Usuário'!$D83-1)),AND(Q$45&lt;('Entrada de Dados do Usuário'!$E83+1))),'Entrada de Dados do Usuário'!$D73*'Entrada de Dados do Usuário'!$E73,0))</f>
        <v>0</v>
      </c>
      <c r="R48" s="4">
        <f>IF('Entrada de Dados do Usuário'!$E83&lt;'Entrada de Dados do Usuário'!$D83,IF(OR(AND(R$45&gt;('Entrada de Dados do Usuário'!$D83-1)),AND(R$45&lt;('Entrada de Dados do Usuário'!$E83+1))),'Entrada de Dados do Usuário'!$D73*'Entrada de Dados do Usuário'!$E73,0),IF(AND(AND(R$45&gt;('Entrada de Dados do Usuário'!$D83-1)),AND(R$45&lt;('Entrada de Dados do Usuário'!$E83+1))),'Entrada de Dados do Usuário'!$D73*'Entrada de Dados do Usuário'!$E73,0))</f>
        <v>0</v>
      </c>
      <c r="S48" s="4">
        <f>IF('Entrada de Dados do Usuário'!$E83&lt;'Entrada de Dados do Usuário'!$D83,IF(OR(AND(S$45&gt;('Entrada de Dados do Usuário'!$D83-1)),AND(S$45&lt;('Entrada de Dados do Usuário'!$E83+1))),'Entrada de Dados do Usuário'!$D73*'Entrada de Dados do Usuário'!$E73,0),IF(AND(AND(S$45&gt;('Entrada de Dados do Usuário'!$D83-1)),AND(S$45&lt;('Entrada de Dados do Usuário'!$E83+1))),'Entrada de Dados do Usuário'!$D73*'Entrada de Dados do Usuário'!$E73,0))</f>
        <v>0</v>
      </c>
      <c r="T48" s="4">
        <f>IF('Entrada de Dados do Usuário'!$E83&lt;'Entrada de Dados do Usuário'!$D83,IF(OR(AND(T$45&gt;('Entrada de Dados do Usuário'!$D83-1)),AND(T$45&lt;('Entrada de Dados do Usuário'!$E83+1))),'Entrada de Dados do Usuário'!$D73*'Entrada de Dados do Usuário'!$E73,0),IF(AND(AND(T$45&gt;('Entrada de Dados do Usuário'!$D83-1)),AND(T$45&lt;('Entrada de Dados do Usuário'!$E83+1))),'Entrada de Dados do Usuário'!$D73*'Entrada de Dados do Usuário'!$E73,0))</f>
        <v>0</v>
      </c>
      <c r="U48" s="4">
        <f>IF('Entrada de Dados do Usuário'!$E83&lt;'Entrada de Dados do Usuário'!$D83,IF(OR(AND(U$45&gt;('Entrada de Dados do Usuário'!$D83-1)),AND(U$45&lt;('Entrada de Dados do Usuário'!$E83+1))),'Entrada de Dados do Usuário'!$D73*'Entrada de Dados do Usuário'!$E73,0),IF(AND(AND(U$45&gt;('Entrada de Dados do Usuário'!$D83-1)),AND(U$45&lt;('Entrada de Dados do Usuário'!$E83+1))),'Entrada de Dados do Usuário'!$D73*'Entrada de Dados do Usuário'!$E73,0))</f>
        <v>0</v>
      </c>
      <c r="V48" s="4">
        <f>IF('Entrada de Dados do Usuário'!$E83&lt;'Entrada de Dados do Usuário'!$D83,IF(OR(AND(V$45&gt;('Entrada de Dados do Usuário'!$D83-1)),AND(V$45&lt;('Entrada de Dados do Usuário'!$E83+1))),'Entrada de Dados do Usuário'!$D73*'Entrada de Dados do Usuário'!$E73,0),IF(AND(AND(V$45&gt;('Entrada de Dados do Usuário'!$D83-1)),AND(V$45&lt;('Entrada de Dados do Usuário'!$E83+1))),'Entrada de Dados do Usuário'!$D73*'Entrada de Dados do Usuário'!$E73,0))</f>
        <v>0</v>
      </c>
      <c r="W48" s="4">
        <f>IF('Entrada de Dados do Usuário'!$E83&lt;'Entrada de Dados do Usuário'!$D83,IF(OR(AND(W$45&gt;('Entrada de Dados do Usuário'!$D83-1)),AND(W$45&lt;('Entrada de Dados do Usuário'!$E83+1))),'Entrada de Dados do Usuário'!$D73*'Entrada de Dados do Usuário'!$E73,0),IF(AND(AND(W$45&gt;('Entrada de Dados do Usuário'!$D83-1)),AND(W$45&lt;('Entrada de Dados do Usuário'!$E83+1))),'Entrada de Dados do Usuário'!$D73*'Entrada de Dados do Usuário'!$E73,0))</f>
        <v>0</v>
      </c>
      <c r="X48" s="4">
        <f>IF('Entrada de Dados do Usuário'!$E83&lt;'Entrada de Dados do Usuário'!$D83,IF(OR(AND(X$45&gt;('Entrada de Dados do Usuário'!$D83-1)),AND(X$45&lt;('Entrada de Dados do Usuário'!$E83+1))),'Entrada de Dados do Usuário'!$D73*'Entrada de Dados do Usuário'!$E73,0),IF(AND(AND(X$45&gt;('Entrada de Dados do Usuário'!$D83-1)),AND(X$45&lt;('Entrada de Dados do Usuário'!$E83+1))),'Entrada de Dados do Usuário'!$D73*'Entrada de Dados do Usuário'!$E73,0))</f>
        <v>0</v>
      </c>
      <c r="Y48" s="4">
        <f>IF('Entrada de Dados do Usuário'!$E83&lt;'Entrada de Dados do Usuário'!$D83,IF(OR(AND(Y$45&gt;('Entrada de Dados do Usuário'!$D83-1)),AND(Y$45&lt;('Entrada de Dados do Usuário'!$E83+1))),'Entrada de Dados do Usuário'!$D73*'Entrada de Dados do Usuário'!$E73,0),IF(AND(AND(Y$45&gt;('Entrada de Dados do Usuário'!$D83-1)),AND(Y$45&lt;('Entrada de Dados do Usuário'!$E83+1))),'Entrada de Dados do Usuário'!$D73*'Entrada de Dados do Usuário'!$E73,0))</f>
        <v>0</v>
      </c>
      <c r="Z48" s="4">
        <f>IF('Entrada de Dados do Usuário'!$E83&lt;'Entrada de Dados do Usuário'!$D83,IF(OR(AND(Z$45&gt;('Entrada de Dados do Usuário'!$D83-1)),AND(Z$45&lt;('Entrada de Dados do Usuário'!$E83+1))),'Entrada de Dados do Usuário'!$D73*'Entrada de Dados do Usuário'!$E73,0),IF(AND(AND(Z$45&gt;('Entrada de Dados do Usuário'!$D83-1)),AND(Z$45&lt;('Entrada de Dados do Usuário'!$E83+1))),'Entrada de Dados do Usuário'!$D73*'Entrada de Dados do Usuário'!$E73,0))</f>
        <v>0</v>
      </c>
    </row>
    <row r="49" spans="1:26" ht="14.25">
      <c r="A49" s="9"/>
      <c r="B49" s="4">
        <f>'Entrada de Dados do Usuário'!C74</f>
        <v>0</v>
      </c>
      <c r="C49" s="4">
        <f>IF('Entrada de Dados do Usuário'!$E84&lt;'Entrada de Dados do Usuário'!$D84,IF(OR(AND(C$45&gt;('Entrada de Dados do Usuário'!$D84-1)),AND(C$45&lt;('Entrada de Dados do Usuário'!$E84+1))),'Entrada de Dados do Usuário'!$D74*'Entrada de Dados do Usuário'!$E74,0),IF(AND(AND(C$45&gt;('Entrada de Dados do Usuário'!$D84-1)),AND(C$45&lt;('Entrada de Dados do Usuário'!$E84+1))),'Entrada de Dados do Usuário'!$D74*'Entrada de Dados do Usuário'!$E74,0))</f>
        <v>0</v>
      </c>
      <c r="D49" s="4">
        <f>IF('Entrada de Dados do Usuário'!$E84&lt;'Entrada de Dados do Usuário'!$D84,IF(OR(AND(D$45&gt;('Entrada de Dados do Usuário'!$D84-1)),AND(D$45&lt;('Entrada de Dados do Usuário'!$E84+1))),'Entrada de Dados do Usuário'!$D74*'Entrada de Dados do Usuário'!$E74,0),IF(AND(AND(D$45&gt;('Entrada de Dados do Usuário'!$D84-1)),AND(D$45&lt;('Entrada de Dados do Usuário'!$E84+1))),'Entrada de Dados do Usuário'!$D74*'Entrada de Dados do Usuário'!$E74,0))</f>
        <v>0</v>
      </c>
      <c r="E49" s="4">
        <f>IF('Entrada de Dados do Usuário'!$E84&lt;'Entrada de Dados do Usuário'!$D84,IF(OR(AND(E$45&gt;('Entrada de Dados do Usuário'!$D84-1)),AND(E$45&lt;('Entrada de Dados do Usuário'!$E84+1))),'Entrada de Dados do Usuário'!$D74*'Entrada de Dados do Usuário'!$E74,0),IF(AND(AND(E$45&gt;('Entrada de Dados do Usuário'!$D84-1)),AND(E$45&lt;('Entrada de Dados do Usuário'!$E84+1))),'Entrada de Dados do Usuário'!$D74*'Entrada de Dados do Usuário'!$E74,0))</f>
        <v>0</v>
      </c>
      <c r="F49" s="4">
        <f>IF('Entrada de Dados do Usuário'!$E84&lt;'Entrada de Dados do Usuário'!$D84,IF(OR(AND(F$45&gt;('Entrada de Dados do Usuário'!$D84-1)),AND(F$45&lt;('Entrada de Dados do Usuário'!$E84+1))),'Entrada de Dados do Usuário'!$D74*'Entrada de Dados do Usuário'!$E74,0),IF(AND(AND(F$45&gt;('Entrada de Dados do Usuário'!$D84-1)),AND(F$45&lt;('Entrada de Dados do Usuário'!$E84+1))),'Entrada de Dados do Usuário'!$D74*'Entrada de Dados do Usuário'!$E74,0))</f>
        <v>0</v>
      </c>
      <c r="G49" s="4">
        <f>IF('Entrada de Dados do Usuário'!$E84&lt;'Entrada de Dados do Usuário'!$D84,IF(OR(AND(G$45&gt;('Entrada de Dados do Usuário'!$D84-1)),AND(G$45&lt;('Entrada de Dados do Usuário'!$E84+1))),'Entrada de Dados do Usuário'!$D74*'Entrada de Dados do Usuário'!$E74,0),IF(AND(AND(G$45&gt;('Entrada de Dados do Usuário'!$D84-1)),AND(G$45&lt;('Entrada de Dados do Usuário'!$E84+1))),'Entrada de Dados do Usuário'!$D74*'Entrada de Dados do Usuário'!$E74,0))</f>
        <v>0</v>
      </c>
      <c r="H49" s="4">
        <f>IF('Entrada de Dados do Usuário'!$E84&lt;'Entrada de Dados do Usuário'!$D84,IF(OR(AND(H$45&gt;('Entrada de Dados do Usuário'!$D84-1)),AND(H$45&lt;('Entrada de Dados do Usuário'!$E84+1))),'Entrada de Dados do Usuário'!$D74*'Entrada de Dados do Usuário'!$E74,0),IF(AND(AND(H$45&gt;('Entrada de Dados do Usuário'!$D84-1)),AND(H$45&lt;('Entrada de Dados do Usuário'!$E84+1))),'Entrada de Dados do Usuário'!$D74*'Entrada de Dados do Usuário'!$E74,0))</f>
        <v>0</v>
      </c>
      <c r="I49" s="4">
        <f>IF('Entrada de Dados do Usuário'!$E84&lt;'Entrada de Dados do Usuário'!$D84,IF(OR(AND(I$45&gt;('Entrada de Dados do Usuário'!$D84-1)),AND(I$45&lt;('Entrada de Dados do Usuário'!$E84+1))),'Entrada de Dados do Usuário'!$D74*'Entrada de Dados do Usuário'!$E74,0),IF(AND(AND(I$45&gt;('Entrada de Dados do Usuário'!$D84-1)),AND(I$45&lt;('Entrada de Dados do Usuário'!$E84+1))),'Entrada de Dados do Usuário'!$D74*'Entrada de Dados do Usuário'!$E74,0))</f>
        <v>0</v>
      </c>
      <c r="J49" s="4">
        <f>IF('Entrada de Dados do Usuário'!$E84&lt;'Entrada de Dados do Usuário'!$D84,IF(OR(AND(J$45&gt;('Entrada de Dados do Usuário'!$D84-1)),AND(J$45&lt;('Entrada de Dados do Usuário'!$E84+1))),'Entrada de Dados do Usuário'!$D74*'Entrada de Dados do Usuário'!$E74,0),IF(AND(AND(J$45&gt;('Entrada de Dados do Usuário'!$D84-1)),AND(J$45&lt;('Entrada de Dados do Usuário'!$E84+1))),'Entrada de Dados do Usuário'!$D74*'Entrada de Dados do Usuário'!$E74,0))</f>
        <v>0</v>
      </c>
      <c r="K49" s="4">
        <f>IF('Entrada de Dados do Usuário'!$E84&lt;'Entrada de Dados do Usuário'!$D84,IF(OR(AND(K$45&gt;('Entrada de Dados do Usuário'!$D84-1)),AND(K$45&lt;('Entrada de Dados do Usuário'!$E84+1))),'Entrada de Dados do Usuário'!$D74*'Entrada de Dados do Usuário'!$E74,0),IF(AND(AND(K$45&gt;('Entrada de Dados do Usuário'!$D84-1)),AND(K$45&lt;('Entrada de Dados do Usuário'!$E84+1))),'Entrada de Dados do Usuário'!$D74*'Entrada de Dados do Usuário'!$E74,0))</f>
        <v>0</v>
      </c>
      <c r="L49" s="4">
        <f>IF('Entrada de Dados do Usuário'!$E84&lt;'Entrada de Dados do Usuário'!$D84,IF(OR(AND(L$45&gt;('Entrada de Dados do Usuário'!$D84-1)),AND(L$45&lt;('Entrada de Dados do Usuário'!$E84+1))),'Entrada de Dados do Usuário'!$D74*'Entrada de Dados do Usuário'!$E74,0),IF(AND(AND(L$45&gt;('Entrada de Dados do Usuário'!$D84-1)),AND(L$45&lt;('Entrada de Dados do Usuário'!$E84+1))),'Entrada de Dados do Usuário'!$D74*'Entrada de Dados do Usuário'!$E74,0))</f>
        <v>0</v>
      </c>
      <c r="M49" s="4">
        <f>IF('Entrada de Dados do Usuário'!$E84&lt;'Entrada de Dados do Usuário'!$D84,IF(OR(AND(M$45&gt;('Entrada de Dados do Usuário'!$D84-1)),AND(M$45&lt;('Entrada de Dados do Usuário'!$E84+1))),'Entrada de Dados do Usuário'!$D74*'Entrada de Dados do Usuário'!$E74,0),IF(AND(AND(M$45&gt;('Entrada de Dados do Usuário'!$D84-1)),AND(M$45&lt;('Entrada de Dados do Usuário'!$E84+1))),'Entrada de Dados do Usuário'!$D74*'Entrada de Dados do Usuário'!$E74,0))</f>
        <v>0</v>
      </c>
      <c r="N49" s="4">
        <f>IF('Entrada de Dados do Usuário'!$E84&lt;'Entrada de Dados do Usuário'!$D84,IF(OR(AND(N$45&gt;('Entrada de Dados do Usuário'!$D84-1)),AND(N$45&lt;('Entrada de Dados do Usuário'!$E84+1))),'Entrada de Dados do Usuário'!$D74*'Entrada de Dados do Usuário'!$E74,0),IF(AND(AND(N$45&gt;('Entrada de Dados do Usuário'!$D84-1)),AND(N$45&lt;('Entrada de Dados do Usuário'!$E84+1))),'Entrada de Dados do Usuário'!$D74*'Entrada de Dados do Usuário'!$E74,0))</f>
        <v>0</v>
      </c>
      <c r="O49" s="4">
        <f>IF('Entrada de Dados do Usuário'!$E84&lt;'Entrada de Dados do Usuário'!$D84,IF(OR(AND(O$45&gt;('Entrada de Dados do Usuário'!$D84-1)),AND(O$45&lt;('Entrada de Dados do Usuário'!$E84+1))),'Entrada de Dados do Usuário'!$D74*'Entrada de Dados do Usuário'!$E74,0),IF(AND(AND(O$45&gt;('Entrada de Dados do Usuário'!$D84-1)),AND(O$45&lt;('Entrada de Dados do Usuário'!$E84+1))),'Entrada de Dados do Usuário'!$D74*'Entrada de Dados do Usuário'!$E74,0))</f>
        <v>0</v>
      </c>
      <c r="P49" s="4">
        <f>IF('Entrada de Dados do Usuário'!$E84&lt;'Entrada de Dados do Usuário'!$D84,IF(OR(AND(P$45&gt;('Entrada de Dados do Usuário'!$D84-1)),AND(P$45&lt;('Entrada de Dados do Usuário'!$E84+1))),'Entrada de Dados do Usuário'!$D74*'Entrada de Dados do Usuário'!$E74,0),IF(AND(AND(P$45&gt;('Entrada de Dados do Usuário'!$D84-1)),AND(P$45&lt;('Entrada de Dados do Usuário'!$E84+1))),'Entrada de Dados do Usuário'!$D74*'Entrada de Dados do Usuário'!$E74,0))</f>
        <v>0</v>
      </c>
      <c r="Q49" s="4">
        <f>IF('Entrada de Dados do Usuário'!$E84&lt;'Entrada de Dados do Usuário'!$D84,IF(OR(AND(Q$45&gt;('Entrada de Dados do Usuário'!$D84-1)),AND(Q$45&lt;('Entrada de Dados do Usuário'!$E84+1))),'Entrada de Dados do Usuário'!$D74*'Entrada de Dados do Usuário'!$E74,0),IF(AND(AND(Q$45&gt;('Entrada de Dados do Usuário'!$D84-1)),AND(Q$45&lt;('Entrada de Dados do Usuário'!$E84+1))),'Entrada de Dados do Usuário'!$D74*'Entrada de Dados do Usuário'!$E74,0))</f>
        <v>0</v>
      </c>
      <c r="R49" s="4">
        <f>IF('Entrada de Dados do Usuário'!$E84&lt;'Entrada de Dados do Usuário'!$D84,IF(OR(AND(R$45&gt;('Entrada de Dados do Usuário'!$D84-1)),AND(R$45&lt;('Entrada de Dados do Usuário'!$E84+1))),'Entrada de Dados do Usuário'!$D74*'Entrada de Dados do Usuário'!$E74,0),IF(AND(AND(R$45&gt;('Entrada de Dados do Usuário'!$D84-1)),AND(R$45&lt;('Entrada de Dados do Usuário'!$E84+1))),'Entrada de Dados do Usuário'!$D74*'Entrada de Dados do Usuário'!$E74,0))</f>
        <v>0</v>
      </c>
      <c r="S49" s="4">
        <f>IF('Entrada de Dados do Usuário'!$E84&lt;'Entrada de Dados do Usuário'!$D84,IF(OR(AND(S$45&gt;('Entrada de Dados do Usuário'!$D84-1)),AND(S$45&lt;('Entrada de Dados do Usuário'!$E84+1))),'Entrada de Dados do Usuário'!$D74*'Entrada de Dados do Usuário'!$E74,0),IF(AND(AND(S$45&gt;('Entrada de Dados do Usuário'!$D84-1)),AND(S$45&lt;('Entrada de Dados do Usuário'!$E84+1))),'Entrada de Dados do Usuário'!$D74*'Entrada de Dados do Usuário'!$E74,0))</f>
        <v>0</v>
      </c>
      <c r="T49" s="4">
        <f>IF('Entrada de Dados do Usuário'!$E84&lt;'Entrada de Dados do Usuário'!$D84,IF(OR(AND(T$45&gt;('Entrada de Dados do Usuário'!$D84-1)),AND(T$45&lt;('Entrada de Dados do Usuário'!$E84+1))),'Entrada de Dados do Usuário'!$D74*'Entrada de Dados do Usuário'!$E74,0),IF(AND(AND(T$45&gt;('Entrada de Dados do Usuário'!$D84-1)),AND(T$45&lt;('Entrada de Dados do Usuário'!$E84+1))),'Entrada de Dados do Usuário'!$D74*'Entrada de Dados do Usuário'!$E74,0))</f>
        <v>0</v>
      </c>
      <c r="U49" s="4">
        <f>IF('Entrada de Dados do Usuário'!$E84&lt;'Entrada de Dados do Usuário'!$D84,IF(OR(AND(U$45&gt;('Entrada de Dados do Usuário'!$D84-1)),AND(U$45&lt;('Entrada de Dados do Usuário'!$E84+1))),'Entrada de Dados do Usuário'!$D74*'Entrada de Dados do Usuário'!$E74,0),IF(AND(AND(U$45&gt;('Entrada de Dados do Usuário'!$D84-1)),AND(U$45&lt;('Entrada de Dados do Usuário'!$E84+1))),'Entrada de Dados do Usuário'!$D74*'Entrada de Dados do Usuário'!$E74,0))</f>
        <v>0</v>
      </c>
      <c r="V49" s="4">
        <f>IF('Entrada de Dados do Usuário'!$E84&lt;'Entrada de Dados do Usuário'!$D84,IF(OR(AND(V$45&gt;('Entrada de Dados do Usuário'!$D84-1)),AND(V$45&lt;('Entrada de Dados do Usuário'!$E84+1))),'Entrada de Dados do Usuário'!$D74*'Entrada de Dados do Usuário'!$E74,0),IF(AND(AND(V$45&gt;('Entrada de Dados do Usuário'!$D84-1)),AND(V$45&lt;('Entrada de Dados do Usuário'!$E84+1))),'Entrada de Dados do Usuário'!$D74*'Entrada de Dados do Usuário'!$E74,0))</f>
        <v>0</v>
      </c>
      <c r="W49" s="4">
        <f>IF('Entrada de Dados do Usuário'!$E84&lt;'Entrada de Dados do Usuário'!$D84,IF(OR(AND(W$45&gt;('Entrada de Dados do Usuário'!$D84-1)),AND(W$45&lt;('Entrada de Dados do Usuário'!$E84+1))),'Entrada de Dados do Usuário'!$D74*'Entrada de Dados do Usuário'!$E74,0),IF(AND(AND(W$45&gt;('Entrada de Dados do Usuário'!$D84-1)),AND(W$45&lt;('Entrada de Dados do Usuário'!$E84+1))),'Entrada de Dados do Usuário'!$D74*'Entrada de Dados do Usuário'!$E74,0))</f>
        <v>0</v>
      </c>
      <c r="X49" s="4">
        <f>IF('Entrada de Dados do Usuário'!$E84&lt;'Entrada de Dados do Usuário'!$D84,IF(OR(AND(X$45&gt;('Entrada de Dados do Usuário'!$D84-1)),AND(X$45&lt;('Entrada de Dados do Usuário'!$E84+1))),'Entrada de Dados do Usuário'!$D74*'Entrada de Dados do Usuário'!$E74,0),IF(AND(AND(X$45&gt;('Entrada de Dados do Usuário'!$D84-1)),AND(X$45&lt;('Entrada de Dados do Usuário'!$E84+1))),'Entrada de Dados do Usuário'!$D74*'Entrada de Dados do Usuário'!$E74,0))</f>
        <v>0</v>
      </c>
      <c r="Y49" s="4">
        <f>IF('Entrada de Dados do Usuário'!$E84&lt;'Entrada de Dados do Usuário'!$D84,IF(OR(AND(Y$45&gt;('Entrada de Dados do Usuário'!$D84-1)),AND(Y$45&lt;('Entrada de Dados do Usuário'!$E84+1))),'Entrada de Dados do Usuário'!$D74*'Entrada de Dados do Usuário'!$E74,0),IF(AND(AND(Y$45&gt;('Entrada de Dados do Usuário'!$D84-1)),AND(Y$45&lt;('Entrada de Dados do Usuário'!$E84+1))),'Entrada de Dados do Usuário'!$D74*'Entrada de Dados do Usuário'!$E74,0))</f>
        <v>0</v>
      </c>
      <c r="Z49" s="4">
        <f>IF('Entrada de Dados do Usuário'!$E84&lt;'Entrada de Dados do Usuário'!$D84,IF(OR(AND(Z$45&gt;('Entrada de Dados do Usuário'!$D84-1)),AND(Z$45&lt;('Entrada de Dados do Usuário'!$E84+1))),'Entrada de Dados do Usuário'!$D74*'Entrada de Dados do Usuário'!$E74,0),IF(AND(AND(Z$45&gt;('Entrada de Dados do Usuário'!$D84-1)),AND(Z$45&lt;('Entrada de Dados do Usuário'!$E84+1))),'Entrada de Dados do Usuário'!$D74*'Entrada de Dados do Usuário'!$E74,0))</f>
        <v>0</v>
      </c>
    </row>
    <row r="50" spans="1:26" ht="14.25">
      <c r="A50" s="9"/>
      <c r="B50" s="4">
        <f>'Entrada de Dados do Usuário'!C75</f>
        <v>0</v>
      </c>
      <c r="C50" s="4">
        <f>IF('Entrada de Dados do Usuário'!$E85&lt;'Entrada de Dados do Usuário'!$D85,IF(OR(AND(C$45&gt;('Entrada de Dados do Usuário'!$D85-1)),AND(C$45&lt;('Entrada de Dados do Usuário'!$E85+1))),'Entrada de Dados do Usuário'!$D75*'Entrada de Dados do Usuário'!$E75,0),IF(AND(AND(C$45&gt;('Entrada de Dados do Usuário'!$D85-1)),AND(C$45&lt;('Entrada de Dados do Usuário'!$E85+1))),'Entrada de Dados do Usuário'!$D75*'Entrada de Dados do Usuário'!$E75,0))</f>
        <v>0</v>
      </c>
      <c r="D50" s="4">
        <f>IF('Entrada de Dados do Usuário'!$E85&lt;'Entrada de Dados do Usuário'!$D85,IF(OR(AND(D$45&gt;('Entrada de Dados do Usuário'!$D85-1)),AND(D$45&lt;('Entrada de Dados do Usuário'!$E85+1))),'Entrada de Dados do Usuário'!$D75*'Entrada de Dados do Usuário'!$E75,0),IF(AND(AND(D$45&gt;('Entrada de Dados do Usuário'!$D85-1)),AND(D$45&lt;('Entrada de Dados do Usuário'!$E85+1))),'Entrada de Dados do Usuário'!$D75*'Entrada de Dados do Usuário'!$E75,0))</f>
        <v>0</v>
      </c>
      <c r="E50" s="4">
        <f>IF('Entrada de Dados do Usuário'!$E85&lt;'Entrada de Dados do Usuário'!$D85,IF(OR(AND(E$45&gt;('Entrada de Dados do Usuário'!$D85-1)),AND(E$45&lt;('Entrada de Dados do Usuário'!$E85+1))),'Entrada de Dados do Usuário'!$D75*'Entrada de Dados do Usuário'!$E75,0),IF(AND(AND(E$45&gt;('Entrada de Dados do Usuário'!$D85-1)),AND(E$45&lt;('Entrada de Dados do Usuário'!$E85+1))),'Entrada de Dados do Usuário'!$D75*'Entrada de Dados do Usuário'!$E75,0))</f>
        <v>0</v>
      </c>
      <c r="F50" s="4">
        <f>IF('Entrada de Dados do Usuário'!$E85&lt;'Entrada de Dados do Usuário'!$D85,IF(OR(AND(F$45&gt;('Entrada de Dados do Usuário'!$D85-1)),AND(F$45&lt;('Entrada de Dados do Usuário'!$E85+1))),'Entrada de Dados do Usuário'!$D75*'Entrada de Dados do Usuário'!$E75,0),IF(AND(AND(F$45&gt;('Entrada de Dados do Usuário'!$D85-1)),AND(F$45&lt;('Entrada de Dados do Usuário'!$E85+1))),'Entrada de Dados do Usuário'!$D75*'Entrada de Dados do Usuário'!$E75,0))</f>
        <v>0</v>
      </c>
      <c r="G50" s="4">
        <f>IF('Entrada de Dados do Usuário'!$E85&lt;'Entrada de Dados do Usuário'!$D85,IF(OR(AND(G$45&gt;('Entrada de Dados do Usuário'!$D85-1)),AND(G$45&lt;('Entrada de Dados do Usuário'!$E85+1))),'Entrada de Dados do Usuário'!$D75*'Entrada de Dados do Usuário'!$E75,0),IF(AND(AND(G$45&gt;('Entrada de Dados do Usuário'!$D85-1)),AND(G$45&lt;('Entrada de Dados do Usuário'!$E85+1))),'Entrada de Dados do Usuário'!$D75*'Entrada de Dados do Usuário'!$E75,0))</f>
        <v>0</v>
      </c>
      <c r="H50" s="4">
        <f>IF('Entrada de Dados do Usuário'!$E85&lt;'Entrada de Dados do Usuário'!$D85,IF(OR(AND(H$45&gt;('Entrada de Dados do Usuário'!$D85-1)),AND(H$45&lt;('Entrada de Dados do Usuário'!$E85+1))),'Entrada de Dados do Usuário'!$D75*'Entrada de Dados do Usuário'!$E75,0),IF(AND(AND(H$45&gt;('Entrada de Dados do Usuário'!$D85-1)),AND(H$45&lt;('Entrada de Dados do Usuário'!$E85+1))),'Entrada de Dados do Usuário'!$D75*'Entrada de Dados do Usuário'!$E75,0))</f>
        <v>0</v>
      </c>
      <c r="I50" s="4">
        <f>IF('Entrada de Dados do Usuário'!$E85&lt;'Entrada de Dados do Usuário'!$D85,IF(OR(AND(I$45&gt;('Entrada de Dados do Usuário'!$D85-1)),AND(I$45&lt;('Entrada de Dados do Usuário'!$E85+1))),'Entrada de Dados do Usuário'!$D75*'Entrada de Dados do Usuário'!$E75,0),IF(AND(AND(I$45&gt;('Entrada de Dados do Usuário'!$D85-1)),AND(I$45&lt;('Entrada de Dados do Usuário'!$E85+1))),'Entrada de Dados do Usuário'!$D75*'Entrada de Dados do Usuário'!$E75,0))</f>
        <v>0</v>
      </c>
      <c r="J50" s="4">
        <f>IF('Entrada de Dados do Usuário'!$E85&lt;'Entrada de Dados do Usuário'!$D85,IF(OR(AND(J$45&gt;('Entrada de Dados do Usuário'!$D85-1)),AND(J$45&lt;('Entrada de Dados do Usuário'!$E85+1))),'Entrada de Dados do Usuário'!$D75*'Entrada de Dados do Usuário'!$E75,0),IF(AND(AND(J$45&gt;('Entrada de Dados do Usuário'!$D85-1)),AND(J$45&lt;('Entrada de Dados do Usuário'!$E85+1))),'Entrada de Dados do Usuário'!$D75*'Entrada de Dados do Usuário'!$E75,0))</f>
        <v>0</v>
      </c>
      <c r="K50" s="4">
        <f>IF('Entrada de Dados do Usuário'!$E85&lt;'Entrada de Dados do Usuário'!$D85,IF(OR(AND(K$45&gt;('Entrada de Dados do Usuário'!$D85-1)),AND(K$45&lt;('Entrada de Dados do Usuário'!$E85+1))),'Entrada de Dados do Usuário'!$D75*'Entrada de Dados do Usuário'!$E75,0),IF(AND(AND(K$45&gt;('Entrada de Dados do Usuário'!$D85-1)),AND(K$45&lt;('Entrada de Dados do Usuário'!$E85+1))),'Entrada de Dados do Usuário'!$D75*'Entrada de Dados do Usuário'!$E75,0))</f>
        <v>0</v>
      </c>
      <c r="L50" s="4">
        <f>IF('Entrada de Dados do Usuário'!$E85&lt;'Entrada de Dados do Usuário'!$D85,IF(OR(AND(L$45&gt;('Entrada de Dados do Usuário'!$D85-1)),AND(L$45&lt;('Entrada de Dados do Usuário'!$E85+1))),'Entrada de Dados do Usuário'!$D75*'Entrada de Dados do Usuário'!$E75,0),IF(AND(AND(L$45&gt;('Entrada de Dados do Usuário'!$D85-1)),AND(L$45&lt;('Entrada de Dados do Usuário'!$E85+1))),'Entrada de Dados do Usuário'!$D75*'Entrada de Dados do Usuário'!$E75,0))</f>
        <v>0</v>
      </c>
      <c r="M50" s="4">
        <f>IF('Entrada de Dados do Usuário'!$E85&lt;'Entrada de Dados do Usuário'!$D85,IF(OR(AND(M$45&gt;('Entrada de Dados do Usuário'!$D85-1)),AND(M$45&lt;('Entrada de Dados do Usuário'!$E85+1))),'Entrada de Dados do Usuário'!$D75*'Entrada de Dados do Usuário'!$E75,0),IF(AND(AND(M$45&gt;('Entrada de Dados do Usuário'!$D85-1)),AND(M$45&lt;('Entrada de Dados do Usuário'!$E85+1))),'Entrada de Dados do Usuário'!$D75*'Entrada de Dados do Usuário'!$E75,0))</f>
        <v>0</v>
      </c>
      <c r="N50" s="4">
        <f>IF('Entrada de Dados do Usuário'!$E85&lt;'Entrada de Dados do Usuário'!$D85,IF(OR(AND(N$45&gt;('Entrada de Dados do Usuário'!$D85-1)),AND(N$45&lt;('Entrada de Dados do Usuário'!$E85+1))),'Entrada de Dados do Usuário'!$D75*'Entrada de Dados do Usuário'!$E75,0),IF(AND(AND(N$45&gt;('Entrada de Dados do Usuário'!$D85-1)),AND(N$45&lt;('Entrada de Dados do Usuário'!$E85+1))),'Entrada de Dados do Usuário'!$D75*'Entrada de Dados do Usuário'!$E75,0))</f>
        <v>0</v>
      </c>
      <c r="O50" s="4">
        <f>IF('Entrada de Dados do Usuário'!$E85&lt;'Entrada de Dados do Usuário'!$D85,IF(OR(AND(O$45&gt;('Entrada de Dados do Usuário'!$D85-1)),AND(O$45&lt;('Entrada de Dados do Usuário'!$E85+1))),'Entrada de Dados do Usuário'!$D75*'Entrada de Dados do Usuário'!$E75,0),IF(AND(AND(O$45&gt;('Entrada de Dados do Usuário'!$D85-1)),AND(O$45&lt;('Entrada de Dados do Usuário'!$E85+1))),'Entrada de Dados do Usuário'!$D75*'Entrada de Dados do Usuário'!$E75,0))</f>
        <v>0</v>
      </c>
      <c r="P50" s="4">
        <f>IF('Entrada de Dados do Usuário'!$E85&lt;'Entrada de Dados do Usuário'!$D85,IF(OR(AND(P$45&gt;('Entrada de Dados do Usuário'!$D85-1)),AND(P$45&lt;('Entrada de Dados do Usuário'!$E85+1))),'Entrada de Dados do Usuário'!$D75*'Entrada de Dados do Usuário'!$E75,0),IF(AND(AND(P$45&gt;('Entrada de Dados do Usuário'!$D85-1)),AND(P$45&lt;('Entrada de Dados do Usuário'!$E85+1))),'Entrada de Dados do Usuário'!$D75*'Entrada de Dados do Usuário'!$E75,0))</f>
        <v>0</v>
      </c>
      <c r="Q50" s="4">
        <f>IF('Entrada de Dados do Usuário'!$E85&lt;'Entrada de Dados do Usuário'!$D85,IF(OR(AND(Q$45&gt;('Entrada de Dados do Usuário'!$D85-1)),AND(Q$45&lt;('Entrada de Dados do Usuário'!$E85+1))),'Entrada de Dados do Usuário'!$D75*'Entrada de Dados do Usuário'!$E75,0),IF(AND(AND(Q$45&gt;('Entrada de Dados do Usuário'!$D85-1)),AND(Q$45&lt;('Entrada de Dados do Usuário'!$E85+1))),'Entrada de Dados do Usuário'!$D75*'Entrada de Dados do Usuário'!$E75,0))</f>
        <v>0</v>
      </c>
      <c r="R50" s="4">
        <f>IF('Entrada de Dados do Usuário'!$E85&lt;'Entrada de Dados do Usuário'!$D85,IF(OR(AND(R$45&gt;('Entrada de Dados do Usuário'!$D85-1)),AND(R$45&lt;('Entrada de Dados do Usuário'!$E85+1))),'Entrada de Dados do Usuário'!$D75*'Entrada de Dados do Usuário'!$E75,0),IF(AND(AND(R$45&gt;('Entrada de Dados do Usuário'!$D85-1)),AND(R$45&lt;('Entrada de Dados do Usuário'!$E85+1))),'Entrada de Dados do Usuário'!$D75*'Entrada de Dados do Usuário'!$E75,0))</f>
        <v>0</v>
      </c>
      <c r="S50" s="4">
        <f>IF('Entrada de Dados do Usuário'!$E85&lt;'Entrada de Dados do Usuário'!$D85,IF(OR(AND(S$45&gt;('Entrada de Dados do Usuário'!$D85-1)),AND(S$45&lt;('Entrada de Dados do Usuário'!$E85+1))),'Entrada de Dados do Usuário'!$D75*'Entrada de Dados do Usuário'!$E75,0),IF(AND(AND(S$45&gt;('Entrada de Dados do Usuário'!$D85-1)),AND(S$45&lt;('Entrada de Dados do Usuário'!$E85+1))),'Entrada de Dados do Usuário'!$D75*'Entrada de Dados do Usuário'!$E75,0))</f>
        <v>0</v>
      </c>
      <c r="T50" s="4">
        <f>IF('Entrada de Dados do Usuário'!$E85&lt;'Entrada de Dados do Usuário'!$D85,IF(OR(AND(T$45&gt;('Entrada de Dados do Usuário'!$D85-1)),AND(T$45&lt;('Entrada de Dados do Usuário'!$E85+1))),'Entrada de Dados do Usuário'!$D75*'Entrada de Dados do Usuário'!$E75,0),IF(AND(AND(T$45&gt;('Entrada de Dados do Usuário'!$D85-1)),AND(T$45&lt;('Entrada de Dados do Usuário'!$E85+1))),'Entrada de Dados do Usuário'!$D75*'Entrada de Dados do Usuário'!$E75,0))</f>
        <v>0</v>
      </c>
      <c r="U50" s="4">
        <f>IF('Entrada de Dados do Usuário'!$E85&lt;'Entrada de Dados do Usuário'!$D85,IF(OR(AND(U$45&gt;('Entrada de Dados do Usuário'!$D85-1)),AND(U$45&lt;('Entrada de Dados do Usuário'!$E85+1))),'Entrada de Dados do Usuário'!$D75*'Entrada de Dados do Usuário'!$E75,0),IF(AND(AND(U$45&gt;('Entrada de Dados do Usuário'!$D85-1)),AND(U$45&lt;('Entrada de Dados do Usuário'!$E85+1))),'Entrada de Dados do Usuário'!$D75*'Entrada de Dados do Usuário'!$E75,0))</f>
        <v>0</v>
      </c>
      <c r="V50" s="4">
        <f>IF('Entrada de Dados do Usuário'!$E85&lt;'Entrada de Dados do Usuário'!$D85,IF(OR(AND(V$45&gt;('Entrada de Dados do Usuário'!$D85-1)),AND(V$45&lt;('Entrada de Dados do Usuário'!$E85+1))),'Entrada de Dados do Usuário'!$D75*'Entrada de Dados do Usuário'!$E75,0),IF(AND(AND(V$45&gt;('Entrada de Dados do Usuário'!$D85-1)),AND(V$45&lt;('Entrada de Dados do Usuário'!$E85+1))),'Entrada de Dados do Usuário'!$D75*'Entrada de Dados do Usuário'!$E75,0))</f>
        <v>0</v>
      </c>
      <c r="W50" s="4">
        <f>IF('Entrada de Dados do Usuário'!$E85&lt;'Entrada de Dados do Usuário'!$D85,IF(OR(AND(W$45&gt;('Entrada de Dados do Usuário'!$D85-1)),AND(W$45&lt;('Entrada de Dados do Usuário'!$E85+1))),'Entrada de Dados do Usuário'!$D75*'Entrada de Dados do Usuário'!$E75,0),IF(AND(AND(W$45&gt;('Entrada de Dados do Usuário'!$D85-1)),AND(W$45&lt;('Entrada de Dados do Usuário'!$E85+1))),'Entrada de Dados do Usuário'!$D75*'Entrada de Dados do Usuário'!$E75,0))</f>
        <v>0</v>
      </c>
      <c r="X50" s="4">
        <f>IF('Entrada de Dados do Usuário'!$E85&lt;'Entrada de Dados do Usuário'!$D85,IF(OR(AND(X$45&gt;('Entrada de Dados do Usuário'!$D85-1)),AND(X$45&lt;('Entrada de Dados do Usuário'!$E85+1))),'Entrada de Dados do Usuário'!$D75*'Entrada de Dados do Usuário'!$E75,0),IF(AND(AND(X$45&gt;('Entrada de Dados do Usuário'!$D85-1)),AND(X$45&lt;('Entrada de Dados do Usuário'!$E85+1))),'Entrada de Dados do Usuário'!$D75*'Entrada de Dados do Usuário'!$E75,0))</f>
        <v>0</v>
      </c>
      <c r="Y50" s="4">
        <f>IF('Entrada de Dados do Usuário'!$E85&lt;'Entrada de Dados do Usuário'!$D85,IF(OR(AND(Y$45&gt;('Entrada de Dados do Usuário'!$D85-1)),AND(Y$45&lt;('Entrada de Dados do Usuário'!$E85+1))),'Entrada de Dados do Usuário'!$D75*'Entrada de Dados do Usuário'!$E75,0),IF(AND(AND(Y$45&gt;('Entrada de Dados do Usuário'!$D85-1)),AND(Y$45&lt;('Entrada de Dados do Usuário'!$E85+1))),'Entrada de Dados do Usuário'!$D75*'Entrada de Dados do Usuário'!$E75,0))</f>
        <v>0</v>
      </c>
      <c r="Z50" s="4">
        <f>IF('Entrada de Dados do Usuário'!$E85&lt;'Entrada de Dados do Usuário'!$D85,IF(OR(AND(Z$45&gt;('Entrada de Dados do Usuário'!$D85-1)),AND(Z$45&lt;('Entrada de Dados do Usuário'!$E85+1))),'Entrada de Dados do Usuário'!$D75*'Entrada de Dados do Usuário'!$E75,0),IF(AND(AND(Z$45&gt;('Entrada de Dados do Usuário'!$D85-1)),AND(Z$45&lt;('Entrada de Dados do Usuário'!$E85+1))),'Entrada de Dados do Usuário'!$D75*'Entrada de Dados do Usuário'!$E75,0))</f>
        <v>0</v>
      </c>
    </row>
    <row r="51" spans="1:26" ht="14.25">
      <c r="A51" s="9"/>
      <c r="B51" s="4">
        <f>'Entrada de Dados do Usuário'!C76</f>
        <v>0</v>
      </c>
      <c r="C51" s="4">
        <f>IF('Entrada de Dados do Usuário'!$E86&lt;'Entrada de Dados do Usuário'!$D86,IF(OR(AND(C$45&gt;('Entrada de Dados do Usuário'!$D86-1)),AND(C$45&lt;('Entrada de Dados do Usuário'!$E86+1))),'Entrada de Dados do Usuário'!$D76*'Entrada de Dados do Usuário'!$E76,0),IF(AND(AND(C$45&gt;('Entrada de Dados do Usuário'!$D86-1)),AND(C$45&lt;('Entrada de Dados do Usuário'!$E86+1))),'Entrada de Dados do Usuário'!$D76*'Entrada de Dados do Usuário'!$E76,0))</f>
        <v>0</v>
      </c>
      <c r="D51" s="4">
        <f>IF('Entrada de Dados do Usuário'!$E86&lt;'Entrada de Dados do Usuário'!$D86,IF(OR(AND(D$45&gt;('Entrada de Dados do Usuário'!$D86-1)),AND(D$45&lt;('Entrada de Dados do Usuário'!$E86+1))),'Entrada de Dados do Usuário'!$D76*'Entrada de Dados do Usuário'!$E76,0),IF(AND(AND(D$45&gt;('Entrada de Dados do Usuário'!$D86-1)),AND(D$45&lt;('Entrada de Dados do Usuário'!$E86+1))),'Entrada de Dados do Usuário'!$D76*'Entrada de Dados do Usuário'!$E76,0))</f>
        <v>0</v>
      </c>
      <c r="E51" s="4">
        <f>IF('Entrada de Dados do Usuário'!$E86&lt;'Entrada de Dados do Usuário'!$D86,IF(OR(AND(E$45&gt;('Entrada de Dados do Usuário'!$D86-1)),AND(E$45&lt;('Entrada de Dados do Usuário'!$E86+1))),'Entrada de Dados do Usuário'!$D76*'Entrada de Dados do Usuário'!$E76,0),IF(AND(AND(E$45&gt;('Entrada de Dados do Usuário'!$D86-1)),AND(E$45&lt;('Entrada de Dados do Usuário'!$E86+1))),'Entrada de Dados do Usuário'!$D76*'Entrada de Dados do Usuário'!$E76,0))</f>
        <v>0</v>
      </c>
      <c r="F51" s="4">
        <f>IF('Entrada de Dados do Usuário'!$E86&lt;'Entrada de Dados do Usuário'!$D86,IF(OR(AND(F$45&gt;('Entrada de Dados do Usuário'!$D86-1)),AND(F$45&lt;('Entrada de Dados do Usuário'!$E86+1))),'Entrada de Dados do Usuário'!$D76*'Entrada de Dados do Usuário'!$E76,0),IF(AND(AND(F$45&gt;('Entrada de Dados do Usuário'!$D86-1)),AND(F$45&lt;('Entrada de Dados do Usuário'!$E86+1))),'Entrada de Dados do Usuário'!$D76*'Entrada de Dados do Usuário'!$E76,0))</f>
        <v>0</v>
      </c>
      <c r="G51" s="4">
        <f>IF('Entrada de Dados do Usuário'!$E86&lt;'Entrada de Dados do Usuário'!$D86,IF(OR(AND(G$45&gt;('Entrada de Dados do Usuário'!$D86-1)),AND(G$45&lt;('Entrada de Dados do Usuário'!$E86+1))),'Entrada de Dados do Usuário'!$D76*'Entrada de Dados do Usuário'!$E76,0),IF(AND(AND(G$45&gt;('Entrada de Dados do Usuário'!$D86-1)),AND(G$45&lt;('Entrada de Dados do Usuário'!$E86+1))),'Entrada de Dados do Usuário'!$D76*'Entrada de Dados do Usuário'!$E76,0))</f>
        <v>0</v>
      </c>
      <c r="H51" s="4">
        <f>IF('Entrada de Dados do Usuário'!$E86&lt;'Entrada de Dados do Usuário'!$D86,IF(OR(AND(H$45&gt;('Entrada de Dados do Usuário'!$D86-1)),AND(H$45&lt;('Entrada de Dados do Usuário'!$E86+1))),'Entrada de Dados do Usuário'!$D76*'Entrada de Dados do Usuário'!$E76,0),IF(AND(AND(H$45&gt;('Entrada de Dados do Usuário'!$D86-1)),AND(H$45&lt;('Entrada de Dados do Usuário'!$E86+1))),'Entrada de Dados do Usuário'!$D76*'Entrada de Dados do Usuário'!$E76,0))</f>
        <v>0</v>
      </c>
      <c r="I51" s="4">
        <f>IF('Entrada de Dados do Usuário'!$E86&lt;'Entrada de Dados do Usuário'!$D86,IF(OR(AND(I$45&gt;('Entrada de Dados do Usuário'!$D86-1)),AND(I$45&lt;('Entrada de Dados do Usuário'!$E86+1))),'Entrada de Dados do Usuário'!$D76*'Entrada de Dados do Usuário'!$E76,0),IF(AND(AND(I$45&gt;('Entrada de Dados do Usuário'!$D86-1)),AND(I$45&lt;('Entrada de Dados do Usuário'!$E86+1))),'Entrada de Dados do Usuário'!$D76*'Entrada de Dados do Usuário'!$E76,0))</f>
        <v>0</v>
      </c>
      <c r="J51" s="4">
        <f>IF('Entrada de Dados do Usuário'!$E86&lt;'Entrada de Dados do Usuário'!$D86,IF(OR(AND(J$45&gt;('Entrada de Dados do Usuário'!$D86-1)),AND(J$45&lt;('Entrada de Dados do Usuário'!$E86+1))),'Entrada de Dados do Usuário'!$D76*'Entrada de Dados do Usuário'!$E76,0),IF(AND(AND(J$45&gt;('Entrada de Dados do Usuário'!$D86-1)),AND(J$45&lt;('Entrada de Dados do Usuário'!$E86+1))),'Entrada de Dados do Usuário'!$D76*'Entrada de Dados do Usuário'!$E76,0))</f>
        <v>0</v>
      </c>
      <c r="K51" s="4">
        <f>IF('Entrada de Dados do Usuário'!$E86&lt;'Entrada de Dados do Usuário'!$D86,IF(OR(AND(K$45&gt;('Entrada de Dados do Usuário'!$D86-1)),AND(K$45&lt;('Entrada de Dados do Usuário'!$E86+1))),'Entrada de Dados do Usuário'!$D76*'Entrada de Dados do Usuário'!$E76,0),IF(AND(AND(K$45&gt;('Entrada de Dados do Usuário'!$D86-1)),AND(K$45&lt;('Entrada de Dados do Usuário'!$E86+1))),'Entrada de Dados do Usuário'!$D76*'Entrada de Dados do Usuário'!$E76,0))</f>
        <v>0</v>
      </c>
      <c r="L51" s="4">
        <f>IF('Entrada de Dados do Usuário'!$E86&lt;'Entrada de Dados do Usuário'!$D86,IF(OR(AND(L$45&gt;('Entrada de Dados do Usuário'!$D86-1)),AND(L$45&lt;('Entrada de Dados do Usuário'!$E86+1))),'Entrada de Dados do Usuário'!$D76*'Entrada de Dados do Usuário'!$E76,0),IF(AND(AND(L$45&gt;('Entrada de Dados do Usuário'!$D86-1)),AND(L$45&lt;('Entrada de Dados do Usuário'!$E86+1))),'Entrada de Dados do Usuário'!$D76*'Entrada de Dados do Usuário'!$E76,0))</f>
        <v>0</v>
      </c>
      <c r="M51" s="4">
        <f>IF('Entrada de Dados do Usuário'!$E86&lt;'Entrada de Dados do Usuário'!$D86,IF(OR(AND(M$45&gt;('Entrada de Dados do Usuário'!$D86-1)),AND(M$45&lt;('Entrada de Dados do Usuário'!$E86+1))),'Entrada de Dados do Usuário'!$D76*'Entrada de Dados do Usuário'!$E76,0),IF(AND(AND(M$45&gt;('Entrada de Dados do Usuário'!$D86-1)),AND(M$45&lt;('Entrada de Dados do Usuário'!$E86+1))),'Entrada de Dados do Usuário'!$D76*'Entrada de Dados do Usuário'!$E76,0))</f>
        <v>0</v>
      </c>
      <c r="N51" s="4">
        <f>IF('Entrada de Dados do Usuário'!$E86&lt;'Entrada de Dados do Usuário'!$D86,IF(OR(AND(N$45&gt;('Entrada de Dados do Usuário'!$D86-1)),AND(N$45&lt;('Entrada de Dados do Usuário'!$E86+1))),'Entrada de Dados do Usuário'!$D76*'Entrada de Dados do Usuário'!$E76,0),IF(AND(AND(N$45&gt;('Entrada de Dados do Usuário'!$D86-1)),AND(N$45&lt;('Entrada de Dados do Usuário'!$E86+1))),'Entrada de Dados do Usuário'!$D76*'Entrada de Dados do Usuário'!$E76,0))</f>
        <v>0</v>
      </c>
      <c r="O51" s="4">
        <f>IF('Entrada de Dados do Usuário'!$E86&lt;'Entrada de Dados do Usuário'!$D86,IF(OR(AND(O$45&gt;('Entrada de Dados do Usuário'!$D86-1)),AND(O$45&lt;('Entrada de Dados do Usuário'!$E86+1))),'Entrada de Dados do Usuário'!$D76*'Entrada de Dados do Usuário'!$E76,0),IF(AND(AND(O$45&gt;('Entrada de Dados do Usuário'!$D86-1)),AND(O$45&lt;('Entrada de Dados do Usuário'!$E86+1))),'Entrada de Dados do Usuário'!$D76*'Entrada de Dados do Usuário'!$E76,0))</f>
        <v>0</v>
      </c>
      <c r="P51" s="4">
        <f>IF('Entrada de Dados do Usuário'!$E86&lt;'Entrada de Dados do Usuário'!$D86,IF(OR(AND(P$45&gt;('Entrada de Dados do Usuário'!$D86-1)),AND(P$45&lt;('Entrada de Dados do Usuário'!$E86+1))),'Entrada de Dados do Usuário'!$D76*'Entrada de Dados do Usuário'!$E76,0),IF(AND(AND(P$45&gt;('Entrada de Dados do Usuário'!$D86-1)),AND(P$45&lt;('Entrada de Dados do Usuário'!$E86+1))),'Entrada de Dados do Usuário'!$D76*'Entrada de Dados do Usuário'!$E76,0))</f>
        <v>0</v>
      </c>
      <c r="Q51" s="4">
        <f>IF('Entrada de Dados do Usuário'!$E86&lt;'Entrada de Dados do Usuário'!$D86,IF(OR(AND(Q$45&gt;('Entrada de Dados do Usuário'!$D86-1)),AND(Q$45&lt;('Entrada de Dados do Usuário'!$E86+1))),'Entrada de Dados do Usuário'!$D76*'Entrada de Dados do Usuário'!$E76,0),IF(AND(AND(Q$45&gt;('Entrada de Dados do Usuário'!$D86-1)),AND(Q$45&lt;('Entrada de Dados do Usuário'!$E86+1))),'Entrada de Dados do Usuário'!$D76*'Entrada de Dados do Usuário'!$E76,0))</f>
        <v>0</v>
      </c>
      <c r="R51" s="4">
        <f>IF('Entrada de Dados do Usuário'!$E86&lt;'Entrada de Dados do Usuário'!$D86,IF(OR(AND(R$45&gt;('Entrada de Dados do Usuário'!$D86-1)),AND(R$45&lt;('Entrada de Dados do Usuário'!$E86+1))),'Entrada de Dados do Usuário'!$D76*'Entrada de Dados do Usuário'!$E76,0),IF(AND(AND(R$45&gt;('Entrada de Dados do Usuário'!$D86-1)),AND(R$45&lt;('Entrada de Dados do Usuário'!$E86+1))),'Entrada de Dados do Usuário'!$D76*'Entrada de Dados do Usuário'!$E76,0))</f>
        <v>0</v>
      </c>
      <c r="S51" s="4">
        <f>IF('Entrada de Dados do Usuário'!$E86&lt;'Entrada de Dados do Usuário'!$D86,IF(OR(AND(S$45&gt;('Entrada de Dados do Usuário'!$D86-1)),AND(S$45&lt;('Entrada de Dados do Usuário'!$E86+1))),'Entrada de Dados do Usuário'!$D76*'Entrada de Dados do Usuário'!$E76,0),IF(AND(AND(S$45&gt;('Entrada de Dados do Usuário'!$D86-1)),AND(S$45&lt;('Entrada de Dados do Usuário'!$E86+1))),'Entrada de Dados do Usuário'!$D76*'Entrada de Dados do Usuário'!$E76,0))</f>
        <v>0</v>
      </c>
      <c r="T51" s="4">
        <f>IF('Entrada de Dados do Usuário'!$E86&lt;'Entrada de Dados do Usuário'!$D86,IF(OR(AND(T$45&gt;('Entrada de Dados do Usuário'!$D86-1)),AND(T$45&lt;('Entrada de Dados do Usuário'!$E86+1))),'Entrada de Dados do Usuário'!$D76*'Entrada de Dados do Usuário'!$E76,0),IF(AND(AND(T$45&gt;('Entrada de Dados do Usuário'!$D86-1)),AND(T$45&lt;('Entrada de Dados do Usuário'!$E86+1))),'Entrada de Dados do Usuário'!$D76*'Entrada de Dados do Usuário'!$E76,0))</f>
        <v>0</v>
      </c>
      <c r="U51" s="4">
        <f>IF('Entrada de Dados do Usuário'!$E86&lt;'Entrada de Dados do Usuário'!$D86,IF(OR(AND(U$45&gt;('Entrada de Dados do Usuário'!$D86-1)),AND(U$45&lt;('Entrada de Dados do Usuário'!$E86+1))),'Entrada de Dados do Usuário'!$D76*'Entrada de Dados do Usuário'!$E76,0),IF(AND(AND(U$45&gt;('Entrada de Dados do Usuário'!$D86-1)),AND(U$45&lt;('Entrada de Dados do Usuário'!$E86+1))),'Entrada de Dados do Usuário'!$D76*'Entrada de Dados do Usuário'!$E76,0))</f>
        <v>0</v>
      </c>
      <c r="V51" s="4">
        <f>IF('Entrada de Dados do Usuário'!$E86&lt;'Entrada de Dados do Usuário'!$D86,IF(OR(AND(V$45&gt;('Entrada de Dados do Usuário'!$D86-1)),AND(V$45&lt;('Entrada de Dados do Usuário'!$E86+1))),'Entrada de Dados do Usuário'!$D76*'Entrada de Dados do Usuário'!$E76,0),IF(AND(AND(V$45&gt;('Entrada de Dados do Usuário'!$D86-1)),AND(V$45&lt;('Entrada de Dados do Usuário'!$E86+1))),'Entrada de Dados do Usuário'!$D76*'Entrada de Dados do Usuário'!$E76,0))</f>
        <v>0</v>
      </c>
      <c r="W51" s="4">
        <f>IF('Entrada de Dados do Usuário'!$E86&lt;'Entrada de Dados do Usuário'!$D86,IF(OR(AND(W$45&gt;('Entrada de Dados do Usuário'!$D86-1)),AND(W$45&lt;('Entrada de Dados do Usuário'!$E86+1))),'Entrada de Dados do Usuário'!$D76*'Entrada de Dados do Usuário'!$E76,0),IF(AND(AND(W$45&gt;('Entrada de Dados do Usuário'!$D86-1)),AND(W$45&lt;('Entrada de Dados do Usuário'!$E86+1))),'Entrada de Dados do Usuário'!$D76*'Entrada de Dados do Usuário'!$E76,0))</f>
        <v>0</v>
      </c>
      <c r="X51" s="4">
        <f>IF('Entrada de Dados do Usuário'!$E86&lt;'Entrada de Dados do Usuário'!$D86,IF(OR(AND(X$45&gt;('Entrada de Dados do Usuário'!$D86-1)),AND(X$45&lt;('Entrada de Dados do Usuário'!$E86+1))),'Entrada de Dados do Usuário'!$D76*'Entrada de Dados do Usuário'!$E76,0),IF(AND(AND(X$45&gt;('Entrada de Dados do Usuário'!$D86-1)),AND(X$45&lt;('Entrada de Dados do Usuário'!$E86+1))),'Entrada de Dados do Usuário'!$D76*'Entrada de Dados do Usuário'!$E76,0))</f>
        <v>0</v>
      </c>
      <c r="Y51" s="4">
        <f>IF('Entrada de Dados do Usuário'!$E86&lt;'Entrada de Dados do Usuário'!$D86,IF(OR(AND(Y$45&gt;('Entrada de Dados do Usuário'!$D86-1)),AND(Y$45&lt;('Entrada de Dados do Usuário'!$E86+1))),'Entrada de Dados do Usuário'!$D76*'Entrada de Dados do Usuário'!$E76,0),IF(AND(AND(Y$45&gt;('Entrada de Dados do Usuário'!$D86-1)),AND(Y$45&lt;('Entrada de Dados do Usuário'!$E86+1))),'Entrada de Dados do Usuário'!$D76*'Entrada de Dados do Usuário'!$E76,0))</f>
        <v>0</v>
      </c>
      <c r="Z51" s="4">
        <f>IF('Entrada de Dados do Usuário'!$E86&lt;'Entrada de Dados do Usuário'!$D86,IF(OR(AND(Z$45&gt;('Entrada de Dados do Usuário'!$D86-1)),AND(Z$45&lt;('Entrada de Dados do Usuário'!$E86+1))),'Entrada de Dados do Usuário'!$D76*'Entrada de Dados do Usuário'!$E76,0),IF(AND(AND(Z$45&gt;('Entrada de Dados do Usuário'!$D86-1)),AND(Z$45&lt;('Entrada de Dados do Usuário'!$E86+1))),'Entrada de Dados do Usuário'!$D76*'Entrada de Dados do Usuário'!$E76,0))</f>
        <v>0</v>
      </c>
    </row>
    <row r="52" spans="1:26" ht="14.25">
      <c r="A52" s="9"/>
      <c r="B52" s="4">
        <f>'Entrada de Dados do Usuário'!C77</f>
        <v>0</v>
      </c>
      <c r="C52" s="4">
        <f>IF('Entrada de Dados do Usuário'!$E87&lt;'Entrada de Dados do Usuário'!$D87,IF(OR(AND(C$45&gt;('Entrada de Dados do Usuário'!$D87-1)),AND(C$45&lt;('Entrada de Dados do Usuário'!$E87+1))),'Entrada de Dados do Usuário'!$D77*'Entrada de Dados do Usuário'!$E77,0),IF(AND(AND(C$45&gt;('Entrada de Dados do Usuário'!$D87-1)),AND(C$45&lt;('Entrada de Dados do Usuário'!$E87+1))),'Entrada de Dados do Usuário'!$D77*'Entrada de Dados do Usuário'!$E77,0))</f>
        <v>0</v>
      </c>
      <c r="D52" s="4">
        <f>IF('Entrada de Dados do Usuário'!$E87&lt;'Entrada de Dados do Usuário'!$D87,IF(OR(AND(D$45&gt;('Entrada de Dados do Usuário'!$D87-1)),AND(D$45&lt;('Entrada de Dados do Usuário'!$E87+1))),'Entrada de Dados do Usuário'!$D77*'Entrada de Dados do Usuário'!$E77,0),IF(AND(AND(D$45&gt;('Entrada de Dados do Usuário'!$D87-1)),AND(D$45&lt;('Entrada de Dados do Usuário'!$E87+1))),'Entrada de Dados do Usuário'!$D77*'Entrada de Dados do Usuário'!$E77,0))</f>
        <v>0</v>
      </c>
      <c r="E52" s="4">
        <f>IF('Entrada de Dados do Usuário'!$E87&lt;'Entrada de Dados do Usuário'!$D87,IF(OR(AND(E$45&gt;('Entrada de Dados do Usuário'!$D87-1)),AND(E$45&lt;('Entrada de Dados do Usuário'!$E87+1))),'Entrada de Dados do Usuário'!$D77*'Entrada de Dados do Usuário'!$E77,0),IF(AND(AND(E$45&gt;('Entrada de Dados do Usuário'!$D87-1)),AND(E$45&lt;('Entrada de Dados do Usuário'!$E87+1))),'Entrada de Dados do Usuário'!$D77*'Entrada de Dados do Usuário'!$E77,0))</f>
        <v>0</v>
      </c>
      <c r="F52" s="4">
        <f>IF('Entrada de Dados do Usuário'!$E87&lt;'Entrada de Dados do Usuário'!$D87,IF(OR(AND(F$45&gt;('Entrada de Dados do Usuário'!$D87-1)),AND(F$45&lt;('Entrada de Dados do Usuário'!$E87+1))),'Entrada de Dados do Usuário'!$D77*'Entrada de Dados do Usuário'!$E77,0),IF(AND(AND(F$45&gt;('Entrada de Dados do Usuário'!$D87-1)),AND(F$45&lt;('Entrada de Dados do Usuário'!$E87+1))),'Entrada de Dados do Usuário'!$D77*'Entrada de Dados do Usuário'!$E77,0))</f>
        <v>0</v>
      </c>
      <c r="G52" s="4">
        <f>IF('Entrada de Dados do Usuário'!$E87&lt;'Entrada de Dados do Usuário'!$D87,IF(OR(AND(G$45&gt;('Entrada de Dados do Usuário'!$D87-1)),AND(G$45&lt;('Entrada de Dados do Usuário'!$E87+1))),'Entrada de Dados do Usuário'!$D77*'Entrada de Dados do Usuário'!$E77,0),IF(AND(AND(G$45&gt;('Entrada de Dados do Usuário'!$D87-1)),AND(G$45&lt;('Entrada de Dados do Usuário'!$E87+1))),'Entrada de Dados do Usuário'!$D77*'Entrada de Dados do Usuário'!$E77,0))</f>
        <v>0</v>
      </c>
      <c r="H52" s="4">
        <f>IF('Entrada de Dados do Usuário'!$E87&lt;'Entrada de Dados do Usuário'!$D87,IF(OR(AND(H$45&gt;('Entrada de Dados do Usuário'!$D87-1)),AND(H$45&lt;('Entrada de Dados do Usuário'!$E87+1))),'Entrada de Dados do Usuário'!$D77*'Entrada de Dados do Usuário'!$E77,0),IF(AND(AND(H$45&gt;('Entrada de Dados do Usuário'!$D87-1)),AND(H$45&lt;('Entrada de Dados do Usuário'!$E87+1))),'Entrada de Dados do Usuário'!$D77*'Entrada de Dados do Usuário'!$E77,0))</f>
        <v>0</v>
      </c>
      <c r="I52" s="4">
        <f>IF('Entrada de Dados do Usuário'!$E87&lt;'Entrada de Dados do Usuário'!$D87,IF(OR(AND(I$45&gt;('Entrada de Dados do Usuário'!$D87-1)),AND(I$45&lt;('Entrada de Dados do Usuário'!$E87+1))),'Entrada de Dados do Usuário'!$D77*'Entrada de Dados do Usuário'!$E77,0),IF(AND(AND(I$45&gt;('Entrada de Dados do Usuário'!$D87-1)),AND(I$45&lt;('Entrada de Dados do Usuário'!$E87+1))),'Entrada de Dados do Usuário'!$D77*'Entrada de Dados do Usuário'!$E77,0))</f>
        <v>0</v>
      </c>
      <c r="J52" s="4">
        <f>IF('Entrada de Dados do Usuário'!$E87&lt;'Entrada de Dados do Usuário'!$D87,IF(OR(AND(J$45&gt;('Entrada de Dados do Usuário'!$D87-1)),AND(J$45&lt;('Entrada de Dados do Usuário'!$E87+1))),'Entrada de Dados do Usuário'!$D77*'Entrada de Dados do Usuário'!$E77,0),IF(AND(AND(J$45&gt;('Entrada de Dados do Usuário'!$D87-1)),AND(J$45&lt;('Entrada de Dados do Usuário'!$E87+1))),'Entrada de Dados do Usuário'!$D77*'Entrada de Dados do Usuário'!$E77,0))</f>
        <v>0</v>
      </c>
      <c r="K52" s="4">
        <f>IF('Entrada de Dados do Usuário'!$E87&lt;'Entrada de Dados do Usuário'!$D87,IF(OR(AND(K$45&gt;('Entrada de Dados do Usuário'!$D87-1)),AND(K$45&lt;('Entrada de Dados do Usuário'!$E87+1))),'Entrada de Dados do Usuário'!$D77*'Entrada de Dados do Usuário'!$E77,0),IF(AND(AND(K$45&gt;('Entrada de Dados do Usuário'!$D87-1)),AND(K$45&lt;('Entrada de Dados do Usuário'!$E87+1))),'Entrada de Dados do Usuário'!$D77*'Entrada de Dados do Usuário'!$E77,0))</f>
        <v>0</v>
      </c>
      <c r="L52" s="4">
        <f>IF('Entrada de Dados do Usuário'!$E87&lt;'Entrada de Dados do Usuário'!$D87,IF(OR(AND(L$45&gt;('Entrada de Dados do Usuário'!$D87-1)),AND(L$45&lt;('Entrada de Dados do Usuário'!$E87+1))),'Entrada de Dados do Usuário'!$D77*'Entrada de Dados do Usuário'!$E77,0),IF(AND(AND(L$45&gt;('Entrada de Dados do Usuário'!$D87-1)),AND(L$45&lt;('Entrada de Dados do Usuário'!$E87+1))),'Entrada de Dados do Usuário'!$D77*'Entrada de Dados do Usuário'!$E77,0))</f>
        <v>0</v>
      </c>
      <c r="M52" s="4">
        <f>IF('Entrada de Dados do Usuário'!$E87&lt;'Entrada de Dados do Usuário'!$D87,IF(OR(AND(M$45&gt;('Entrada de Dados do Usuário'!$D87-1)),AND(M$45&lt;('Entrada de Dados do Usuário'!$E87+1))),'Entrada de Dados do Usuário'!$D77*'Entrada de Dados do Usuário'!$E77,0),IF(AND(AND(M$45&gt;('Entrada de Dados do Usuário'!$D87-1)),AND(M$45&lt;('Entrada de Dados do Usuário'!$E87+1))),'Entrada de Dados do Usuário'!$D77*'Entrada de Dados do Usuário'!$E77,0))</f>
        <v>0</v>
      </c>
      <c r="N52" s="4">
        <f>IF('Entrada de Dados do Usuário'!$E87&lt;'Entrada de Dados do Usuário'!$D87,IF(OR(AND(N$45&gt;('Entrada de Dados do Usuário'!$D87-1)),AND(N$45&lt;('Entrada de Dados do Usuário'!$E87+1))),'Entrada de Dados do Usuário'!$D77*'Entrada de Dados do Usuário'!$E77,0),IF(AND(AND(N$45&gt;('Entrada de Dados do Usuário'!$D87-1)),AND(N$45&lt;('Entrada de Dados do Usuário'!$E87+1))),'Entrada de Dados do Usuário'!$D77*'Entrada de Dados do Usuário'!$E77,0))</f>
        <v>0</v>
      </c>
      <c r="O52" s="4">
        <f>IF('Entrada de Dados do Usuário'!$E87&lt;'Entrada de Dados do Usuário'!$D87,IF(OR(AND(O$45&gt;('Entrada de Dados do Usuário'!$D87-1)),AND(O$45&lt;('Entrada de Dados do Usuário'!$E87+1))),'Entrada de Dados do Usuário'!$D77*'Entrada de Dados do Usuário'!$E77,0),IF(AND(AND(O$45&gt;('Entrada de Dados do Usuário'!$D87-1)),AND(O$45&lt;('Entrada de Dados do Usuário'!$E87+1))),'Entrada de Dados do Usuário'!$D77*'Entrada de Dados do Usuário'!$E77,0))</f>
        <v>0</v>
      </c>
      <c r="P52" s="4">
        <f>IF('Entrada de Dados do Usuário'!$E87&lt;'Entrada de Dados do Usuário'!$D87,IF(OR(AND(P$45&gt;('Entrada de Dados do Usuário'!$D87-1)),AND(P$45&lt;('Entrada de Dados do Usuário'!$E87+1))),'Entrada de Dados do Usuário'!$D77*'Entrada de Dados do Usuário'!$E77,0),IF(AND(AND(P$45&gt;('Entrada de Dados do Usuário'!$D87-1)),AND(P$45&lt;('Entrada de Dados do Usuário'!$E87+1))),'Entrada de Dados do Usuário'!$D77*'Entrada de Dados do Usuário'!$E77,0))</f>
        <v>0</v>
      </c>
      <c r="Q52" s="4">
        <f>IF('Entrada de Dados do Usuário'!$E87&lt;'Entrada de Dados do Usuário'!$D87,IF(OR(AND(Q$45&gt;('Entrada de Dados do Usuário'!$D87-1)),AND(Q$45&lt;('Entrada de Dados do Usuário'!$E87+1))),'Entrada de Dados do Usuário'!$D77*'Entrada de Dados do Usuário'!$E77,0),IF(AND(AND(Q$45&gt;('Entrada de Dados do Usuário'!$D87-1)),AND(Q$45&lt;('Entrada de Dados do Usuário'!$E87+1))),'Entrada de Dados do Usuário'!$D77*'Entrada de Dados do Usuário'!$E77,0))</f>
        <v>0</v>
      </c>
      <c r="R52" s="4">
        <f>IF('Entrada de Dados do Usuário'!$E87&lt;'Entrada de Dados do Usuário'!$D87,IF(OR(AND(R$45&gt;('Entrada de Dados do Usuário'!$D87-1)),AND(R$45&lt;('Entrada de Dados do Usuário'!$E87+1))),'Entrada de Dados do Usuário'!$D77*'Entrada de Dados do Usuário'!$E77,0),IF(AND(AND(R$45&gt;('Entrada de Dados do Usuário'!$D87-1)),AND(R$45&lt;('Entrada de Dados do Usuário'!$E87+1))),'Entrada de Dados do Usuário'!$D77*'Entrada de Dados do Usuário'!$E77,0))</f>
        <v>0</v>
      </c>
      <c r="S52" s="4">
        <f>IF('Entrada de Dados do Usuário'!$E87&lt;'Entrada de Dados do Usuário'!$D87,IF(OR(AND(S$45&gt;('Entrada de Dados do Usuário'!$D87-1)),AND(S$45&lt;('Entrada de Dados do Usuário'!$E87+1))),'Entrada de Dados do Usuário'!$D77*'Entrada de Dados do Usuário'!$E77,0),IF(AND(AND(S$45&gt;('Entrada de Dados do Usuário'!$D87-1)),AND(S$45&lt;('Entrada de Dados do Usuário'!$E87+1))),'Entrada de Dados do Usuário'!$D77*'Entrada de Dados do Usuário'!$E77,0))</f>
        <v>0</v>
      </c>
      <c r="T52" s="4">
        <f>IF('Entrada de Dados do Usuário'!$E87&lt;'Entrada de Dados do Usuário'!$D87,IF(OR(AND(T$45&gt;('Entrada de Dados do Usuário'!$D87-1)),AND(T$45&lt;('Entrada de Dados do Usuário'!$E87+1))),'Entrada de Dados do Usuário'!$D77*'Entrada de Dados do Usuário'!$E77,0),IF(AND(AND(T$45&gt;('Entrada de Dados do Usuário'!$D87-1)),AND(T$45&lt;('Entrada de Dados do Usuário'!$E87+1))),'Entrada de Dados do Usuário'!$D77*'Entrada de Dados do Usuário'!$E77,0))</f>
        <v>0</v>
      </c>
      <c r="U52" s="4">
        <f>IF('Entrada de Dados do Usuário'!$E87&lt;'Entrada de Dados do Usuário'!$D87,IF(OR(AND(U$45&gt;('Entrada de Dados do Usuário'!$D87-1)),AND(U$45&lt;('Entrada de Dados do Usuário'!$E87+1))),'Entrada de Dados do Usuário'!$D77*'Entrada de Dados do Usuário'!$E77,0),IF(AND(AND(U$45&gt;('Entrada de Dados do Usuário'!$D87-1)),AND(U$45&lt;('Entrada de Dados do Usuário'!$E87+1))),'Entrada de Dados do Usuário'!$D77*'Entrada de Dados do Usuário'!$E77,0))</f>
        <v>0</v>
      </c>
      <c r="V52" s="4">
        <f>IF('Entrada de Dados do Usuário'!$E87&lt;'Entrada de Dados do Usuário'!$D87,IF(OR(AND(V$45&gt;('Entrada de Dados do Usuário'!$D87-1)),AND(V$45&lt;('Entrada de Dados do Usuário'!$E87+1))),'Entrada de Dados do Usuário'!$D77*'Entrada de Dados do Usuário'!$E77,0),IF(AND(AND(V$45&gt;('Entrada de Dados do Usuário'!$D87-1)),AND(V$45&lt;('Entrada de Dados do Usuário'!$E87+1))),'Entrada de Dados do Usuário'!$D77*'Entrada de Dados do Usuário'!$E77,0))</f>
        <v>0</v>
      </c>
      <c r="W52" s="4">
        <f>IF('Entrada de Dados do Usuário'!$E87&lt;'Entrada de Dados do Usuário'!$D87,IF(OR(AND(W$45&gt;('Entrada de Dados do Usuário'!$D87-1)),AND(W$45&lt;('Entrada de Dados do Usuário'!$E87+1))),'Entrada de Dados do Usuário'!$D77*'Entrada de Dados do Usuário'!$E77,0),IF(AND(AND(W$45&gt;('Entrada de Dados do Usuário'!$D87-1)),AND(W$45&lt;('Entrada de Dados do Usuário'!$E87+1))),'Entrada de Dados do Usuário'!$D77*'Entrada de Dados do Usuário'!$E77,0))</f>
        <v>0</v>
      </c>
      <c r="X52" s="4">
        <f>IF('Entrada de Dados do Usuário'!$E87&lt;'Entrada de Dados do Usuário'!$D87,IF(OR(AND(X$45&gt;('Entrada de Dados do Usuário'!$D87-1)),AND(X$45&lt;('Entrada de Dados do Usuário'!$E87+1))),'Entrada de Dados do Usuário'!$D77*'Entrada de Dados do Usuário'!$E77,0),IF(AND(AND(X$45&gt;('Entrada de Dados do Usuário'!$D87-1)),AND(X$45&lt;('Entrada de Dados do Usuário'!$E87+1))),'Entrada de Dados do Usuário'!$D77*'Entrada de Dados do Usuário'!$E77,0))</f>
        <v>0</v>
      </c>
      <c r="Y52" s="4">
        <f>IF('Entrada de Dados do Usuário'!$E87&lt;'Entrada de Dados do Usuário'!$D87,IF(OR(AND(Y$45&gt;('Entrada de Dados do Usuário'!$D87-1)),AND(Y$45&lt;('Entrada de Dados do Usuário'!$E87+1))),'Entrada de Dados do Usuário'!$D77*'Entrada de Dados do Usuário'!$E77,0),IF(AND(AND(Y$45&gt;('Entrada de Dados do Usuário'!$D87-1)),AND(Y$45&lt;('Entrada de Dados do Usuário'!$E87+1))),'Entrada de Dados do Usuário'!$D77*'Entrada de Dados do Usuário'!$E77,0))</f>
        <v>0</v>
      </c>
      <c r="Z52" s="4">
        <f>IF('Entrada de Dados do Usuário'!$E87&lt;'Entrada de Dados do Usuário'!$D87,IF(OR(AND(Z$45&gt;('Entrada de Dados do Usuário'!$D87-1)),AND(Z$45&lt;('Entrada de Dados do Usuário'!$E87+1))),'Entrada de Dados do Usuário'!$D77*'Entrada de Dados do Usuário'!$E77,0),IF(AND(AND(Z$45&gt;('Entrada de Dados do Usuário'!$D87-1)),AND(Z$45&lt;('Entrada de Dados do Usuário'!$E87+1))),'Entrada de Dados do Usuário'!$D77*'Entrada de Dados do Usuário'!$E77,0))</f>
        <v>0</v>
      </c>
    </row>
    <row r="53" spans="1:26" ht="14.25">
      <c r="A53" s="4"/>
      <c r="B53" s="4">
        <f>'Entrada de Dados do Usuário'!C78</f>
        <v>0</v>
      </c>
      <c r="C53" s="4">
        <f>IF('Entrada de Dados do Usuário'!$E88&lt;'Entrada de Dados do Usuário'!$D88,IF(OR(AND(C$45&gt;('Entrada de Dados do Usuário'!$D88-1)),AND(C$45&lt;('Entrada de Dados do Usuário'!$E88+1))),'Entrada de Dados do Usuário'!$D78*'Entrada de Dados do Usuário'!$E78,0),IF(AND(AND(C$45&gt;('Entrada de Dados do Usuário'!$D88-1)),AND(C$45&lt;('Entrada de Dados do Usuário'!$E88+1))),'Entrada de Dados do Usuário'!$D78*'Entrada de Dados do Usuário'!$E78,0))</f>
        <v>0</v>
      </c>
      <c r="D53" s="4">
        <f>IF('Entrada de Dados do Usuário'!$E88&lt;'Entrada de Dados do Usuário'!$D88,IF(OR(AND(D$45&gt;('Entrada de Dados do Usuário'!$D88-1)),AND(D$45&lt;('Entrada de Dados do Usuário'!$E88+1))),'Entrada de Dados do Usuário'!$D78*'Entrada de Dados do Usuário'!$E78,0),IF(AND(AND(D$45&gt;('Entrada de Dados do Usuário'!$D88-1)),AND(D$45&lt;('Entrada de Dados do Usuário'!$E88+1))),'Entrada de Dados do Usuário'!$D78*'Entrada de Dados do Usuário'!$E78,0))</f>
        <v>0</v>
      </c>
      <c r="E53" s="4">
        <f>IF('Entrada de Dados do Usuário'!$E88&lt;'Entrada de Dados do Usuário'!$D88,IF(OR(AND(E$45&gt;('Entrada de Dados do Usuário'!$D88-1)),AND(E$45&lt;('Entrada de Dados do Usuário'!$E88+1))),'Entrada de Dados do Usuário'!$D78*'Entrada de Dados do Usuário'!$E78,0),IF(AND(AND(E$45&gt;('Entrada de Dados do Usuário'!$D88-1)),AND(E$45&lt;('Entrada de Dados do Usuário'!$E88+1))),'Entrada de Dados do Usuário'!$D78*'Entrada de Dados do Usuário'!$E78,0))</f>
        <v>0</v>
      </c>
      <c r="F53" s="4">
        <f>IF('Entrada de Dados do Usuário'!$E88&lt;'Entrada de Dados do Usuário'!$D88,IF(OR(AND(F$45&gt;('Entrada de Dados do Usuário'!$D88-1)),AND(F$45&lt;('Entrada de Dados do Usuário'!$E88+1))),'Entrada de Dados do Usuário'!$D78*'Entrada de Dados do Usuário'!$E78,0),IF(AND(AND(F$45&gt;('Entrada de Dados do Usuário'!$D88-1)),AND(F$45&lt;('Entrada de Dados do Usuário'!$E88+1))),'Entrada de Dados do Usuário'!$D78*'Entrada de Dados do Usuário'!$E78,0))</f>
        <v>0</v>
      </c>
      <c r="G53" s="4">
        <f>IF('Entrada de Dados do Usuário'!$E88&lt;'Entrada de Dados do Usuário'!$D88,IF(OR(AND(G$45&gt;('Entrada de Dados do Usuário'!$D88-1)),AND(G$45&lt;('Entrada de Dados do Usuário'!$E88+1))),'Entrada de Dados do Usuário'!$D78*'Entrada de Dados do Usuário'!$E78,0),IF(AND(AND(G$45&gt;('Entrada de Dados do Usuário'!$D88-1)),AND(G$45&lt;('Entrada de Dados do Usuário'!$E88+1))),'Entrada de Dados do Usuário'!$D78*'Entrada de Dados do Usuário'!$E78,0))</f>
        <v>0</v>
      </c>
      <c r="H53" s="4">
        <f>IF('Entrada de Dados do Usuário'!$E88&lt;'Entrada de Dados do Usuário'!$D88,IF(OR(AND(H$45&gt;('Entrada de Dados do Usuário'!$D88-1)),AND(H$45&lt;('Entrada de Dados do Usuário'!$E88+1))),'Entrada de Dados do Usuário'!$D78*'Entrada de Dados do Usuário'!$E78,0),IF(AND(AND(H$45&gt;('Entrada de Dados do Usuário'!$D88-1)),AND(H$45&lt;('Entrada de Dados do Usuário'!$E88+1))),'Entrada de Dados do Usuário'!$D78*'Entrada de Dados do Usuário'!$E78,0))</f>
        <v>0</v>
      </c>
      <c r="I53" s="4">
        <f>IF('Entrada de Dados do Usuário'!$E88&lt;'Entrada de Dados do Usuário'!$D88,IF(OR(AND(I$45&gt;('Entrada de Dados do Usuário'!$D88-1)),AND(I$45&lt;('Entrada de Dados do Usuário'!$E88+1))),'Entrada de Dados do Usuário'!$D78*'Entrada de Dados do Usuário'!$E78,0),IF(AND(AND(I$45&gt;('Entrada de Dados do Usuário'!$D88-1)),AND(I$45&lt;('Entrada de Dados do Usuário'!$E88+1))),'Entrada de Dados do Usuário'!$D78*'Entrada de Dados do Usuário'!$E78,0))</f>
        <v>0</v>
      </c>
      <c r="J53" s="4">
        <f>IF('Entrada de Dados do Usuário'!$E88&lt;'Entrada de Dados do Usuário'!$D88,IF(OR(AND(J$45&gt;('Entrada de Dados do Usuário'!$D88-1)),AND(J$45&lt;('Entrada de Dados do Usuário'!$E88+1))),'Entrada de Dados do Usuário'!$D78*'Entrada de Dados do Usuário'!$E78,0),IF(AND(AND(J$45&gt;('Entrada de Dados do Usuário'!$D88-1)),AND(J$45&lt;('Entrada de Dados do Usuário'!$E88+1))),'Entrada de Dados do Usuário'!$D78*'Entrada de Dados do Usuário'!$E78,0))</f>
        <v>0</v>
      </c>
      <c r="K53" s="4">
        <f>IF('Entrada de Dados do Usuário'!$E88&lt;'Entrada de Dados do Usuário'!$D88,IF(OR(AND(K$45&gt;('Entrada de Dados do Usuário'!$D88-1)),AND(K$45&lt;('Entrada de Dados do Usuário'!$E88+1))),'Entrada de Dados do Usuário'!$D78*'Entrada de Dados do Usuário'!$E78,0),IF(AND(AND(K$45&gt;('Entrada de Dados do Usuário'!$D88-1)),AND(K$45&lt;('Entrada de Dados do Usuário'!$E88+1))),'Entrada de Dados do Usuário'!$D78*'Entrada de Dados do Usuário'!$E78,0))</f>
        <v>0</v>
      </c>
      <c r="L53" s="4">
        <f>IF('Entrada de Dados do Usuário'!$E88&lt;'Entrada de Dados do Usuário'!$D88,IF(OR(AND(L$45&gt;('Entrada de Dados do Usuário'!$D88-1)),AND(L$45&lt;('Entrada de Dados do Usuário'!$E88+1))),'Entrada de Dados do Usuário'!$D78*'Entrada de Dados do Usuário'!$E78,0),IF(AND(AND(L$45&gt;('Entrada de Dados do Usuário'!$D88-1)),AND(L$45&lt;('Entrada de Dados do Usuário'!$E88+1))),'Entrada de Dados do Usuário'!$D78*'Entrada de Dados do Usuário'!$E78,0))</f>
        <v>0</v>
      </c>
      <c r="M53" s="4">
        <f>IF('Entrada de Dados do Usuário'!$E88&lt;'Entrada de Dados do Usuário'!$D88,IF(OR(AND(M$45&gt;('Entrada de Dados do Usuário'!$D88-1)),AND(M$45&lt;('Entrada de Dados do Usuário'!$E88+1))),'Entrada de Dados do Usuário'!$D78*'Entrada de Dados do Usuário'!$E78,0),IF(AND(AND(M$45&gt;('Entrada de Dados do Usuário'!$D88-1)),AND(M$45&lt;('Entrada de Dados do Usuário'!$E88+1))),'Entrada de Dados do Usuário'!$D78*'Entrada de Dados do Usuário'!$E78,0))</f>
        <v>0</v>
      </c>
      <c r="N53" s="4">
        <f>IF('Entrada de Dados do Usuário'!$E88&lt;'Entrada de Dados do Usuário'!$D88,IF(OR(AND(N$45&gt;('Entrada de Dados do Usuário'!$D88-1)),AND(N$45&lt;('Entrada de Dados do Usuário'!$E88+1))),'Entrada de Dados do Usuário'!$D78*'Entrada de Dados do Usuário'!$E78,0),IF(AND(AND(N$45&gt;('Entrada de Dados do Usuário'!$D88-1)),AND(N$45&lt;('Entrada de Dados do Usuário'!$E88+1))),'Entrada de Dados do Usuário'!$D78*'Entrada de Dados do Usuário'!$E78,0))</f>
        <v>0</v>
      </c>
      <c r="O53" s="4">
        <f>IF('Entrada de Dados do Usuário'!$E88&lt;'Entrada de Dados do Usuário'!$D88,IF(OR(AND(O$45&gt;('Entrada de Dados do Usuário'!$D88-1)),AND(O$45&lt;('Entrada de Dados do Usuário'!$E88+1))),'Entrada de Dados do Usuário'!$D78*'Entrada de Dados do Usuário'!$E78,0),IF(AND(AND(O$45&gt;('Entrada de Dados do Usuário'!$D88-1)),AND(O$45&lt;('Entrada de Dados do Usuário'!$E88+1))),'Entrada de Dados do Usuário'!$D78*'Entrada de Dados do Usuário'!$E78,0))</f>
        <v>0</v>
      </c>
      <c r="P53" s="4">
        <f>IF('Entrada de Dados do Usuário'!$E88&lt;'Entrada de Dados do Usuário'!$D88,IF(OR(AND(P$45&gt;('Entrada de Dados do Usuário'!$D88-1)),AND(P$45&lt;('Entrada de Dados do Usuário'!$E88+1))),'Entrada de Dados do Usuário'!$D78*'Entrada de Dados do Usuário'!$E78,0),IF(AND(AND(P$45&gt;('Entrada de Dados do Usuário'!$D88-1)),AND(P$45&lt;('Entrada de Dados do Usuário'!$E88+1))),'Entrada de Dados do Usuário'!$D78*'Entrada de Dados do Usuário'!$E78,0))</f>
        <v>0</v>
      </c>
      <c r="Q53" s="4">
        <f>IF('Entrada de Dados do Usuário'!$E88&lt;'Entrada de Dados do Usuário'!$D88,IF(OR(AND(Q$45&gt;('Entrada de Dados do Usuário'!$D88-1)),AND(Q$45&lt;('Entrada de Dados do Usuário'!$E88+1))),'Entrada de Dados do Usuário'!$D78*'Entrada de Dados do Usuário'!$E78,0),IF(AND(AND(Q$45&gt;('Entrada de Dados do Usuário'!$D88-1)),AND(Q$45&lt;('Entrada de Dados do Usuário'!$E88+1))),'Entrada de Dados do Usuário'!$D78*'Entrada de Dados do Usuário'!$E78,0))</f>
        <v>0</v>
      </c>
      <c r="R53" s="4">
        <f>IF('Entrada de Dados do Usuário'!$E88&lt;'Entrada de Dados do Usuário'!$D88,IF(OR(AND(R$45&gt;('Entrada de Dados do Usuário'!$D88-1)),AND(R$45&lt;('Entrada de Dados do Usuário'!$E88+1))),'Entrada de Dados do Usuário'!$D78*'Entrada de Dados do Usuário'!$E78,0),IF(AND(AND(R$45&gt;('Entrada de Dados do Usuário'!$D88-1)),AND(R$45&lt;('Entrada de Dados do Usuário'!$E88+1))),'Entrada de Dados do Usuário'!$D78*'Entrada de Dados do Usuário'!$E78,0))</f>
        <v>0</v>
      </c>
      <c r="S53" s="4">
        <f>IF('Entrada de Dados do Usuário'!$E88&lt;'Entrada de Dados do Usuário'!$D88,IF(OR(AND(S$45&gt;('Entrada de Dados do Usuário'!$D88-1)),AND(S$45&lt;('Entrada de Dados do Usuário'!$E88+1))),'Entrada de Dados do Usuário'!$D78*'Entrada de Dados do Usuário'!$E78,0),IF(AND(AND(S$45&gt;('Entrada de Dados do Usuário'!$D88-1)),AND(S$45&lt;('Entrada de Dados do Usuário'!$E88+1))),'Entrada de Dados do Usuário'!$D78*'Entrada de Dados do Usuário'!$E78,0))</f>
        <v>0</v>
      </c>
      <c r="T53" s="4">
        <f>IF('Entrada de Dados do Usuário'!$E88&lt;'Entrada de Dados do Usuário'!$D88,IF(OR(AND(T$45&gt;('Entrada de Dados do Usuário'!$D88-1)),AND(T$45&lt;('Entrada de Dados do Usuário'!$E88+1))),'Entrada de Dados do Usuário'!$D78*'Entrada de Dados do Usuário'!$E78,0),IF(AND(AND(T$45&gt;('Entrada de Dados do Usuário'!$D88-1)),AND(T$45&lt;('Entrada de Dados do Usuário'!$E88+1))),'Entrada de Dados do Usuário'!$D78*'Entrada de Dados do Usuário'!$E78,0))</f>
        <v>0</v>
      </c>
      <c r="U53" s="4">
        <f>IF('Entrada de Dados do Usuário'!$E88&lt;'Entrada de Dados do Usuário'!$D88,IF(OR(AND(U$45&gt;('Entrada de Dados do Usuário'!$D88-1)),AND(U$45&lt;('Entrada de Dados do Usuário'!$E88+1))),'Entrada de Dados do Usuário'!$D78*'Entrada de Dados do Usuário'!$E78,0),IF(AND(AND(U$45&gt;('Entrada de Dados do Usuário'!$D88-1)),AND(U$45&lt;('Entrada de Dados do Usuário'!$E88+1))),'Entrada de Dados do Usuário'!$D78*'Entrada de Dados do Usuário'!$E78,0))</f>
        <v>0</v>
      </c>
      <c r="V53" s="4">
        <f>IF('Entrada de Dados do Usuário'!$E88&lt;'Entrada de Dados do Usuário'!$D88,IF(OR(AND(V$45&gt;('Entrada de Dados do Usuário'!$D88-1)),AND(V$45&lt;('Entrada de Dados do Usuário'!$E88+1))),'Entrada de Dados do Usuário'!$D78*'Entrada de Dados do Usuário'!$E78,0),IF(AND(AND(V$45&gt;('Entrada de Dados do Usuário'!$D88-1)),AND(V$45&lt;('Entrada de Dados do Usuário'!$E88+1))),'Entrada de Dados do Usuário'!$D78*'Entrada de Dados do Usuário'!$E78,0))</f>
        <v>0</v>
      </c>
      <c r="W53" s="4">
        <f>IF('Entrada de Dados do Usuário'!$E88&lt;'Entrada de Dados do Usuário'!$D88,IF(OR(AND(W$45&gt;('Entrada de Dados do Usuário'!$D88-1)),AND(W$45&lt;('Entrada de Dados do Usuário'!$E88+1))),'Entrada de Dados do Usuário'!$D78*'Entrada de Dados do Usuário'!$E78,0),IF(AND(AND(W$45&gt;('Entrada de Dados do Usuário'!$D88-1)),AND(W$45&lt;('Entrada de Dados do Usuário'!$E88+1))),'Entrada de Dados do Usuário'!$D78*'Entrada de Dados do Usuário'!$E78,0))</f>
        <v>0</v>
      </c>
      <c r="X53" s="4">
        <f>IF('Entrada de Dados do Usuário'!$E88&lt;'Entrada de Dados do Usuário'!$D88,IF(OR(AND(X$45&gt;('Entrada de Dados do Usuário'!$D88-1)),AND(X$45&lt;('Entrada de Dados do Usuário'!$E88+1))),'Entrada de Dados do Usuário'!$D78*'Entrada de Dados do Usuário'!$E78,0),IF(AND(AND(X$45&gt;('Entrada de Dados do Usuário'!$D88-1)),AND(X$45&lt;('Entrada de Dados do Usuário'!$E88+1))),'Entrada de Dados do Usuário'!$D78*'Entrada de Dados do Usuário'!$E78,0))</f>
        <v>0</v>
      </c>
      <c r="Y53" s="4">
        <f>IF('Entrada de Dados do Usuário'!$E88&lt;'Entrada de Dados do Usuário'!$D88,IF(OR(AND(Y$45&gt;('Entrada de Dados do Usuário'!$D88-1)),AND(Y$45&lt;('Entrada de Dados do Usuário'!$E88+1))),'Entrada de Dados do Usuário'!$D78*'Entrada de Dados do Usuário'!$E78,0),IF(AND(AND(Y$45&gt;('Entrada de Dados do Usuário'!$D88-1)),AND(Y$45&lt;('Entrada de Dados do Usuário'!$E88+1))),'Entrada de Dados do Usuário'!$D78*'Entrada de Dados do Usuário'!$E78,0))</f>
        <v>0</v>
      </c>
      <c r="Z53" s="4">
        <f>IF('Entrada de Dados do Usuário'!$E88&lt;'Entrada de Dados do Usuário'!$D88,IF(OR(AND(Z$45&gt;('Entrada de Dados do Usuário'!$D88-1)),AND(Z$45&lt;('Entrada de Dados do Usuário'!$E88+1))),'Entrada de Dados do Usuário'!$D78*'Entrada de Dados do Usuário'!$E78,0),IF(AND(AND(Z$45&gt;('Entrada de Dados do Usuário'!$D88-1)),AND(Z$45&lt;('Entrada de Dados do Usuário'!$E88+1))),'Entrada de Dados do Usuário'!$D78*'Entrada de Dados do Usuário'!$E78,0))</f>
        <v>0</v>
      </c>
    </row>
    <row r="54" spans="1:26" ht="15" thickBot="1">
      <c r="A54" s="175"/>
      <c r="B54" s="175" t="s">
        <v>195</v>
      </c>
      <c r="C54" s="175">
        <f>SUM(C46:C53)</f>
        <v>0</v>
      </c>
      <c r="D54" s="175">
        <f aca="true" t="shared" si="11" ref="D54:Z54">SUM(D46:D53)</f>
        <v>0</v>
      </c>
      <c r="E54" s="175">
        <f t="shared" si="11"/>
        <v>0</v>
      </c>
      <c r="F54" s="175">
        <f t="shared" si="11"/>
        <v>0</v>
      </c>
      <c r="G54" s="175">
        <f t="shared" si="11"/>
        <v>0</v>
      </c>
      <c r="H54" s="175">
        <f t="shared" si="11"/>
        <v>0</v>
      </c>
      <c r="I54" s="175">
        <f t="shared" si="11"/>
        <v>0</v>
      </c>
      <c r="J54" s="175">
        <f t="shared" si="11"/>
        <v>0</v>
      </c>
      <c r="K54" s="175">
        <f t="shared" si="11"/>
        <v>0</v>
      </c>
      <c r="L54" s="175">
        <f t="shared" si="11"/>
        <v>0</v>
      </c>
      <c r="M54" s="175">
        <f t="shared" si="11"/>
        <v>0</v>
      </c>
      <c r="N54" s="175">
        <f t="shared" si="11"/>
        <v>0</v>
      </c>
      <c r="O54" s="175">
        <f t="shared" si="11"/>
        <v>0</v>
      </c>
      <c r="P54" s="175">
        <f t="shared" si="11"/>
        <v>0</v>
      </c>
      <c r="Q54" s="175">
        <f t="shared" si="11"/>
        <v>0</v>
      </c>
      <c r="R54" s="175">
        <f t="shared" si="11"/>
        <v>0</v>
      </c>
      <c r="S54" s="175">
        <f t="shared" si="11"/>
        <v>0</v>
      </c>
      <c r="T54" s="175">
        <f t="shared" si="11"/>
        <v>0</v>
      </c>
      <c r="U54" s="175">
        <f t="shared" si="11"/>
        <v>0</v>
      </c>
      <c r="V54" s="175">
        <f t="shared" si="11"/>
        <v>0</v>
      </c>
      <c r="W54" s="175">
        <f t="shared" si="11"/>
        <v>0</v>
      </c>
      <c r="X54" s="175">
        <f t="shared" si="11"/>
        <v>0</v>
      </c>
      <c r="Y54" s="175">
        <f t="shared" si="11"/>
        <v>0</v>
      </c>
      <c r="Z54" s="175">
        <f t="shared" si="11"/>
        <v>0</v>
      </c>
    </row>
  </sheetData>
  <sheetProtection password="E9AB" sheet="1"/>
  <mergeCells count="17">
    <mergeCell ref="A20:W20"/>
    <mergeCell ref="A25:W25"/>
    <mergeCell ref="A26:W26"/>
    <mergeCell ref="X5:Y8"/>
    <mergeCell ref="X10:Y13"/>
    <mergeCell ref="X16:Y19"/>
    <mergeCell ref="X21:Y24"/>
    <mergeCell ref="A44:W44"/>
    <mergeCell ref="A32:W32"/>
    <mergeCell ref="C1:W1"/>
    <mergeCell ref="B1:B2"/>
    <mergeCell ref="A1:A2"/>
    <mergeCell ref="A14:W14"/>
    <mergeCell ref="A3:W3"/>
    <mergeCell ref="A9:W9"/>
    <mergeCell ref="A4:W4"/>
    <mergeCell ref="A15:W15"/>
  </mergeCells>
  <printOptions/>
  <pageMargins left="0.75" right="0.75" top="1" bottom="1" header="0.492125985" footer="0.492125985"/>
  <pageSetup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7"/>
  <sheetViews>
    <sheetView showGridLines="0" zoomScale="60" zoomScaleNormal="60" zoomScalePageLayoutView="0" workbookViewId="0" topLeftCell="A1">
      <pane ySplit="2" topLeftCell="A3" activePane="bottomLeft" state="frozen"/>
      <selection pane="topLeft" activeCell="B14" sqref="B14"/>
      <selection pane="bottomLeft" activeCell="K10" sqref="K10"/>
    </sheetView>
  </sheetViews>
  <sheetFormatPr defaultColWidth="9.140625" defaultRowHeight="15"/>
  <cols>
    <col min="1" max="1" width="9.7109375" style="0" customWidth="1"/>
    <col min="2" max="2" width="38.57421875" style="0" customWidth="1"/>
    <col min="3" max="23" width="10.421875" style="0" customWidth="1"/>
  </cols>
  <sheetData>
    <row r="1" spans="1:23" s="1" customFormat="1" ht="14.25">
      <c r="A1" s="371" t="s">
        <v>47</v>
      </c>
      <c r="B1" s="369" t="s">
        <v>98</v>
      </c>
      <c r="C1" s="367" t="s">
        <v>97</v>
      </c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8"/>
    </row>
    <row r="2" spans="1:23" s="1" customFormat="1" ht="14.25">
      <c r="A2" s="372"/>
      <c r="B2" s="370"/>
      <c r="C2" s="8">
        <v>1</v>
      </c>
      <c r="D2" s="8">
        <v>2</v>
      </c>
      <c r="E2" s="8">
        <v>3</v>
      </c>
      <c r="F2" s="8">
        <v>4</v>
      </c>
      <c r="G2" s="8">
        <v>5</v>
      </c>
      <c r="H2" s="8">
        <v>6</v>
      </c>
      <c r="I2" s="8">
        <v>7</v>
      </c>
      <c r="J2" s="8">
        <v>8</v>
      </c>
      <c r="K2" s="8">
        <v>9</v>
      </c>
      <c r="L2" s="8">
        <v>10</v>
      </c>
      <c r="M2" s="8">
        <v>11</v>
      </c>
      <c r="N2" s="8">
        <v>12</v>
      </c>
      <c r="O2" s="8">
        <v>13</v>
      </c>
      <c r="P2" s="8">
        <v>14</v>
      </c>
      <c r="Q2" s="8">
        <v>15</v>
      </c>
      <c r="R2" s="8">
        <v>16</v>
      </c>
      <c r="S2" s="8">
        <v>17</v>
      </c>
      <c r="T2" s="8">
        <v>18</v>
      </c>
      <c r="U2" s="8">
        <v>19</v>
      </c>
      <c r="V2" s="8">
        <v>20</v>
      </c>
      <c r="W2" s="12">
        <v>21</v>
      </c>
    </row>
    <row r="3" spans="1:23" s="3" customFormat="1" ht="21" thickBot="1">
      <c r="A3" s="376" t="s">
        <v>276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8"/>
    </row>
    <row r="4" spans="1:23" s="3" customFormat="1" ht="15" thickBot="1">
      <c r="A4" s="379" t="s">
        <v>274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1"/>
    </row>
    <row r="5" spans="1:23" s="125" customFormat="1" ht="14.25">
      <c r="A5" s="159" t="s">
        <v>29</v>
      </c>
      <c r="B5" s="160" t="s">
        <v>267</v>
      </c>
      <c r="C5" s="158">
        <f>ROUND('Modelo de Tecnologia'!C5,0)</f>
        <v>0</v>
      </c>
      <c r="D5" s="158">
        <f>ROUND('Modelo de Tecnologia'!D5,0)</f>
        <v>0</v>
      </c>
      <c r="E5" s="158">
        <f>ROUND('Modelo de Tecnologia'!E5,0)</f>
        <v>0</v>
      </c>
      <c r="F5" s="158">
        <f>ROUND('Modelo de Tecnologia'!F5,0)</f>
        <v>0</v>
      </c>
      <c r="G5" s="158">
        <f>ROUND('Modelo de Tecnologia'!G5,0)</f>
        <v>0</v>
      </c>
      <c r="H5" s="158">
        <f>ROUND('Modelo de Tecnologia'!H5,0)</f>
        <v>0</v>
      </c>
      <c r="I5" s="158">
        <f>ROUND('Modelo de Tecnologia'!I5,0)</f>
        <v>0</v>
      </c>
      <c r="J5" s="158">
        <f>ROUND('Modelo de Tecnologia'!J5,0)</f>
        <v>0</v>
      </c>
      <c r="K5" s="158">
        <f>ROUND('Modelo de Tecnologia'!K5,0)</f>
        <v>0</v>
      </c>
      <c r="L5" s="158">
        <f>ROUND('Modelo de Tecnologia'!L5,0)</f>
        <v>0</v>
      </c>
      <c r="M5" s="158">
        <f>ROUND('Modelo de Tecnologia'!M5,0)</f>
        <v>0</v>
      </c>
      <c r="N5" s="158">
        <f>ROUND('Modelo de Tecnologia'!N5,0)</f>
        <v>0</v>
      </c>
      <c r="O5" s="158">
        <f>ROUND('Modelo de Tecnologia'!O5,0)</f>
        <v>0</v>
      </c>
      <c r="P5" s="158">
        <f>ROUND('Modelo de Tecnologia'!P5,0)</f>
        <v>0</v>
      </c>
      <c r="Q5" s="158">
        <f>ROUND('Modelo de Tecnologia'!Q5,0)</f>
        <v>0</v>
      </c>
      <c r="R5" s="158">
        <f>ROUND('Modelo de Tecnologia'!R5,0)</f>
        <v>0</v>
      </c>
      <c r="S5" s="158">
        <f>ROUND('Modelo de Tecnologia'!S5,0)</f>
        <v>0</v>
      </c>
      <c r="T5" s="158">
        <f>ROUND('Modelo de Tecnologia'!T5,0)</f>
        <v>0</v>
      </c>
      <c r="U5" s="158">
        <f>ROUND('Modelo de Tecnologia'!U5,0)</f>
        <v>0</v>
      </c>
      <c r="V5" s="158">
        <f>ROUND('Modelo de Tecnologia'!V5,0)</f>
        <v>0</v>
      </c>
      <c r="W5" s="158">
        <f>ROUND('Modelo de Tecnologia'!W5,0)</f>
        <v>0</v>
      </c>
    </row>
    <row r="6" spans="1:23" s="126" customFormat="1" ht="28.5">
      <c r="A6" s="332" t="s">
        <v>262</v>
      </c>
      <c r="B6" s="155" t="s">
        <v>268</v>
      </c>
      <c r="C6" s="153">
        <f>IF('Entrada de Dados do Usuário'!$C$21=0,0,VLOOKUP('Entrada de Dados do Usuário'!$C$21,'Entradas de Cálculos'!$H$78:$I$86,2,FALSE))</f>
        <v>0</v>
      </c>
      <c r="D6" s="153">
        <f>IF('Entrada de Dados do Usuário'!$C$21=0,0,VLOOKUP('Entrada de Dados do Usuário'!$C$21,'Entradas de Cálculos'!$H$78:$I$86,2,FALSE))</f>
        <v>0</v>
      </c>
      <c r="E6" s="153">
        <f>IF('Entrada de Dados do Usuário'!$C$21=0,0,VLOOKUP('Entrada de Dados do Usuário'!$C$21,'Entradas de Cálculos'!$H$78:$I$86,2,FALSE))</f>
        <v>0</v>
      </c>
      <c r="F6" s="153">
        <f>IF('Entrada de Dados do Usuário'!$C$21=0,0,VLOOKUP('Entrada de Dados do Usuário'!$C$21,'Entradas de Cálculos'!$H$78:$I$86,2,FALSE))</f>
        <v>0</v>
      </c>
      <c r="G6" s="153">
        <f>IF('Entrada de Dados do Usuário'!$C$21=0,0,VLOOKUP('Entrada de Dados do Usuário'!$C$21,'Entradas de Cálculos'!$H$78:$I$86,2,FALSE))</f>
        <v>0</v>
      </c>
      <c r="H6" s="153">
        <f>IF('Entrada de Dados do Usuário'!$C$21=0,0,VLOOKUP('Entrada de Dados do Usuário'!$C$21,'Entradas de Cálculos'!$H$78:$I$86,2,FALSE))</f>
        <v>0</v>
      </c>
      <c r="I6" s="153">
        <f>IF('Entrada de Dados do Usuário'!$C$21=0,0,VLOOKUP('Entrada de Dados do Usuário'!$C$21,'Entradas de Cálculos'!$H$78:$I$86,2,FALSE))</f>
        <v>0</v>
      </c>
      <c r="J6" s="153">
        <f>IF('Entrada de Dados do Usuário'!$C$21=0,0,VLOOKUP('Entrada de Dados do Usuário'!$C$21,'Entradas de Cálculos'!$H$78:$I$86,2,FALSE))</f>
        <v>0</v>
      </c>
      <c r="K6" s="153">
        <f>IF('Entrada de Dados do Usuário'!$C$21=0,0,VLOOKUP('Entrada de Dados do Usuário'!$C$21,'Entradas de Cálculos'!$H$78:$I$86,2,FALSE))</f>
        <v>0</v>
      </c>
      <c r="L6" s="153">
        <f>IF('Entrada de Dados do Usuário'!$C$21=0,0,VLOOKUP('Entrada de Dados do Usuário'!$C$21,'Entradas de Cálculos'!$H$78:$I$86,2,FALSE))</f>
        <v>0</v>
      </c>
      <c r="M6" s="153">
        <f>IF('Entrada de Dados do Usuário'!$C$21=0,0,VLOOKUP('Entrada de Dados do Usuário'!$C$21,'Entradas de Cálculos'!$H$78:$I$86,2,FALSE))</f>
        <v>0</v>
      </c>
      <c r="N6" s="153">
        <f>IF('Entrada de Dados do Usuário'!$C$21=0,0,VLOOKUP('Entrada de Dados do Usuário'!$C$21,'Entradas de Cálculos'!$H$78:$I$86,2,FALSE))</f>
        <v>0</v>
      </c>
      <c r="O6" s="153">
        <f>IF('Entrada de Dados do Usuário'!$C$21=0,0,VLOOKUP('Entrada de Dados do Usuário'!$C$21,'Entradas de Cálculos'!$H$78:$I$86,2,FALSE))</f>
        <v>0</v>
      </c>
      <c r="P6" s="153">
        <f>IF('Entrada de Dados do Usuário'!$C$21=0,0,VLOOKUP('Entrada de Dados do Usuário'!$C$21,'Entradas de Cálculos'!$H$78:$I$86,2,FALSE))</f>
        <v>0</v>
      </c>
      <c r="Q6" s="153">
        <f>IF('Entrada de Dados do Usuário'!$C$21=0,0,VLOOKUP('Entrada de Dados do Usuário'!$C$21,'Entradas de Cálculos'!$H$78:$I$86,2,FALSE))</f>
        <v>0</v>
      </c>
      <c r="R6" s="153">
        <f>IF('Entrada de Dados do Usuário'!$C$21=0,0,VLOOKUP('Entrada de Dados do Usuário'!$C$21,'Entradas de Cálculos'!$H$78:$I$86,2,FALSE))</f>
        <v>0</v>
      </c>
      <c r="S6" s="153">
        <f>IF('Entrada de Dados do Usuário'!$C$21=0,0,VLOOKUP('Entrada de Dados do Usuário'!$C$21,'Entradas de Cálculos'!$H$78:$I$86,2,FALSE))</f>
        <v>0</v>
      </c>
      <c r="T6" s="153">
        <f>IF('Entrada de Dados do Usuário'!$C$21=0,0,VLOOKUP('Entrada de Dados do Usuário'!$C$21,'Entradas de Cálculos'!$H$78:$I$86,2,FALSE))</f>
        <v>0</v>
      </c>
      <c r="U6" s="153">
        <f>IF('Entrada de Dados do Usuário'!$C$21=0,0,VLOOKUP('Entrada de Dados do Usuário'!$C$21,'Entradas de Cálculos'!$H$78:$I$86,2,FALSE))</f>
        <v>0</v>
      </c>
      <c r="V6" s="153">
        <f>IF('Entrada de Dados do Usuário'!$C$21=0,0,VLOOKUP('Entrada de Dados do Usuário'!$C$21,'Entradas de Cálculos'!$H$78:$I$86,2,FALSE))</f>
        <v>0</v>
      </c>
      <c r="W6" s="153">
        <f>IF('Entrada de Dados do Usuário'!$C$21=0,0,VLOOKUP('Entrada de Dados do Usuário'!$C$21,'Entradas de Cálculos'!$H$78:$I$86,2,FALSE))</f>
        <v>0</v>
      </c>
    </row>
    <row r="7" spans="1:23" s="126" customFormat="1" ht="14.25">
      <c r="A7" s="332" t="s">
        <v>263</v>
      </c>
      <c r="B7" s="155" t="s">
        <v>269</v>
      </c>
      <c r="C7" s="153">
        <f>'Entrada de Dados do Usuário'!$C$27</f>
        <v>0</v>
      </c>
      <c r="D7" s="153">
        <f>'Entrada de Dados do Usuário'!$C$27</f>
        <v>0</v>
      </c>
      <c r="E7" s="153">
        <f>'Entrada de Dados do Usuário'!$C$27</f>
        <v>0</v>
      </c>
      <c r="F7" s="153">
        <f>'Entrada de Dados do Usuário'!$C$27</f>
        <v>0</v>
      </c>
      <c r="G7" s="153">
        <f>'Entrada de Dados do Usuário'!$C$27</f>
        <v>0</v>
      </c>
      <c r="H7" s="153">
        <f>'Entrada de Dados do Usuário'!$C$27</f>
        <v>0</v>
      </c>
      <c r="I7" s="153">
        <f>'Entrada de Dados do Usuário'!$C$27</f>
        <v>0</v>
      </c>
      <c r="J7" s="153">
        <f>'Entrada de Dados do Usuário'!$C$27</f>
        <v>0</v>
      </c>
      <c r="K7" s="153">
        <f>'Entrada de Dados do Usuário'!$C$27</f>
        <v>0</v>
      </c>
      <c r="L7" s="153">
        <f>'Entrada de Dados do Usuário'!$C$27</f>
        <v>0</v>
      </c>
      <c r="M7" s="153">
        <f>'Entrada de Dados do Usuário'!$C$27</f>
        <v>0</v>
      </c>
      <c r="N7" s="153">
        <f>'Entrada de Dados do Usuário'!$C$27</f>
        <v>0</v>
      </c>
      <c r="O7" s="153">
        <f>'Entrada de Dados do Usuário'!$C$27</f>
        <v>0</v>
      </c>
      <c r="P7" s="153">
        <f>'Entrada de Dados do Usuário'!$C$27</f>
        <v>0</v>
      </c>
      <c r="Q7" s="153">
        <f>'Entrada de Dados do Usuário'!$C$27</f>
        <v>0</v>
      </c>
      <c r="R7" s="153">
        <f>'Entrada de Dados do Usuário'!$C$27</f>
        <v>0</v>
      </c>
      <c r="S7" s="153">
        <f>'Entrada de Dados do Usuário'!$C$27</f>
        <v>0</v>
      </c>
      <c r="T7" s="153">
        <f>'Entrada de Dados do Usuário'!$C$27</f>
        <v>0</v>
      </c>
      <c r="U7" s="153">
        <f>'Entrada de Dados do Usuário'!$C$27</f>
        <v>0</v>
      </c>
      <c r="V7" s="153">
        <f>'Entrada de Dados do Usuário'!$C$27</f>
        <v>0</v>
      </c>
      <c r="W7" s="153">
        <f>'Entrada de Dados do Usuário'!$C$27</f>
        <v>0</v>
      </c>
    </row>
    <row r="8" spans="1:23" s="126" customFormat="1" ht="42.75">
      <c r="A8" s="332" t="s">
        <v>264</v>
      </c>
      <c r="B8" s="155" t="s">
        <v>273</v>
      </c>
      <c r="C8" s="153">
        <f>IF('Entrada de Dados do Usuário'!$C$21=0,0,VLOOKUP('Entrada de Dados do Usuário'!$C$21,'Entradas de Cálculos'!$H$78:$K$86,4,FALSE))*'Entradas de Cálculos'!$D$16</f>
        <v>0</v>
      </c>
      <c r="D8" s="153">
        <f>IF('Entrada de Dados do Usuário'!$C$21=0,0,VLOOKUP('Entrada de Dados do Usuário'!$C$21,'Entradas de Cálculos'!$H$78:$K$86,4,FALSE))*'Entradas de Cálculos'!$D$16</f>
        <v>0</v>
      </c>
      <c r="E8" s="153">
        <f>IF('Entrada de Dados do Usuário'!$C$21=0,0,VLOOKUP('Entrada de Dados do Usuário'!$C$21,'Entradas de Cálculos'!$H$78:$K$86,4,FALSE))*'Entradas de Cálculos'!$D$16</f>
        <v>0</v>
      </c>
      <c r="F8" s="153">
        <f>IF('Entrada de Dados do Usuário'!$C$21=0,0,VLOOKUP('Entrada de Dados do Usuário'!$C$21,'Entradas de Cálculos'!$H$78:$K$86,4,FALSE))*'Entradas de Cálculos'!$D$16</f>
        <v>0</v>
      </c>
      <c r="G8" s="153">
        <f>IF('Entrada de Dados do Usuário'!$C$21=0,0,VLOOKUP('Entrada de Dados do Usuário'!$C$21,'Entradas de Cálculos'!$H$78:$K$86,4,FALSE))*'Entradas de Cálculos'!$D$16</f>
        <v>0</v>
      </c>
      <c r="H8" s="153">
        <f>IF('Entrada de Dados do Usuário'!$C$21=0,0,VLOOKUP('Entrada de Dados do Usuário'!$C$21,'Entradas de Cálculos'!$H$78:$K$86,4,FALSE))*'Entradas de Cálculos'!$D$16</f>
        <v>0</v>
      </c>
      <c r="I8" s="153">
        <f>IF('Entrada de Dados do Usuário'!$C$21=0,0,VLOOKUP('Entrada de Dados do Usuário'!$C$21,'Entradas de Cálculos'!$H$78:$K$86,4,FALSE))*'Entradas de Cálculos'!$D$16</f>
        <v>0</v>
      </c>
      <c r="J8" s="153">
        <f>IF('Entrada de Dados do Usuário'!$C$21=0,0,VLOOKUP('Entrada de Dados do Usuário'!$C$21,'Entradas de Cálculos'!$H$78:$K$86,4,FALSE))*'Entradas de Cálculos'!$D$16</f>
        <v>0</v>
      </c>
      <c r="K8" s="153">
        <f>IF('Entrada de Dados do Usuário'!$C$21=0,0,VLOOKUP('Entrada de Dados do Usuário'!$C$21,'Entradas de Cálculos'!$H$78:$K$86,4,FALSE))*'Entradas de Cálculos'!$D$16</f>
        <v>0</v>
      </c>
      <c r="L8" s="153">
        <f>IF('Entrada de Dados do Usuário'!$C$21=0,0,VLOOKUP('Entrada de Dados do Usuário'!$C$21,'Entradas de Cálculos'!$H$78:$K$86,4,FALSE))*'Entradas de Cálculos'!$D$16</f>
        <v>0</v>
      </c>
      <c r="M8" s="153">
        <f>IF('Entrada de Dados do Usuário'!$C$21=0,0,VLOOKUP('Entrada de Dados do Usuário'!$C$21,'Entradas de Cálculos'!$H$78:$K$86,4,FALSE))*'Entradas de Cálculos'!$D$16</f>
        <v>0</v>
      </c>
      <c r="N8" s="153">
        <f>IF('Entrada de Dados do Usuário'!$C$21=0,0,VLOOKUP('Entrada de Dados do Usuário'!$C$21,'Entradas de Cálculos'!$H$78:$K$86,4,FALSE))*'Entradas de Cálculos'!$D$16</f>
        <v>0</v>
      </c>
      <c r="O8" s="153">
        <f>IF('Entrada de Dados do Usuário'!$C$21=0,0,VLOOKUP('Entrada de Dados do Usuário'!$C$21,'Entradas de Cálculos'!$H$78:$K$86,4,FALSE))*'Entradas de Cálculos'!$D$16</f>
        <v>0</v>
      </c>
      <c r="P8" s="153">
        <f>IF('Entrada de Dados do Usuário'!$C$21=0,0,VLOOKUP('Entrada de Dados do Usuário'!$C$21,'Entradas de Cálculos'!$H$78:$K$86,4,FALSE))*'Entradas de Cálculos'!$D$16</f>
        <v>0</v>
      </c>
      <c r="Q8" s="153">
        <f>IF('Entrada de Dados do Usuário'!$C$21=0,0,VLOOKUP('Entrada de Dados do Usuário'!$C$21,'Entradas de Cálculos'!$H$78:$K$86,4,FALSE))*'Entradas de Cálculos'!$D$16</f>
        <v>0</v>
      </c>
      <c r="R8" s="153">
        <f>IF('Entrada de Dados do Usuário'!$C$21=0,0,VLOOKUP('Entrada de Dados do Usuário'!$C$21,'Entradas de Cálculos'!$H$78:$K$86,4,FALSE))*'Entradas de Cálculos'!$D$16</f>
        <v>0</v>
      </c>
      <c r="S8" s="153">
        <f>IF('Entrada de Dados do Usuário'!$C$21=0,0,VLOOKUP('Entrada de Dados do Usuário'!$C$21,'Entradas de Cálculos'!$H$78:$K$86,4,FALSE))*'Entradas de Cálculos'!$D$16</f>
        <v>0</v>
      </c>
      <c r="T8" s="153">
        <f>IF('Entrada de Dados do Usuário'!$C$21=0,0,VLOOKUP('Entrada de Dados do Usuário'!$C$21,'Entradas de Cálculos'!$H$78:$K$86,4,FALSE))*'Entradas de Cálculos'!$D$16</f>
        <v>0</v>
      </c>
      <c r="U8" s="153">
        <f>IF('Entrada de Dados do Usuário'!$C$21=0,0,VLOOKUP('Entrada de Dados do Usuário'!$C$21,'Entradas de Cálculos'!$H$78:$K$86,4,FALSE))*'Entradas de Cálculos'!$D$16</f>
        <v>0</v>
      </c>
      <c r="V8" s="153">
        <f>IF('Entrada de Dados do Usuário'!$C$21=0,0,VLOOKUP('Entrada de Dados do Usuário'!$C$21,'Entradas de Cálculos'!$H$78:$K$86,4,FALSE))*'Entradas de Cálculos'!$D$16</f>
        <v>0</v>
      </c>
      <c r="W8" s="153">
        <f>IF('Entrada de Dados do Usuário'!$C$21=0,0,VLOOKUP('Entrada de Dados do Usuário'!$C$21,'Entradas de Cálculos'!$H$78:$K$86,4,FALSE))*'Entradas de Cálculos'!$D$16</f>
        <v>0</v>
      </c>
    </row>
    <row r="9" spans="1:23" s="126" customFormat="1" ht="42.75">
      <c r="A9" s="332" t="s">
        <v>265</v>
      </c>
      <c r="B9" s="155" t="s">
        <v>275</v>
      </c>
      <c r="C9" s="153">
        <f>IF(C8*C7=0,0,C8*C7/C6)</f>
        <v>0</v>
      </c>
      <c r="D9" s="153">
        <f aca="true" t="shared" si="0" ref="D9:W9">IF(D8*D7=0,0,D8*D7/D6)</f>
        <v>0</v>
      </c>
      <c r="E9" s="153">
        <f t="shared" si="0"/>
        <v>0</v>
      </c>
      <c r="F9" s="153">
        <f t="shared" si="0"/>
        <v>0</v>
      </c>
      <c r="G9" s="153">
        <f t="shared" si="0"/>
        <v>0</v>
      </c>
      <c r="H9" s="153">
        <f t="shared" si="0"/>
        <v>0</v>
      </c>
      <c r="I9" s="153">
        <f t="shared" si="0"/>
        <v>0</v>
      </c>
      <c r="J9" s="153">
        <f t="shared" si="0"/>
        <v>0</v>
      </c>
      <c r="K9" s="153">
        <f t="shared" si="0"/>
        <v>0</v>
      </c>
      <c r="L9" s="153">
        <f t="shared" si="0"/>
        <v>0</v>
      </c>
      <c r="M9" s="153">
        <f t="shared" si="0"/>
        <v>0</v>
      </c>
      <c r="N9" s="153">
        <f t="shared" si="0"/>
        <v>0</v>
      </c>
      <c r="O9" s="153">
        <f t="shared" si="0"/>
        <v>0</v>
      </c>
      <c r="P9" s="153">
        <f t="shared" si="0"/>
        <v>0</v>
      </c>
      <c r="Q9" s="153">
        <f t="shared" si="0"/>
        <v>0</v>
      </c>
      <c r="R9" s="153">
        <f t="shared" si="0"/>
        <v>0</v>
      </c>
      <c r="S9" s="153">
        <f t="shared" si="0"/>
        <v>0</v>
      </c>
      <c r="T9" s="153">
        <f t="shared" si="0"/>
        <v>0</v>
      </c>
      <c r="U9" s="153">
        <f t="shared" si="0"/>
        <v>0</v>
      </c>
      <c r="V9" s="153">
        <f t="shared" si="0"/>
        <v>0</v>
      </c>
      <c r="W9" s="153">
        <f t="shared" si="0"/>
        <v>0</v>
      </c>
    </row>
    <row r="10" spans="1:25" s="126" customFormat="1" ht="42.75">
      <c r="A10" s="154" t="s">
        <v>19</v>
      </c>
      <c r="B10" s="155" t="s">
        <v>272</v>
      </c>
      <c r="C10" s="153">
        <f>IF('Entrada de Dados do Usuário'!$C$21=0,0,VLOOKUP('Entrada de Dados do Usuário'!$C$21,'Entradas de Cálculos'!$H$78:$K$86,3,FALSE))</f>
        <v>0</v>
      </c>
      <c r="D10" s="153">
        <f>IF('Entrada de Dados do Usuário'!$C$21=0,0,VLOOKUP('Entrada de Dados do Usuário'!$C$21,'Entradas de Cálculos'!$H$78:$K$86,3,FALSE))</f>
        <v>0</v>
      </c>
      <c r="E10" s="153">
        <f>IF('Entrada de Dados do Usuário'!$C$21=0,0,VLOOKUP('Entrada de Dados do Usuário'!$C$21,'Entradas de Cálculos'!$H$78:$K$86,3,FALSE))</f>
        <v>0</v>
      </c>
      <c r="F10" s="153">
        <f>IF('Entrada de Dados do Usuário'!$C$21=0,0,VLOOKUP('Entrada de Dados do Usuário'!$C$21,'Entradas de Cálculos'!$H$78:$K$86,3,FALSE))</f>
        <v>0</v>
      </c>
      <c r="G10" s="153">
        <f>IF('Entrada de Dados do Usuário'!$C$21=0,0,VLOOKUP('Entrada de Dados do Usuário'!$C$21,'Entradas de Cálculos'!$H$78:$K$86,3,FALSE))</f>
        <v>0</v>
      </c>
      <c r="H10" s="153">
        <f>IF('Entrada de Dados do Usuário'!$C$21=0,0,VLOOKUP('Entrada de Dados do Usuário'!$C$21,'Entradas de Cálculos'!$H$78:$K$86,3,FALSE))</f>
        <v>0</v>
      </c>
      <c r="I10" s="153">
        <f>IF('Entrada de Dados do Usuário'!$C$21=0,0,VLOOKUP('Entrada de Dados do Usuário'!$C$21,'Entradas de Cálculos'!$H$78:$K$86,3,FALSE))</f>
        <v>0</v>
      </c>
      <c r="J10" s="153">
        <f>IF('Entrada de Dados do Usuário'!$C$21=0,0,VLOOKUP('Entrada de Dados do Usuário'!$C$21,'Entradas de Cálculos'!$H$78:$K$86,3,FALSE))</f>
        <v>0</v>
      </c>
      <c r="K10" s="153">
        <f>IF('Entrada de Dados do Usuário'!$C$21=0,0,VLOOKUP('Entrada de Dados do Usuário'!$C$21,'Entradas de Cálculos'!$H$78:$K$86,3,FALSE))</f>
        <v>0</v>
      </c>
      <c r="L10" s="153">
        <f>IF('Entrada de Dados do Usuário'!$C$21=0,0,VLOOKUP('Entrada de Dados do Usuário'!$C$21,'Entradas de Cálculos'!$H$78:$K$86,3,FALSE))</f>
        <v>0</v>
      </c>
      <c r="M10" s="153">
        <f>IF('Entrada de Dados do Usuário'!$C$21=0,0,VLOOKUP('Entrada de Dados do Usuário'!$C$21,'Entradas de Cálculos'!$H$78:$K$86,3,FALSE))</f>
        <v>0</v>
      </c>
      <c r="N10" s="153">
        <f>IF('Entrada de Dados do Usuário'!$C$21=0,0,VLOOKUP('Entrada de Dados do Usuário'!$C$21,'Entradas de Cálculos'!$H$78:$K$86,3,FALSE))</f>
        <v>0</v>
      </c>
      <c r="O10" s="153">
        <f>IF('Entrada de Dados do Usuário'!$C$21=0,0,VLOOKUP('Entrada de Dados do Usuário'!$C$21,'Entradas de Cálculos'!$H$78:$K$86,3,FALSE))</f>
        <v>0</v>
      </c>
      <c r="P10" s="153">
        <f>IF('Entrada de Dados do Usuário'!$C$21=0,0,VLOOKUP('Entrada de Dados do Usuário'!$C$21,'Entradas de Cálculos'!$H$78:$K$86,3,FALSE))</f>
        <v>0</v>
      </c>
      <c r="Q10" s="153">
        <f>IF('Entrada de Dados do Usuário'!$C$21=0,0,VLOOKUP('Entrada de Dados do Usuário'!$C$21,'Entradas de Cálculos'!$H$78:$K$86,3,FALSE))</f>
        <v>0</v>
      </c>
      <c r="R10" s="153">
        <f>IF('Entrada de Dados do Usuário'!$C$21=0,0,VLOOKUP('Entrada de Dados do Usuário'!$C$21,'Entradas de Cálculos'!$H$78:$K$86,3,FALSE))</f>
        <v>0</v>
      </c>
      <c r="S10" s="153">
        <f>IF('Entrada de Dados do Usuário'!$C$21=0,0,VLOOKUP('Entrada de Dados do Usuário'!$C$21,'Entradas de Cálculos'!$H$78:$K$86,3,FALSE))</f>
        <v>0</v>
      </c>
      <c r="T10" s="153">
        <f>IF('Entrada de Dados do Usuário'!$C$21=0,0,VLOOKUP('Entrada de Dados do Usuário'!$C$21,'Entradas de Cálculos'!$H$78:$K$86,3,FALSE))</f>
        <v>0</v>
      </c>
      <c r="U10" s="153">
        <f>IF('Entrada de Dados do Usuário'!$C$21=0,0,VLOOKUP('Entrada de Dados do Usuário'!$C$21,'Entradas de Cálculos'!$H$78:$K$86,3,FALSE))</f>
        <v>0</v>
      </c>
      <c r="V10" s="153">
        <f>IF('Entrada de Dados do Usuário'!$C$21=0,0,VLOOKUP('Entrada de Dados do Usuário'!$C$21,'Entradas de Cálculos'!$H$78:$K$86,3,FALSE))</f>
        <v>0</v>
      </c>
      <c r="W10" s="153">
        <f>IF('Entrada de Dados do Usuário'!$C$21=0,0,VLOOKUP('Entrada de Dados do Usuário'!$C$21,'Entradas de Cálculos'!$H$78:$K$86,3,FALSE))</f>
        <v>0</v>
      </c>
      <c r="Y10" s="130"/>
    </row>
    <row r="11" spans="1:23" s="126" customFormat="1" ht="28.5">
      <c r="A11" s="154" t="s">
        <v>20</v>
      </c>
      <c r="B11" s="155" t="s">
        <v>270</v>
      </c>
      <c r="C11" s="156">
        <f>'Entrada de Dados do Usuário'!$C$40</f>
        <v>0</v>
      </c>
      <c r="D11" s="156">
        <f>'Entrada de Dados do Usuário'!$C$40</f>
        <v>0</v>
      </c>
      <c r="E11" s="156">
        <f>'Entrada de Dados do Usuário'!$C$40</f>
        <v>0</v>
      </c>
      <c r="F11" s="156">
        <f>'Entrada de Dados do Usuário'!$C$40</f>
        <v>0</v>
      </c>
      <c r="G11" s="156">
        <f>'Entrada de Dados do Usuário'!$C$40</f>
        <v>0</v>
      </c>
      <c r="H11" s="156">
        <f>'Entrada de Dados do Usuário'!$C$40</f>
        <v>0</v>
      </c>
      <c r="I11" s="156">
        <f>'Entrada de Dados do Usuário'!$C$40</f>
        <v>0</v>
      </c>
      <c r="J11" s="156">
        <f>'Entrada de Dados do Usuário'!$C$40</f>
        <v>0</v>
      </c>
      <c r="K11" s="156">
        <f>'Entrada de Dados do Usuário'!$C$40</f>
        <v>0</v>
      </c>
      <c r="L11" s="156">
        <f>'Entrada de Dados do Usuário'!$C$40</f>
        <v>0</v>
      </c>
      <c r="M11" s="156">
        <f>'Entrada de Dados do Usuário'!$C$40</f>
        <v>0</v>
      </c>
      <c r="N11" s="156">
        <f>'Entrada de Dados do Usuário'!$C$40</f>
        <v>0</v>
      </c>
      <c r="O11" s="156">
        <f>'Entrada de Dados do Usuário'!$C$40</f>
        <v>0</v>
      </c>
      <c r="P11" s="156">
        <f>'Entrada de Dados do Usuário'!$C$40</f>
        <v>0</v>
      </c>
      <c r="Q11" s="156">
        <f>'Entrada de Dados do Usuário'!$C$40</f>
        <v>0</v>
      </c>
      <c r="R11" s="156">
        <f>'Entrada de Dados do Usuário'!$C$40</f>
        <v>0</v>
      </c>
      <c r="S11" s="156">
        <f>'Entrada de Dados do Usuário'!$C$40</f>
        <v>0</v>
      </c>
      <c r="T11" s="156">
        <f>'Entrada de Dados do Usuário'!$C$40</f>
        <v>0</v>
      </c>
      <c r="U11" s="156">
        <f>'Entrada de Dados do Usuário'!$C$40</f>
        <v>0</v>
      </c>
      <c r="V11" s="156">
        <f>'Entrada de Dados do Usuário'!$C$40</f>
        <v>0</v>
      </c>
      <c r="W11" s="156">
        <f>'Entrada de Dados do Usuário'!$C$40</f>
        <v>0</v>
      </c>
    </row>
    <row r="12" spans="1:23" s="126" customFormat="1" ht="42.75">
      <c r="A12" s="154" t="s">
        <v>28</v>
      </c>
      <c r="B12" s="155" t="s">
        <v>271</v>
      </c>
      <c r="C12" s="156">
        <f>IF('Entrada de Dados do Usuário'!$C$34=0,0,VLOOKUP('Entradas de Cálculos'!$D$45,'Entradas de Cálculos'!$I$56:$T$74,HLOOKUP('Entrada de Dados do Usuário'!$C$34,'Entradas de Cálculos'!$L$54:$T$55,2,FALSE),TRUE))</f>
        <v>0</v>
      </c>
      <c r="D12" s="156">
        <f>IF('Entrada de Dados do Usuário'!$C$34=0,0,VLOOKUP('Entradas de Cálculos'!$D$45,'Entradas de Cálculos'!$I$56:$T$74,HLOOKUP('Entrada de Dados do Usuário'!$C$34,'Entradas de Cálculos'!$L$54:$T$55,2,FALSE),TRUE))</f>
        <v>0</v>
      </c>
      <c r="E12" s="156">
        <f>IF('Entrada de Dados do Usuário'!$C$34=0,0,VLOOKUP('Entradas de Cálculos'!$D$45,'Entradas de Cálculos'!$I$56:$T$74,HLOOKUP('Entrada de Dados do Usuário'!$C$34,'Entradas de Cálculos'!$L$54:$T$55,2,FALSE),TRUE))</f>
        <v>0</v>
      </c>
      <c r="F12" s="156">
        <f>IF('Entrada de Dados do Usuário'!$C$34=0,0,VLOOKUP('Entradas de Cálculos'!$D$45,'Entradas de Cálculos'!$I$56:$T$74,HLOOKUP('Entrada de Dados do Usuário'!$C$34,'Entradas de Cálculos'!$L$54:$T$55,2,FALSE),TRUE))</f>
        <v>0</v>
      </c>
      <c r="G12" s="156">
        <f>IF('Entrada de Dados do Usuário'!$C$34=0,0,VLOOKUP('Entradas de Cálculos'!$D$45,'Entradas de Cálculos'!$I$56:$T$74,HLOOKUP('Entrada de Dados do Usuário'!$C$34,'Entradas de Cálculos'!$L$54:$T$55,2,FALSE),TRUE))</f>
        <v>0</v>
      </c>
      <c r="H12" s="156">
        <f>IF('Entrada de Dados do Usuário'!$C$34=0,0,VLOOKUP('Entradas de Cálculos'!$D$45,'Entradas de Cálculos'!$I$56:$T$74,HLOOKUP('Entrada de Dados do Usuário'!$C$34,'Entradas de Cálculos'!$L$54:$T$55,2,FALSE),TRUE))</f>
        <v>0</v>
      </c>
      <c r="I12" s="156">
        <f>IF('Entrada de Dados do Usuário'!$C$34=0,0,VLOOKUP('Entradas de Cálculos'!$D$45,'Entradas de Cálculos'!$I$56:$T$74,HLOOKUP('Entrada de Dados do Usuário'!$C$34,'Entradas de Cálculos'!$L$54:$T$55,2,FALSE),TRUE))</f>
        <v>0</v>
      </c>
      <c r="J12" s="156">
        <f>IF('Entrada de Dados do Usuário'!$C$34=0,0,VLOOKUP('Entradas de Cálculos'!$D$45,'Entradas de Cálculos'!$I$56:$T$74,HLOOKUP('Entrada de Dados do Usuário'!$C$34,'Entradas de Cálculos'!$L$54:$T$55,2,FALSE),TRUE))</f>
        <v>0</v>
      </c>
      <c r="K12" s="156">
        <f>IF('Entrada de Dados do Usuário'!$C$34=0,0,VLOOKUP('Entradas de Cálculos'!$D$45,'Entradas de Cálculos'!$I$56:$T$74,HLOOKUP('Entrada de Dados do Usuário'!$C$34,'Entradas de Cálculos'!$L$54:$T$55,2,FALSE),TRUE))</f>
        <v>0</v>
      </c>
      <c r="L12" s="156">
        <f>IF('Entrada de Dados do Usuário'!$C$34=0,0,VLOOKUP('Entradas de Cálculos'!$D$45,'Entradas de Cálculos'!$I$56:$T$74,HLOOKUP('Entrada de Dados do Usuário'!$C$34,'Entradas de Cálculos'!$L$54:$T$55,2,FALSE),TRUE))</f>
        <v>0</v>
      </c>
      <c r="M12" s="156">
        <f>IF('Entrada de Dados do Usuário'!$C$34=0,0,VLOOKUP('Entradas de Cálculos'!$D$45,'Entradas de Cálculos'!$I$56:$T$74,HLOOKUP('Entrada de Dados do Usuário'!$C$34,'Entradas de Cálculos'!$L$54:$T$55,2,FALSE),TRUE))</f>
        <v>0</v>
      </c>
      <c r="N12" s="156">
        <f>IF('Entrada de Dados do Usuário'!$C$34=0,0,VLOOKUP('Entradas de Cálculos'!$D$45,'Entradas de Cálculos'!$I$56:$T$74,HLOOKUP('Entrada de Dados do Usuário'!$C$34,'Entradas de Cálculos'!$L$54:$T$55,2,FALSE),TRUE))</f>
        <v>0</v>
      </c>
      <c r="O12" s="156">
        <f>IF('Entrada de Dados do Usuário'!$C$34=0,0,VLOOKUP('Entradas de Cálculos'!$D$45,'Entradas de Cálculos'!$I$56:$T$74,HLOOKUP('Entrada de Dados do Usuário'!$C$34,'Entradas de Cálculos'!$L$54:$T$55,2,FALSE),TRUE))</f>
        <v>0</v>
      </c>
      <c r="P12" s="156">
        <f>IF('Entrada de Dados do Usuário'!$C$34=0,0,VLOOKUP('Entradas de Cálculos'!$D$45,'Entradas de Cálculos'!$I$56:$T$74,HLOOKUP('Entrada de Dados do Usuário'!$C$34,'Entradas de Cálculos'!$L$54:$T$55,2,FALSE),TRUE))</f>
        <v>0</v>
      </c>
      <c r="Q12" s="156">
        <f>IF('Entrada de Dados do Usuário'!$C$34=0,0,VLOOKUP('Entradas de Cálculos'!$D$45,'Entradas de Cálculos'!$I$56:$T$74,HLOOKUP('Entrada de Dados do Usuário'!$C$34,'Entradas de Cálculos'!$L$54:$T$55,2,FALSE),TRUE))</f>
        <v>0</v>
      </c>
      <c r="R12" s="156">
        <f>IF('Entrada de Dados do Usuário'!$C$34=0,0,VLOOKUP('Entradas de Cálculos'!$D$45,'Entradas de Cálculos'!$I$56:$T$74,HLOOKUP('Entrada de Dados do Usuário'!$C$34,'Entradas de Cálculos'!$L$54:$T$55,2,FALSE),TRUE))</f>
        <v>0</v>
      </c>
      <c r="S12" s="156">
        <f>IF('Entrada de Dados do Usuário'!$C$34=0,0,VLOOKUP('Entradas de Cálculos'!$D$45,'Entradas de Cálculos'!$I$56:$T$74,HLOOKUP('Entrada de Dados do Usuário'!$C$34,'Entradas de Cálculos'!$L$54:$T$55,2,FALSE),TRUE))</f>
        <v>0</v>
      </c>
      <c r="T12" s="156">
        <f>IF('Entrada de Dados do Usuário'!$C$34=0,0,VLOOKUP('Entradas de Cálculos'!$D$45,'Entradas de Cálculos'!$I$56:$T$74,HLOOKUP('Entrada de Dados do Usuário'!$C$34,'Entradas de Cálculos'!$L$54:$T$55,2,FALSE),TRUE))</f>
        <v>0</v>
      </c>
      <c r="U12" s="156">
        <f>IF('Entrada de Dados do Usuário'!$C$34=0,0,VLOOKUP('Entradas de Cálculos'!$D$45,'Entradas de Cálculos'!$I$56:$T$74,HLOOKUP('Entrada de Dados do Usuário'!$C$34,'Entradas de Cálculos'!$L$54:$T$55,2,FALSE),TRUE))</f>
        <v>0</v>
      </c>
      <c r="V12" s="156">
        <f>IF('Entrada de Dados do Usuário'!$C$34=0,0,VLOOKUP('Entradas de Cálculos'!$D$45,'Entradas de Cálculos'!$I$56:$T$74,HLOOKUP('Entrada de Dados do Usuário'!$C$34,'Entradas de Cálculos'!$L$54:$T$55,2,FALSE),TRUE))</f>
        <v>0</v>
      </c>
      <c r="W12" s="156">
        <f>IF('Entrada de Dados do Usuário'!$C$34=0,0,VLOOKUP('Entradas de Cálculos'!$D$45,'Entradas de Cálculos'!$I$56:$T$74,HLOOKUP('Entrada de Dados do Usuário'!$C$34,'Entradas de Cálculos'!$L$54:$T$55,2,FALSE),TRUE))</f>
        <v>0</v>
      </c>
    </row>
    <row r="13" spans="1:23" s="126" customFormat="1" ht="14.25">
      <c r="A13" s="150"/>
      <c r="B13" s="157" t="s">
        <v>259</v>
      </c>
      <c r="C13" s="171">
        <f>'Entradas de Cálculos'!$D$47*'Entradas de Cálculos'!$D$49*'Entradas de Cálculos'!$D$48*'Modelo de CR'!C12*'Modelo de CR'!C10*'Modelo de CR'!C5*'Modelo de CR'!C9*'Modelo de CR'!C11*'Entradas de Cálculos'!$D$22*'Entradas de Cálculos'!$D$92</f>
        <v>0</v>
      </c>
      <c r="D13" s="171">
        <f>'Entradas de Cálculos'!$D$47*'Entradas de Cálculos'!$D$49*'Entradas de Cálculos'!$D$48*'Modelo de CR'!D12*'Modelo de CR'!D10*'Modelo de CR'!D5*'Modelo de CR'!D9*'Modelo de CR'!D11*'Entradas de Cálculos'!$D$22*'Entradas de Cálculos'!$D$92</f>
        <v>0</v>
      </c>
      <c r="E13" s="171">
        <f>'Entradas de Cálculos'!$D$47*'Entradas de Cálculos'!$D$49*'Entradas de Cálculos'!$D$48*'Modelo de CR'!E12*'Modelo de CR'!E10*'Modelo de CR'!E5*'Modelo de CR'!E9*'Modelo de CR'!E11*'Entradas de Cálculos'!$D$22*'Entradas de Cálculos'!$D$92</f>
        <v>0</v>
      </c>
      <c r="F13" s="171">
        <f>'Entradas de Cálculos'!$D$47*'Entradas de Cálculos'!$D$49*'Entradas de Cálculos'!$D$48*'Modelo de CR'!F12*'Modelo de CR'!F10*'Modelo de CR'!F5*'Modelo de CR'!F9*'Modelo de CR'!F11*'Entradas de Cálculos'!$D$22*'Entradas de Cálculos'!$D$92</f>
        <v>0</v>
      </c>
      <c r="G13" s="171">
        <f>'Entradas de Cálculos'!$D$47*'Entradas de Cálculos'!$D$49*'Entradas de Cálculos'!$D$48*'Modelo de CR'!G12*'Modelo de CR'!G10*'Modelo de CR'!G5*'Modelo de CR'!G9*'Modelo de CR'!G11*'Entradas de Cálculos'!$D$22*'Entradas de Cálculos'!$D$92</f>
        <v>0</v>
      </c>
      <c r="H13" s="171">
        <f>'Entradas de Cálculos'!$D$47*'Entradas de Cálculos'!$D$49*'Entradas de Cálculos'!$D$48*'Modelo de CR'!H12*'Modelo de CR'!H10*'Modelo de CR'!H5*'Modelo de CR'!H9*'Modelo de CR'!H11*'Entradas de Cálculos'!$D$22*'Entradas de Cálculos'!$D$92</f>
        <v>0</v>
      </c>
      <c r="I13" s="171">
        <f>'Entradas de Cálculos'!$D$47*'Entradas de Cálculos'!$D$49*'Entradas de Cálculos'!$D$48*'Modelo de CR'!I12*'Modelo de CR'!I10*'Modelo de CR'!I5*'Modelo de CR'!I9*'Modelo de CR'!I11*'Entradas de Cálculos'!$D$22*'Entradas de Cálculos'!$D$92</f>
        <v>0</v>
      </c>
      <c r="J13" s="171">
        <f>'Entradas de Cálculos'!$D$47*'Entradas de Cálculos'!$D$49*'Entradas de Cálculos'!$D$48*'Modelo de CR'!J12*'Modelo de CR'!J10*'Modelo de CR'!J5*'Modelo de CR'!J9*'Modelo de CR'!J11*'Entradas de Cálculos'!$D$22*'Entradas de Cálculos'!$D$92</f>
        <v>0</v>
      </c>
      <c r="K13" s="171">
        <f>'Entradas de Cálculos'!$D$47*'Entradas de Cálculos'!$D$49*'Entradas de Cálculos'!$D$48*'Modelo de CR'!K12*'Modelo de CR'!K10*'Modelo de CR'!K5*'Modelo de CR'!K9*'Modelo de CR'!K11*'Entradas de Cálculos'!$D$22*'Entradas de Cálculos'!$D$92</f>
        <v>0</v>
      </c>
      <c r="L13" s="171">
        <f>'Entradas de Cálculos'!$D$47*'Entradas de Cálculos'!$D$49*'Entradas de Cálculos'!$D$48*'Modelo de CR'!L12*'Modelo de CR'!L10*'Modelo de CR'!L5*'Modelo de CR'!L9*'Modelo de CR'!L11*'Entradas de Cálculos'!$D$22*'Entradas de Cálculos'!$D$92</f>
        <v>0</v>
      </c>
      <c r="M13" s="171">
        <f>'Entradas de Cálculos'!$D$47*'Entradas de Cálculos'!$D$49*'Entradas de Cálculos'!$D$48*'Modelo de CR'!M12*'Modelo de CR'!M10*'Modelo de CR'!M5*'Modelo de CR'!M9*'Modelo de CR'!M11*'Entradas de Cálculos'!$D$22*'Entradas de Cálculos'!$D$92</f>
        <v>0</v>
      </c>
      <c r="N13" s="171">
        <f>'Entradas de Cálculos'!$D$47*'Entradas de Cálculos'!$D$49*'Entradas de Cálculos'!$D$48*'Modelo de CR'!N12*'Modelo de CR'!N10*'Modelo de CR'!N5*'Modelo de CR'!N9*'Modelo de CR'!N11*'Entradas de Cálculos'!$D$22*'Entradas de Cálculos'!$D$92</f>
        <v>0</v>
      </c>
      <c r="O13" s="171">
        <f>'Entradas de Cálculos'!$D$47*'Entradas de Cálculos'!$D$49*'Entradas de Cálculos'!$D$48*'Modelo de CR'!O12*'Modelo de CR'!O10*'Modelo de CR'!O5*'Modelo de CR'!O9*'Modelo de CR'!O11*'Entradas de Cálculos'!$D$22*'Entradas de Cálculos'!$D$92</f>
        <v>0</v>
      </c>
      <c r="P13" s="171">
        <f>'Entradas de Cálculos'!$D$47*'Entradas de Cálculos'!$D$49*'Entradas de Cálculos'!$D$48*'Modelo de CR'!P12*'Modelo de CR'!P10*'Modelo de CR'!P5*'Modelo de CR'!P9*'Modelo de CR'!P11*'Entradas de Cálculos'!$D$22*'Entradas de Cálculos'!$D$92</f>
        <v>0</v>
      </c>
      <c r="Q13" s="171">
        <f>'Entradas de Cálculos'!$D$47*'Entradas de Cálculos'!$D$49*'Entradas de Cálculos'!$D$48*'Modelo de CR'!Q12*'Modelo de CR'!Q10*'Modelo de CR'!Q5*'Modelo de CR'!Q9*'Modelo de CR'!Q11*'Entradas de Cálculos'!$D$22*'Entradas de Cálculos'!$D$92</f>
        <v>0</v>
      </c>
      <c r="R13" s="171">
        <f>'Entradas de Cálculos'!$D$47*'Entradas de Cálculos'!$D$49*'Entradas de Cálculos'!$D$48*'Modelo de CR'!R12*'Modelo de CR'!R10*'Modelo de CR'!R5*'Modelo de CR'!R9*'Modelo de CR'!R11*'Entradas de Cálculos'!$D$22*'Entradas de Cálculos'!$D$92</f>
        <v>0</v>
      </c>
      <c r="S13" s="171">
        <f>'Entradas de Cálculos'!$D$47*'Entradas de Cálculos'!$D$49*'Entradas de Cálculos'!$D$48*'Modelo de CR'!S12*'Modelo de CR'!S10*'Modelo de CR'!S5*'Modelo de CR'!S9*'Modelo de CR'!S11*'Entradas de Cálculos'!$D$22*'Entradas de Cálculos'!$D$92</f>
        <v>0</v>
      </c>
      <c r="T13" s="171">
        <f>'Entradas de Cálculos'!$D$47*'Entradas de Cálculos'!$D$49*'Entradas de Cálculos'!$D$48*'Modelo de CR'!T12*'Modelo de CR'!T10*'Modelo de CR'!T5*'Modelo de CR'!T9*'Modelo de CR'!T11*'Entradas de Cálculos'!$D$22*'Entradas de Cálculos'!$D$92</f>
        <v>0</v>
      </c>
      <c r="U13" s="171">
        <f>'Entradas de Cálculos'!$D$47*'Entradas de Cálculos'!$D$49*'Entradas de Cálculos'!$D$48*'Modelo de CR'!U12*'Modelo de CR'!U10*'Modelo de CR'!U5*'Modelo de CR'!U9*'Modelo de CR'!U11*'Entradas de Cálculos'!$D$22*'Entradas de Cálculos'!$D$92</f>
        <v>0</v>
      </c>
      <c r="V13" s="171">
        <f>'Entradas de Cálculos'!$D$47*'Entradas de Cálculos'!$D$49*'Entradas de Cálculos'!$D$48*'Modelo de CR'!V12*'Modelo de CR'!V10*'Modelo de CR'!V5*'Modelo de CR'!V9*'Modelo de CR'!V11*'Entradas de Cálculos'!$D$22*'Entradas de Cálculos'!$D$92</f>
        <v>0</v>
      </c>
      <c r="W13" s="171">
        <f>'Entradas de Cálculos'!$D$47*'Entradas de Cálculos'!$D$49*'Entradas de Cálculos'!$D$48*'Modelo de CR'!W12*'Modelo de CR'!W10*'Modelo de CR'!W5*'Modelo de CR'!W9*'Modelo de CR'!W11*'Entradas de Cálculos'!$D$22*'Entradas de Cálculos'!$D$92</f>
        <v>0</v>
      </c>
    </row>
    <row r="14" spans="1:23" s="126" customFormat="1" ht="15" thickBot="1">
      <c r="A14" s="150"/>
      <c r="B14" s="157" t="s">
        <v>260</v>
      </c>
      <c r="C14" s="171">
        <f>'Entradas de Cálculos'!$D$93*'Entradas de Cálculos'!$D$47*'Entradas de Cálculos'!$D$49*'Entradas de Cálculos'!$D$48*'Modelo de CR'!C10*'Modelo de CR'!C5*'Modelo de CR'!C9*'Modelo de CR'!C11*'Entradas de Cálculos'!$D$22*'Entradas de Cálculos'!$D$92</f>
        <v>0</v>
      </c>
      <c r="D14" s="171">
        <f>'Entradas de Cálculos'!$D$93*'Entradas de Cálculos'!$D$47*'Entradas de Cálculos'!$D$49*'Entradas de Cálculos'!$D$48*'Modelo de CR'!D10*'Modelo de CR'!D5*'Modelo de CR'!D9*'Modelo de CR'!D11*'Entradas de Cálculos'!$D$22*'Entradas de Cálculos'!$D$92</f>
        <v>0</v>
      </c>
      <c r="E14" s="171">
        <f>'Entradas de Cálculos'!$D$93*'Entradas de Cálculos'!$D$47*'Entradas de Cálculos'!$D$49*'Entradas de Cálculos'!$D$48*'Modelo de CR'!E10*'Modelo de CR'!E5*'Modelo de CR'!E9*'Modelo de CR'!E11*'Entradas de Cálculos'!$D$22*'Entradas de Cálculos'!$D$92</f>
        <v>0</v>
      </c>
      <c r="F14" s="171">
        <f>'Entradas de Cálculos'!$D$93*'Entradas de Cálculos'!$D$47*'Entradas de Cálculos'!$D$49*'Entradas de Cálculos'!$D$48*'Modelo de CR'!F10*'Modelo de CR'!F5*'Modelo de CR'!F9*'Modelo de CR'!F11*'Entradas de Cálculos'!$D$22*'Entradas de Cálculos'!$D$92</f>
        <v>0</v>
      </c>
      <c r="G14" s="171">
        <f>'Entradas de Cálculos'!$D$93*'Entradas de Cálculos'!$D$47*'Entradas de Cálculos'!$D$49*'Entradas de Cálculos'!$D$48*'Modelo de CR'!G10*'Modelo de CR'!G5*'Modelo de CR'!G9*'Modelo de CR'!G11*'Entradas de Cálculos'!$D$22*'Entradas de Cálculos'!$D$92</f>
        <v>0</v>
      </c>
      <c r="H14" s="171">
        <f>'Entradas de Cálculos'!$D$93*'Entradas de Cálculos'!$D$47*'Entradas de Cálculos'!$D$49*'Entradas de Cálculos'!$D$48*'Modelo de CR'!H10*'Modelo de CR'!H5*'Modelo de CR'!H9*'Modelo de CR'!H11*'Entradas de Cálculos'!$D$22*'Entradas de Cálculos'!$D$92</f>
        <v>0</v>
      </c>
      <c r="I14" s="171">
        <f>'Entradas de Cálculos'!$D$93*'Entradas de Cálculos'!$D$47*'Entradas de Cálculos'!$D$49*'Entradas de Cálculos'!$D$48*'Modelo de CR'!I10*'Modelo de CR'!I5*'Modelo de CR'!I9*'Modelo de CR'!I11*'Entradas de Cálculos'!$D$22*'Entradas de Cálculos'!$D$92</f>
        <v>0</v>
      </c>
      <c r="J14" s="171">
        <f>'Entradas de Cálculos'!$D$93*'Entradas de Cálculos'!$D$47*'Entradas de Cálculos'!$D$49*'Entradas de Cálculos'!$D$48*'Modelo de CR'!J10*'Modelo de CR'!J5*'Modelo de CR'!J9*'Modelo de CR'!J11*'Entradas de Cálculos'!$D$22*'Entradas de Cálculos'!$D$92</f>
        <v>0</v>
      </c>
      <c r="K14" s="171">
        <f>'Entradas de Cálculos'!$D$93*'Entradas de Cálculos'!$D$47*'Entradas de Cálculos'!$D$49*'Entradas de Cálculos'!$D$48*'Modelo de CR'!K10*'Modelo de CR'!K5*'Modelo de CR'!K9*'Modelo de CR'!K11*'Entradas de Cálculos'!$D$22*'Entradas de Cálculos'!$D$92</f>
        <v>0</v>
      </c>
      <c r="L14" s="171">
        <f>'Entradas de Cálculos'!$D$93*'Entradas de Cálculos'!$D$47*'Entradas de Cálculos'!$D$49*'Entradas de Cálculos'!$D$48*'Modelo de CR'!L10*'Modelo de CR'!L5*'Modelo de CR'!L9*'Modelo de CR'!L11*'Entradas de Cálculos'!$D$22*'Entradas de Cálculos'!$D$92</f>
        <v>0</v>
      </c>
      <c r="M14" s="171">
        <f>'Entradas de Cálculos'!$D$93*'Entradas de Cálculos'!$D$47*'Entradas de Cálculos'!$D$49*'Entradas de Cálculos'!$D$48*'Modelo de CR'!M10*'Modelo de CR'!M5*'Modelo de CR'!M9*'Modelo de CR'!M11*'Entradas de Cálculos'!$D$22*'Entradas de Cálculos'!$D$92</f>
        <v>0</v>
      </c>
      <c r="N14" s="171">
        <f>'Entradas de Cálculos'!$D$93*'Entradas de Cálculos'!$D$47*'Entradas de Cálculos'!$D$49*'Entradas de Cálculos'!$D$48*'Modelo de CR'!N10*'Modelo de CR'!N5*'Modelo de CR'!N9*'Modelo de CR'!N11*'Entradas de Cálculos'!$D$22*'Entradas de Cálculos'!$D$92</f>
        <v>0</v>
      </c>
      <c r="O14" s="171">
        <f>'Entradas de Cálculos'!$D$93*'Entradas de Cálculos'!$D$47*'Entradas de Cálculos'!$D$49*'Entradas de Cálculos'!$D$48*'Modelo de CR'!O10*'Modelo de CR'!O5*'Modelo de CR'!O9*'Modelo de CR'!O11*'Entradas de Cálculos'!$D$22*'Entradas de Cálculos'!$D$92</f>
        <v>0</v>
      </c>
      <c r="P14" s="171">
        <f>'Entradas de Cálculos'!$D$93*'Entradas de Cálculos'!$D$47*'Entradas de Cálculos'!$D$49*'Entradas de Cálculos'!$D$48*'Modelo de CR'!P10*'Modelo de CR'!P5*'Modelo de CR'!P9*'Modelo de CR'!P11*'Entradas de Cálculos'!$D$22*'Entradas de Cálculos'!$D$92</f>
        <v>0</v>
      </c>
      <c r="Q14" s="171">
        <f>'Entradas de Cálculos'!$D$93*'Entradas de Cálculos'!$D$47*'Entradas de Cálculos'!$D$49*'Entradas de Cálculos'!$D$48*'Modelo de CR'!Q10*'Modelo de CR'!Q5*'Modelo de CR'!Q9*'Modelo de CR'!Q11*'Entradas de Cálculos'!$D$22*'Entradas de Cálculos'!$D$92</f>
        <v>0</v>
      </c>
      <c r="R14" s="171">
        <f>'Entradas de Cálculos'!$D$93*'Entradas de Cálculos'!$D$47*'Entradas de Cálculos'!$D$49*'Entradas de Cálculos'!$D$48*'Modelo de CR'!R10*'Modelo de CR'!R5*'Modelo de CR'!R9*'Modelo de CR'!R11*'Entradas de Cálculos'!$D$22*'Entradas de Cálculos'!$D$92</f>
        <v>0</v>
      </c>
      <c r="S14" s="171">
        <f>'Entradas de Cálculos'!$D$93*'Entradas de Cálculos'!$D$47*'Entradas de Cálculos'!$D$49*'Entradas de Cálculos'!$D$48*'Modelo de CR'!S10*'Modelo de CR'!S5*'Modelo de CR'!S9*'Modelo de CR'!S11*'Entradas de Cálculos'!$D$22*'Entradas de Cálculos'!$D$92</f>
        <v>0</v>
      </c>
      <c r="T14" s="171">
        <f>'Entradas de Cálculos'!$D$93*'Entradas de Cálculos'!$D$47*'Entradas de Cálculos'!$D$49*'Entradas de Cálculos'!$D$48*'Modelo de CR'!T10*'Modelo de CR'!T5*'Modelo de CR'!T9*'Modelo de CR'!T11*'Entradas de Cálculos'!$D$22*'Entradas de Cálculos'!$D$92</f>
        <v>0</v>
      </c>
      <c r="U14" s="171">
        <f>'Entradas de Cálculos'!$D$93*'Entradas de Cálculos'!$D$47*'Entradas de Cálculos'!$D$49*'Entradas de Cálculos'!$D$48*'Modelo de CR'!U10*'Modelo de CR'!U5*'Modelo de CR'!U9*'Modelo de CR'!U11*'Entradas de Cálculos'!$D$22*'Entradas de Cálculos'!$D$92</f>
        <v>0</v>
      </c>
      <c r="V14" s="171">
        <f>'Entradas de Cálculos'!$D$93*'Entradas de Cálculos'!$D$47*'Entradas de Cálculos'!$D$49*'Entradas de Cálculos'!$D$48*'Modelo de CR'!V10*'Modelo de CR'!V5*'Modelo de CR'!V9*'Modelo de CR'!V11*'Entradas de Cálculos'!$D$22*'Entradas de Cálculos'!$D$92</f>
        <v>0</v>
      </c>
      <c r="W14" s="171">
        <f>'Entradas de Cálculos'!$D$93*'Entradas de Cálculos'!$D$47*'Entradas de Cálculos'!$D$49*'Entradas de Cálculos'!$D$48*'Modelo de CR'!W10*'Modelo de CR'!W5*'Modelo de CR'!W9*'Modelo de CR'!W11*'Entradas de Cálculos'!$D$22*'Entradas de Cálculos'!$D$92</f>
        <v>0</v>
      </c>
    </row>
    <row r="15" spans="1:23" ht="15" thickBot="1">
      <c r="A15" s="379" t="s">
        <v>266</v>
      </c>
      <c r="B15" s="380"/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380"/>
      <c r="U15" s="380"/>
      <c r="V15" s="380"/>
      <c r="W15" s="381"/>
    </row>
    <row r="16" spans="1:23" ht="14.25">
      <c r="A16" s="146" t="s">
        <v>29</v>
      </c>
      <c r="B16" s="124"/>
      <c r="C16" s="158">
        <f>'Modelo de Tecnologia'!C10</f>
        <v>0</v>
      </c>
      <c r="D16" s="158">
        <f>'Modelo de Tecnologia'!D10</f>
        <v>0</v>
      </c>
      <c r="E16" s="158">
        <f>'Modelo de Tecnologia'!E10</f>
        <v>0</v>
      </c>
      <c r="F16" s="158">
        <f>'Modelo de Tecnologia'!F10</f>
        <v>0</v>
      </c>
      <c r="G16" s="158">
        <f>'Modelo de Tecnologia'!G10</f>
        <v>0</v>
      </c>
      <c r="H16" s="158">
        <f>'Modelo de Tecnologia'!H10</f>
        <v>0</v>
      </c>
      <c r="I16" s="158">
        <f>'Modelo de Tecnologia'!I10</f>
        <v>0</v>
      </c>
      <c r="J16" s="158">
        <f>'Modelo de Tecnologia'!J10</f>
        <v>0</v>
      </c>
      <c r="K16" s="158">
        <f>'Modelo de Tecnologia'!K10</f>
        <v>0</v>
      </c>
      <c r="L16" s="158">
        <f>'Modelo de Tecnologia'!L10</f>
        <v>0</v>
      </c>
      <c r="M16" s="158">
        <f>'Modelo de Tecnologia'!M10</f>
        <v>0</v>
      </c>
      <c r="N16" s="158">
        <f>'Modelo de Tecnologia'!N10</f>
        <v>0</v>
      </c>
      <c r="O16" s="158">
        <f>'Modelo de Tecnologia'!O10</f>
        <v>0</v>
      </c>
      <c r="P16" s="158">
        <f>'Modelo de Tecnologia'!P10</f>
        <v>0</v>
      </c>
      <c r="Q16" s="158">
        <f>'Modelo de Tecnologia'!Q10</f>
        <v>0</v>
      </c>
      <c r="R16" s="158">
        <f>'Modelo de Tecnologia'!R10</f>
        <v>0</v>
      </c>
      <c r="S16" s="158">
        <f>'Modelo de Tecnologia'!S10</f>
        <v>0</v>
      </c>
      <c r="T16" s="158">
        <f>'Modelo de Tecnologia'!T10</f>
        <v>0</v>
      </c>
      <c r="U16" s="158">
        <f>'Modelo de Tecnologia'!U10</f>
        <v>0</v>
      </c>
      <c r="V16" s="158">
        <f>'Modelo de Tecnologia'!V10</f>
        <v>0</v>
      </c>
      <c r="W16" s="158">
        <f>'Modelo de Tecnologia'!W10</f>
        <v>0</v>
      </c>
    </row>
    <row r="17" spans="1:23" ht="14.25">
      <c r="A17" s="331" t="s">
        <v>262</v>
      </c>
      <c r="B17" s="148"/>
      <c r="C17" s="153">
        <f>IF('Entrada de Dados do Usuário'!$C$22=0,0,VLOOKUP('Entrada de Dados do Usuário'!$C$22,'Entradas de Cálculos'!$H$114:$I$122,2,FALSE))</f>
        <v>0</v>
      </c>
      <c r="D17" s="153">
        <f>IF('Entrada de Dados do Usuário'!$C$22=0,0,VLOOKUP('Entrada de Dados do Usuário'!$C$22,'Entradas de Cálculos'!$H$114:$I$122,2,FALSE))</f>
        <v>0</v>
      </c>
      <c r="E17" s="153">
        <f>IF('Entrada de Dados do Usuário'!$C$22=0,0,VLOOKUP('Entrada de Dados do Usuário'!$C$22,'Entradas de Cálculos'!$H$114:$I$122,2,FALSE))</f>
        <v>0</v>
      </c>
      <c r="F17" s="153">
        <f>IF('Entrada de Dados do Usuário'!$C$22=0,0,VLOOKUP('Entrada de Dados do Usuário'!$C$22,'Entradas de Cálculos'!$H$114:$I$122,2,FALSE))</f>
        <v>0</v>
      </c>
      <c r="G17" s="153">
        <f>IF('Entrada de Dados do Usuário'!$C$22=0,0,VLOOKUP('Entrada de Dados do Usuário'!$C$22,'Entradas de Cálculos'!$H$114:$I$122,2,FALSE))</f>
        <v>0</v>
      </c>
      <c r="H17" s="153">
        <f>IF('Entrada de Dados do Usuário'!$C$22=0,0,VLOOKUP('Entrada de Dados do Usuário'!$C$22,'Entradas de Cálculos'!$H$114:$I$122,2,FALSE))</f>
        <v>0</v>
      </c>
      <c r="I17" s="153">
        <f>IF('Entrada de Dados do Usuário'!$C$22=0,0,VLOOKUP('Entrada de Dados do Usuário'!$C$22,'Entradas de Cálculos'!$H$114:$I$122,2,FALSE))</f>
        <v>0</v>
      </c>
      <c r="J17" s="153">
        <f>IF('Entrada de Dados do Usuário'!$C$22=0,0,VLOOKUP('Entrada de Dados do Usuário'!$C$22,'Entradas de Cálculos'!$H$114:$I$122,2,FALSE))</f>
        <v>0</v>
      </c>
      <c r="K17" s="153">
        <f>IF('Entrada de Dados do Usuário'!$C$22=0,0,VLOOKUP('Entrada de Dados do Usuário'!$C$22,'Entradas de Cálculos'!$H$114:$I$122,2,FALSE))</f>
        <v>0</v>
      </c>
      <c r="L17" s="153">
        <f>IF('Entrada de Dados do Usuário'!$C$22=0,0,VLOOKUP('Entrada de Dados do Usuário'!$C$22,'Entradas de Cálculos'!$H$114:$I$122,2,FALSE))</f>
        <v>0</v>
      </c>
      <c r="M17" s="153">
        <f>IF('Entrada de Dados do Usuário'!$C$22=0,0,VLOOKUP('Entrada de Dados do Usuário'!$C$22,'Entradas de Cálculos'!$H$114:$I$122,2,FALSE))</f>
        <v>0</v>
      </c>
      <c r="N17" s="153">
        <f>IF('Entrada de Dados do Usuário'!$C$22=0,0,VLOOKUP('Entrada de Dados do Usuário'!$C$22,'Entradas de Cálculos'!$H$114:$I$122,2,FALSE))</f>
        <v>0</v>
      </c>
      <c r="O17" s="153">
        <f>IF('Entrada de Dados do Usuário'!$C$22=0,0,VLOOKUP('Entrada de Dados do Usuário'!$C$22,'Entradas de Cálculos'!$H$114:$I$122,2,FALSE))</f>
        <v>0</v>
      </c>
      <c r="P17" s="153">
        <f>IF('Entrada de Dados do Usuário'!$C$22=0,0,VLOOKUP('Entrada de Dados do Usuário'!$C$22,'Entradas de Cálculos'!$H$114:$I$122,2,FALSE))</f>
        <v>0</v>
      </c>
      <c r="Q17" s="153">
        <f>IF('Entrada de Dados do Usuário'!$C$22=0,0,VLOOKUP('Entrada de Dados do Usuário'!$C$22,'Entradas de Cálculos'!$H$114:$I$122,2,FALSE))</f>
        <v>0</v>
      </c>
      <c r="R17" s="153">
        <f>IF('Entrada de Dados do Usuário'!$C$22=0,0,VLOOKUP('Entrada de Dados do Usuário'!$C$22,'Entradas de Cálculos'!$H$114:$I$122,2,FALSE))</f>
        <v>0</v>
      </c>
      <c r="S17" s="153">
        <f>IF('Entrada de Dados do Usuário'!$C$22=0,0,VLOOKUP('Entrada de Dados do Usuário'!$C$22,'Entradas de Cálculos'!$H$114:$I$122,2,FALSE))</f>
        <v>0</v>
      </c>
      <c r="T17" s="153">
        <f>IF('Entrada de Dados do Usuário'!$C$22=0,0,VLOOKUP('Entrada de Dados do Usuário'!$C$22,'Entradas de Cálculos'!$H$114:$I$122,2,FALSE))</f>
        <v>0</v>
      </c>
      <c r="U17" s="153">
        <f>IF('Entrada de Dados do Usuário'!$C$22=0,0,VLOOKUP('Entrada de Dados do Usuário'!$C$22,'Entradas de Cálculos'!$H$114:$I$122,2,FALSE))</f>
        <v>0</v>
      </c>
      <c r="V17" s="153">
        <f>IF('Entrada de Dados do Usuário'!$C$22=0,0,VLOOKUP('Entrada de Dados do Usuário'!$C$22,'Entradas de Cálculos'!$H$114:$I$122,2,FALSE))</f>
        <v>0</v>
      </c>
      <c r="W17" s="153">
        <f>IF('Entrada de Dados do Usuário'!$C$22=0,0,VLOOKUP('Entrada de Dados do Usuário'!$C$22,'Entradas de Cálculos'!$H$114:$I$122,2,FALSE))</f>
        <v>0</v>
      </c>
    </row>
    <row r="18" spans="1:23" ht="14.25">
      <c r="A18" s="331" t="s">
        <v>263</v>
      </c>
      <c r="B18" s="149"/>
      <c r="C18" s="153">
        <f>'Entrada de Dados do Usuário'!$C$28</f>
        <v>0</v>
      </c>
      <c r="D18" s="153">
        <f>'Entrada de Dados do Usuário'!$C$28</f>
        <v>0</v>
      </c>
      <c r="E18" s="153">
        <f>'Entrada de Dados do Usuário'!$C$28</f>
        <v>0</v>
      </c>
      <c r="F18" s="153">
        <f>'Entrada de Dados do Usuário'!$C$28</f>
        <v>0</v>
      </c>
      <c r="G18" s="153">
        <f>'Entrada de Dados do Usuário'!$C$28</f>
        <v>0</v>
      </c>
      <c r="H18" s="153">
        <f>'Entrada de Dados do Usuário'!$C$28</f>
        <v>0</v>
      </c>
      <c r="I18" s="153">
        <f>'Entrada de Dados do Usuário'!$C$28</f>
        <v>0</v>
      </c>
      <c r="J18" s="153">
        <f>'Entrada de Dados do Usuário'!$C$28</f>
        <v>0</v>
      </c>
      <c r="K18" s="153">
        <f>'Entrada de Dados do Usuário'!$C$28</f>
        <v>0</v>
      </c>
      <c r="L18" s="153">
        <f>'Entrada de Dados do Usuário'!$C$28</f>
        <v>0</v>
      </c>
      <c r="M18" s="153">
        <f>'Entrada de Dados do Usuário'!$C$28</f>
        <v>0</v>
      </c>
      <c r="N18" s="153">
        <f>'Entrada de Dados do Usuário'!$C$28</f>
        <v>0</v>
      </c>
      <c r="O18" s="153">
        <f>'Entrada de Dados do Usuário'!$C$28</f>
        <v>0</v>
      </c>
      <c r="P18" s="153">
        <f>'Entrada de Dados do Usuário'!$C$28</f>
        <v>0</v>
      </c>
      <c r="Q18" s="153">
        <f>'Entrada de Dados do Usuário'!$C$28</f>
        <v>0</v>
      </c>
      <c r="R18" s="153">
        <f>'Entrada de Dados do Usuário'!$C$28</f>
        <v>0</v>
      </c>
      <c r="S18" s="153">
        <f>'Entrada de Dados do Usuário'!$C$28</f>
        <v>0</v>
      </c>
      <c r="T18" s="153">
        <f>'Entrada de Dados do Usuário'!$C$28</f>
        <v>0</v>
      </c>
      <c r="U18" s="153">
        <f>'Entrada de Dados do Usuário'!$C$28</f>
        <v>0</v>
      </c>
      <c r="V18" s="153">
        <f>'Entrada de Dados do Usuário'!$C$28</f>
        <v>0</v>
      </c>
      <c r="W18" s="153">
        <f>'Entrada de Dados do Usuário'!$C$28</f>
        <v>0</v>
      </c>
    </row>
    <row r="19" spans="1:23" ht="14.25">
      <c r="A19" s="331" t="s">
        <v>264</v>
      </c>
      <c r="B19" s="148"/>
      <c r="C19" s="153">
        <f>IF('Entrada de Dados do Usuário'!$C$22=0,0,VLOOKUP('Entrada de Dados do Usuário'!$C$22,'Entradas de Cálculos'!$H$114:$K$122,4,FALSE))*'Entradas de Cálculos'!$D$16</f>
        <v>0</v>
      </c>
      <c r="D19" s="153">
        <f>IF('Entrada de Dados do Usuário'!$C$22=0,0,VLOOKUP('Entrada de Dados do Usuário'!$C$22,'Entradas de Cálculos'!$H$114:$K$122,4,FALSE))*'Entradas de Cálculos'!$D$16</f>
        <v>0</v>
      </c>
      <c r="E19" s="153">
        <f>IF('Entrada de Dados do Usuário'!$C$22=0,0,VLOOKUP('Entrada de Dados do Usuário'!$C$22,'Entradas de Cálculos'!$H$114:$K$122,4,FALSE))*'Entradas de Cálculos'!$D$16</f>
        <v>0</v>
      </c>
      <c r="F19" s="153">
        <f>IF('Entrada de Dados do Usuário'!$C$22=0,0,VLOOKUP('Entrada de Dados do Usuário'!$C$22,'Entradas de Cálculos'!$H$114:$K$122,4,FALSE))*'Entradas de Cálculos'!$D$16</f>
        <v>0</v>
      </c>
      <c r="G19" s="153">
        <f>IF('Entrada de Dados do Usuário'!$C$22=0,0,VLOOKUP('Entrada de Dados do Usuário'!$C$22,'Entradas de Cálculos'!$H$114:$K$122,4,FALSE))*'Entradas de Cálculos'!$D$16</f>
        <v>0</v>
      </c>
      <c r="H19" s="153">
        <f>IF('Entrada de Dados do Usuário'!$C$22=0,0,VLOOKUP('Entrada de Dados do Usuário'!$C$22,'Entradas de Cálculos'!$H$114:$K$122,4,FALSE))*'Entradas de Cálculos'!$D$16</f>
        <v>0</v>
      </c>
      <c r="I19" s="153">
        <f>IF('Entrada de Dados do Usuário'!$C$22=0,0,VLOOKUP('Entrada de Dados do Usuário'!$C$22,'Entradas de Cálculos'!$H$114:$K$122,4,FALSE))*'Entradas de Cálculos'!$D$16</f>
        <v>0</v>
      </c>
      <c r="J19" s="153">
        <f>IF('Entrada de Dados do Usuário'!$C$22=0,0,VLOOKUP('Entrada de Dados do Usuário'!$C$22,'Entradas de Cálculos'!$H$114:$K$122,4,FALSE))*'Entradas de Cálculos'!$D$16</f>
        <v>0</v>
      </c>
      <c r="K19" s="153">
        <f>IF('Entrada de Dados do Usuário'!$C$22=0,0,VLOOKUP('Entrada de Dados do Usuário'!$C$22,'Entradas de Cálculos'!$H$114:$K$122,4,FALSE))*'Entradas de Cálculos'!$D$16</f>
        <v>0</v>
      </c>
      <c r="L19" s="153">
        <f>IF('Entrada de Dados do Usuário'!$C$22=0,0,VLOOKUP('Entrada de Dados do Usuário'!$C$22,'Entradas de Cálculos'!$H$114:$K$122,4,FALSE))*'Entradas de Cálculos'!$D$16</f>
        <v>0</v>
      </c>
      <c r="M19" s="153">
        <f>IF('Entrada de Dados do Usuário'!$C$22=0,0,VLOOKUP('Entrada de Dados do Usuário'!$C$22,'Entradas de Cálculos'!$H$114:$K$122,4,FALSE))*'Entradas de Cálculos'!$D$16</f>
        <v>0</v>
      </c>
      <c r="N19" s="153">
        <f>IF('Entrada de Dados do Usuário'!$C$22=0,0,VLOOKUP('Entrada de Dados do Usuário'!$C$22,'Entradas de Cálculos'!$H$114:$K$122,4,FALSE))*'Entradas de Cálculos'!$D$16</f>
        <v>0</v>
      </c>
      <c r="O19" s="153">
        <f>IF('Entrada de Dados do Usuário'!$C$22=0,0,VLOOKUP('Entrada de Dados do Usuário'!$C$22,'Entradas de Cálculos'!$H$114:$K$122,4,FALSE))*'Entradas de Cálculos'!$D$16</f>
        <v>0</v>
      </c>
      <c r="P19" s="153">
        <f>IF('Entrada de Dados do Usuário'!$C$22=0,0,VLOOKUP('Entrada de Dados do Usuário'!$C$22,'Entradas de Cálculos'!$H$114:$K$122,4,FALSE))*'Entradas de Cálculos'!$D$16</f>
        <v>0</v>
      </c>
      <c r="Q19" s="153">
        <f>IF('Entrada de Dados do Usuário'!$C$22=0,0,VLOOKUP('Entrada de Dados do Usuário'!$C$22,'Entradas de Cálculos'!$H$114:$K$122,4,FALSE))*'Entradas de Cálculos'!$D$16</f>
        <v>0</v>
      </c>
      <c r="R19" s="153">
        <f>IF('Entrada de Dados do Usuário'!$C$22=0,0,VLOOKUP('Entrada de Dados do Usuário'!$C$22,'Entradas de Cálculos'!$H$114:$K$122,4,FALSE))*'Entradas de Cálculos'!$D$16</f>
        <v>0</v>
      </c>
      <c r="S19" s="153">
        <f>IF('Entrada de Dados do Usuário'!$C$22=0,0,VLOOKUP('Entrada de Dados do Usuário'!$C$22,'Entradas de Cálculos'!$H$114:$K$122,4,FALSE))*'Entradas de Cálculos'!$D$16</f>
        <v>0</v>
      </c>
      <c r="T19" s="153">
        <f>IF('Entrada de Dados do Usuário'!$C$22=0,0,VLOOKUP('Entrada de Dados do Usuário'!$C$22,'Entradas de Cálculos'!$H$114:$K$122,4,FALSE))*'Entradas de Cálculos'!$D$16</f>
        <v>0</v>
      </c>
      <c r="U19" s="153">
        <f>IF('Entrada de Dados do Usuário'!$C$22=0,0,VLOOKUP('Entrada de Dados do Usuário'!$C$22,'Entradas de Cálculos'!$H$114:$K$122,4,FALSE))*'Entradas de Cálculos'!$D$16</f>
        <v>0</v>
      </c>
      <c r="V19" s="153">
        <f>IF('Entrada de Dados do Usuário'!$C$22=0,0,VLOOKUP('Entrada de Dados do Usuário'!$C$22,'Entradas de Cálculos'!$H$114:$K$122,4,FALSE))*'Entradas de Cálculos'!$D$16</f>
        <v>0</v>
      </c>
      <c r="W19" s="153">
        <f>IF('Entrada de Dados do Usuário'!$C$22=0,0,VLOOKUP('Entrada de Dados do Usuário'!$C$22,'Entradas de Cálculos'!$H$114:$K$122,4,FALSE))*'Entradas de Cálculos'!$D$16</f>
        <v>0</v>
      </c>
    </row>
    <row r="20" spans="1:23" ht="14.25">
      <c r="A20" s="331" t="s">
        <v>265</v>
      </c>
      <c r="B20" s="148"/>
      <c r="C20" s="153">
        <f>IF(C19*C18=0,0,C19*C18/C17)</f>
        <v>0</v>
      </c>
      <c r="D20" s="153">
        <f aca="true" t="shared" si="1" ref="D20:W20">IF(D19*D18=0,0,D19*D18/D17)</f>
        <v>0</v>
      </c>
      <c r="E20" s="153">
        <f t="shared" si="1"/>
        <v>0</v>
      </c>
      <c r="F20" s="153">
        <f t="shared" si="1"/>
        <v>0</v>
      </c>
      <c r="G20" s="153">
        <f t="shared" si="1"/>
        <v>0</v>
      </c>
      <c r="H20" s="153">
        <f t="shared" si="1"/>
        <v>0</v>
      </c>
      <c r="I20" s="153">
        <f t="shared" si="1"/>
        <v>0</v>
      </c>
      <c r="J20" s="153">
        <f t="shared" si="1"/>
        <v>0</v>
      </c>
      <c r="K20" s="153">
        <f t="shared" si="1"/>
        <v>0</v>
      </c>
      <c r="L20" s="153">
        <f t="shared" si="1"/>
        <v>0</v>
      </c>
      <c r="M20" s="153">
        <f t="shared" si="1"/>
        <v>0</v>
      </c>
      <c r="N20" s="153">
        <f t="shared" si="1"/>
        <v>0</v>
      </c>
      <c r="O20" s="153">
        <f t="shared" si="1"/>
        <v>0</v>
      </c>
      <c r="P20" s="153">
        <f t="shared" si="1"/>
        <v>0</v>
      </c>
      <c r="Q20" s="153">
        <f t="shared" si="1"/>
        <v>0</v>
      </c>
      <c r="R20" s="153">
        <f t="shared" si="1"/>
        <v>0</v>
      </c>
      <c r="S20" s="153">
        <f t="shared" si="1"/>
        <v>0</v>
      </c>
      <c r="T20" s="153">
        <f t="shared" si="1"/>
        <v>0</v>
      </c>
      <c r="U20" s="153">
        <f t="shared" si="1"/>
        <v>0</v>
      </c>
      <c r="V20" s="153">
        <f t="shared" si="1"/>
        <v>0</v>
      </c>
      <c r="W20" s="153">
        <f t="shared" si="1"/>
        <v>0</v>
      </c>
    </row>
    <row r="21" spans="1:23" ht="14.25">
      <c r="A21" s="147" t="s">
        <v>19</v>
      </c>
      <c r="B21" s="148"/>
      <c r="C21" s="153">
        <f>IF('Entrada de Dados do Usuário'!$C$22=0,0,VLOOKUP('Entrada de Dados do Usuário'!$C$22,'Entradas de Cálculos'!$H$114:$K$122,3,FALSE))</f>
        <v>0</v>
      </c>
      <c r="D21" s="153">
        <f>IF('Entrada de Dados do Usuário'!$C$22=0,0,VLOOKUP('Entrada de Dados do Usuário'!$C$22,'Entradas de Cálculos'!$H$114:$K$122,3,FALSE))</f>
        <v>0</v>
      </c>
      <c r="E21" s="153">
        <f>IF('Entrada de Dados do Usuário'!$C$22=0,0,VLOOKUP('Entrada de Dados do Usuário'!$C$22,'Entradas de Cálculos'!$H$114:$K$122,3,FALSE))</f>
        <v>0</v>
      </c>
      <c r="F21" s="153">
        <f>IF('Entrada de Dados do Usuário'!$C$22=0,0,VLOOKUP('Entrada de Dados do Usuário'!$C$22,'Entradas de Cálculos'!$H$114:$K$122,3,FALSE))</f>
        <v>0</v>
      </c>
      <c r="G21" s="153">
        <f>IF('Entrada de Dados do Usuário'!$C$22=0,0,VLOOKUP('Entrada de Dados do Usuário'!$C$22,'Entradas de Cálculos'!$H$114:$K$122,3,FALSE))</f>
        <v>0</v>
      </c>
      <c r="H21" s="153">
        <f>IF('Entrada de Dados do Usuário'!$C$22=0,0,VLOOKUP('Entrada de Dados do Usuário'!$C$22,'Entradas de Cálculos'!$H$114:$K$122,3,FALSE))</f>
        <v>0</v>
      </c>
      <c r="I21" s="153">
        <f>IF('Entrada de Dados do Usuário'!$C$22=0,0,VLOOKUP('Entrada de Dados do Usuário'!$C$22,'Entradas de Cálculos'!$H$114:$K$122,3,FALSE))</f>
        <v>0</v>
      </c>
      <c r="J21" s="153">
        <f>IF('Entrada de Dados do Usuário'!$C$22=0,0,VLOOKUP('Entrada de Dados do Usuário'!$C$22,'Entradas de Cálculos'!$H$114:$K$122,3,FALSE))</f>
        <v>0</v>
      </c>
      <c r="K21" s="153">
        <f>IF('Entrada de Dados do Usuário'!$C$22=0,0,VLOOKUP('Entrada de Dados do Usuário'!$C$22,'Entradas de Cálculos'!$H$114:$K$122,3,FALSE))</f>
        <v>0</v>
      </c>
      <c r="L21" s="153">
        <f>IF('Entrada de Dados do Usuário'!$C$22=0,0,VLOOKUP('Entrada de Dados do Usuário'!$C$22,'Entradas de Cálculos'!$H$114:$K$122,3,FALSE))</f>
        <v>0</v>
      </c>
      <c r="M21" s="153">
        <f>IF('Entrada de Dados do Usuário'!$C$22=0,0,VLOOKUP('Entrada de Dados do Usuário'!$C$22,'Entradas de Cálculos'!$H$114:$K$122,3,FALSE))</f>
        <v>0</v>
      </c>
      <c r="N21" s="153">
        <f>IF('Entrada de Dados do Usuário'!$C$22=0,0,VLOOKUP('Entrada de Dados do Usuário'!$C$22,'Entradas de Cálculos'!$H$114:$K$122,3,FALSE))</f>
        <v>0</v>
      </c>
      <c r="O21" s="153">
        <f>IF('Entrada de Dados do Usuário'!$C$22=0,0,VLOOKUP('Entrada de Dados do Usuário'!$C$22,'Entradas de Cálculos'!$H$114:$K$122,3,FALSE))</f>
        <v>0</v>
      </c>
      <c r="P21" s="153">
        <f>IF('Entrada de Dados do Usuário'!$C$22=0,0,VLOOKUP('Entrada de Dados do Usuário'!$C$22,'Entradas de Cálculos'!$H$114:$K$122,3,FALSE))</f>
        <v>0</v>
      </c>
      <c r="Q21" s="153">
        <f>IF('Entrada de Dados do Usuário'!$C$22=0,0,VLOOKUP('Entrada de Dados do Usuário'!$C$22,'Entradas de Cálculos'!$H$114:$K$122,3,FALSE))</f>
        <v>0</v>
      </c>
      <c r="R21" s="153">
        <f>IF('Entrada de Dados do Usuário'!$C$22=0,0,VLOOKUP('Entrada de Dados do Usuário'!$C$22,'Entradas de Cálculos'!$H$114:$K$122,3,FALSE))</f>
        <v>0</v>
      </c>
      <c r="S21" s="153">
        <f>IF('Entrada de Dados do Usuário'!$C$22=0,0,VLOOKUP('Entrada de Dados do Usuário'!$C$22,'Entradas de Cálculos'!$H$114:$K$122,3,FALSE))</f>
        <v>0</v>
      </c>
      <c r="T21" s="153">
        <f>IF('Entrada de Dados do Usuário'!$C$22=0,0,VLOOKUP('Entrada de Dados do Usuário'!$C$22,'Entradas de Cálculos'!$H$114:$K$122,3,FALSE))</f>
        <v>0</v>
      </c>
      <c r="U21" s="153">
        <f>IF('Entrada de Dados do Usuário'!$C$22=0,0,VLOOKUP('Entrada de Dados do Usuário'!$C$22,'Entradas de Cálculos'!$H$114:$K$122,3,FALSE))</f>
        <v>0</v>
      </c>
      <c r="V21" s="153">
        <f>IF('Entrada de Dados do Usuário'!$C$22=0,0,VLOOKUP('Entrada de Dados do Usuário'!$C$22,'Entradas de Cálculos'!$H$114:$K$122,3,FALSE))</f>
        <v>0</v>
      </c>
      <c r="W21" s="153">
        <f>IF('Entrada de Dados do Usuário'!$C$22=0,0,VLOOKUP('Entrada de Dados do Usuário'!$C$22,'Entradas de Cálculos'!$H$114:$K$122,3,FALSE))</f>
        <v>0</v>
      </c>
    </row>
    <row r="22" spans="1:23" ht="14.25">
      <c r="A22" s="147" t="s">
        <v>20</v>
      </c>
      <c r="B22" s="148"/>
      <c r="C22" s="156">
        <f>'Entrada de Dados do Usuário'!$C$41</f>
        <v>0</v>
      </c>
      <c r="D22" s="156">
        <f>'Entrada de Dados do Usuário'!$C$41</f>
        <v>0</v>
      </c>
      <c r="E22" s="156">
        <f>'Entrada de Dados do Usuário'!$C$41</f>
        <v>0</v>
      </c>
      <c r="F22" s="156">
        <f>'Entrada de Dados do Usuário'!$C$41</f>
        <v>0</v>
      </c>
      <c r="G22" s="156">
        <f>'Entrada de Dados do Usuário'!$C$41</f>
        <v>0</v>
      </c>
      <c r="H22" s="156">
        <f>'Entrada de Dados do Usuário'!$C$41</f>
        <v>0</v>
      </c>
      <c r="I22" s="156">
        <f>'Entrada de Dados do Usuário'!$C$41</f>
        <v>0</v>
      </c>
      <c r="J22" s="156">
        <f>'Entrada de Dados do Usuário'!$C$41</f>
        <v>0</v>
      </c>
      <c r="K22" s="156">
        <f>'Entrada de Dados do Usuário'!$C$41</f>
        <v>0</v>
      </c>
      <c r="L22" s="156">
        <f>'Entrada de Dados do Usuário'!$C$41</f>
        <v>0</v>
      </c>
      <c r="M22" s="156">
        <f>'Entrada de Dados do Usuário'!$C$41</f>
        <v>0</v>
      </c>
      <c r="N22" s="156">
        <f>'Entrada de Dados do Usuário'!$C$41</f>
        <v>0</v>
      </c>
      <c r="O22" s="156">
        <f>'Entrada de Dados do Usuário'!$C$41</f>
        <v>0</v>
      </c>
      <c r="P22" s="156">
        <f>'Entrada de Dados do Usuário'!$C$41</f>
        <v>0</v>
      </c>
      <c r="Q22" s="156">
        <f>'Entrada de Dados do Usuário'!$C$41</f>
        <v>0</v>
      </c>
      <c r="R22" s="156">
        <f>'Entrada de Dados do Usuário'!$C$41</f>
        <v>0</v>
      </c>
      <c r="S22" s="156">
        <f>'Entrada de Dados do Usuário'!$C$41</f>
        <v>0</v>
      </c>
      <c r="T22" s="156">
        <f>'Entrada de Dados do Usuário'!$C$41</f>
        <v>0</v>
      </c>
      <c r="U22" s="156">
        <f>'Entrada de Dados do Usuário'!$C$41</f>
        <v>0</v>
      </c>
      <c r="V22" s="156">
        <f>'Entrada de Dados do Usuário'!$C$41</f>
        <v>0</v>
      </c>
      <c r="W22" s="156">
        <f>'Entrada de Dados do Usuário'!$C$41</f>
        <v>0</v>
      </c>
    </row>
    <row r="23" spans="1:23" ht="15">
      <c r="A23" s="147" t="s">
        <v>28</v>
      </c>
      <c r="B23" s="148"/>
      <c r="C23" s="156">
        <f>IF('Entrada de Dados do Usuário'!$C$35=0,0,VLOOKUP('Entradas de Cálculos'!$D$45,'Entradas de Cálculos'!$I$92:$T$110,HLOOKUP('Entrada de Dados do Usuário'!$C$35,'Entradas de Cálculos'!$L$90:$T$91,2,FALSE),TRUE))</f>
        <v>0</v>
      </c>
      <c r="D23" s="156">
        <f>IF('Entrada de Dados do Usuário'!$C$35=0,0,VLOOKUP('Entradas de Cálculos'!$D$45,'Entradas de Cálculos'!$I$92:$T$110,HLOOKUP('Entrada de Dados do Usuário'!$C$35,'Entradas de Cálculos'!$L$90:$T$91,2,FALSE),TRUE))</f>
        <v>0</v>
      </c>
      <c r="E23" s="156">
        <f>IF('Entrada de Dados do Usuário'!$C$35=0,0,VLOOKUP('Entradas de Cálculos'!$D$45,'Entradas de Cálculos'!$I$92:$T$110,HLOOKUP('Entrada de Dados do Usuário'!$C$35,'Entradas de Cálculos'!$L$90:$T$91,2,FALSE),TRUE))</f>
        <v>0</v>
      </c>
      <c r="F23" s="156">
        <f>IF('Entrada de Dados do Usuário'!$C$35=0,0,VLOOKUP('Entradas de Cálculos'!$D$45,'Entradas de Cálculos'!$I$92:$T$110,HLOOKUP('Entrada de Dados do Usuário'!$C$35,'Entradas de Cálculos'!$L$90:$T$91,2,FALSE),TRUE))</f>
        <v>0</v>
      </c>
      <c r="G23" s="156">
        <f>IF('Entrada de Dados do Usuário'!$C$35=0,0,VLOOKUP('Entradas de Cálculos'!$D$45,'Entradas de Cálculos'!$I$92:$T$110,HLOOKUP('Entrada de Dados do Usuário'!$C$35,'Entradas de Cálculos'!$L$90:$T$91,2,FALSE),TRUE))</f>
        <v>0</v>
      </c>
      <c r="H23" s="156">
        <f>IF('Entrada de Dados do Usuário'!$C$35=0,0,VLOOKUP('Entradas de Cálculos'!$D$45,'Entradas de Cálculos'!$I$92:$T$110,HLOOKUP('Entrada de Dados do Usuário'!$C$35,'Entradas de Cálculos'!$L$90:$T$91,2,FALSE),TRUE))</f>
        <v>0</v>
      </c>
      <c r="I23" s="156">
        <f>IF('Entrada de Dados do Usuário'!$C$35=0,0,VLOOKUP('Entradas de Cálculos'!$D$45,'Entradas de Cálculos'!$I$92:$T$110,HLOOKUP('Entrada de Dados do Usuário'!$C$35,'Entradas de Cálculos'!$L$90:$T$91,2,FALSE),TRUE))</f>
        <v>0</v>
      </c>
      <c r="J23" s="156">
        <f>IF('Entrada de Dados do Usuário'!$C$35=0,0,VLOOKUP('Entradas de Cálculos'!$D$45,'Entradas de Cálculos'!$I$92:$T$110,HLOOKUP('Entrada de Dados do Usuário'!$C$35,'Entradas de Cálculos'!$L$90:$T$91,2,FALSE),TRUE))</f>
        <v>0</v>
      </c>
      <c r="K23" s="156">
        <f>IF('Entrada de Dados do Usuário'!$C$35=0,0,VLOOKUP('Entradas de Cálculos'!$D$45,'Entradas de Cálculos'!$I$92:$T$110,HLOOKUP('Entrada de Dados do Usuário'!$C$35,'Entradas de Cálculos'!$L$90:$T$91,2,FALSE),TRUE))</f>
        <v>0</v>
      </c>
      <c r="L23" s="156">
        <f>IF('Entrada de Dados do Usuário'!$C$35=0,0,VLOOKUP('Entradas de Cálculos'!$D$45,'Entradas de Cálculos'!$I$92:$T$110,HLOOKUP('Entrada de Dados do Usuário'!$C$35,'Entradas de Cálculos'!$L$90:$T$91,2,FALSE),TRUE))</f>
        <v>0</v>
      </c>
      <c r="M23" s="156">
        <f>IF('Entrada de Dados do Usuário'!$C$35=0,0,VLOOKUP('Entradas de Cálculos'!$D$45,'Entradas de Cálculos'!$I$92:$T$110,HLOOKUP('Entrada de Dados do Usuário'!$C$35,'Entradas de Cálculos'!$L$90:$T$91,2,FALSE),TRUE))</f>
        <v>0</v>
      </c>
      <c r="N23" s="156">
        <f>IF('Entrada de Dados do Usuário'!$C$35=0,0,VLOOKUP('Entradas de Cálculos'!$D$45,'Entradas de Cálculos'!$I$92:$T$110,HLOOKUP('Entrada de Dados do Usuário'!$C$35,'Entradas de Cálculos'!$L$90:$T$91,2,FALSE),TRUE))</f>
        <v>0</v>
      </c>
      <c r="O23" s="156">
        <f>IF('Entrada de Dados do Usuário'!$C$35=0,0,VLOOKUP('Entradas de Cálculos'!$D$45,'Entradas de Cálculos'!$I$92:$T$110,HLOOKUP('Entrada de Dados do Usuário'!$C$35,'Entradas de Cálculos'!$L$90:$T$91,2,FALSE),TRUE))</f>
        <v>0</v>
      </c>
      <c r="P23" s="156">
        <f>IF('Entrada de Dados do Usuário'!$C$35=0,0,VLOOKUP('Entradas de Cálculos'!$D$45,'Entradas de Cálculos'!$I$92:$T$110,HLOOKUP('Entrada de Dados do Usuário'!$C$35,'Entradas de Cálculos'!$L$90:$T$91,2,FALSE),TRUE))</f>
        <v>0</v>
      </c>
      <c r="Q23" s="156">
        <f>IF('Entrada de Dados do Usuário'!$C$35=0,0,VLOOKUP('Entradas de Cálculos'!$D$45,'Entradas de Cálculos'!$I$92:$T$110,HLOOKUP('Entrada de Dados do Usuário'!$C$35,'Entradas de Cálculos'!$L$90:$T$91,2,FALSE),TRUE))</f>
        <v>0</v>
      </c>
      <c r="R23" s="156">
        <f>IF('Entrada de Dados do Usuário'!$C$35=0,0,VLOOKUP('Entradas de Cálculos'!$D$45,'Entradas de Cálculos'!$I$92:$T$110,HLOOKUP('Entrada de Dados do Usuário'!$C$35,'Entradas de Cálculos'!$L$90:$T$91,2,FALSE),TRUE))</f>
        <v>0</v>
      </c>
      <c r="S23" s="156">
        <f>IF('Entrada de Dados do Usuário'!$C$35=0,0,VLOOKUP('Entradas de Cálculos'!$D$45,'Entradas de Cálculos'!$I$92:$T$110,HLOOKUP('Entrada de Dados do Usuário'!$C$35,'Entradas de Cálculos'!$L$90:$T$91,2,FALSE),TRUE))</f>
        <v>0</v>
      </c>
      <c r="T23" s="156">
        <f>IF('Entrada de Dados do Usuário'!$C$35=0,0,VLOOKUP('Entradas de Cálculos'!$D$45,'Entradas de Cálculos'!$I$92:$T$110,HLOOKUP('Entrada de Dados do Usuário'!$C$35,'Entradas de Cálculos'!$L$90:$T$91,2,FALSE),TRUE))</f>
        <v>0</v>
      </c>
      <c r="U23" s="156">
        <f>IF('Entrada de Dados do Usuário'!$C$35=0,0,VLOOKUP('Entradas de Cálculos'!$D$45,'Entradas de Cálculos'!$I$92:$T$110,HLOOKUP('Entrada de Dados do Usuário'!$C$35,'Entradas de Cálculos'!$L$90:$T$91,2,FALSE),TRUE))</f>
        <v>0</v>
      </c>
      <c r="V23" s="156">
        <f>IF('Entrada de Dados do Usuário'!$C$35=0,0,VLOOKUP('Entradas de Cálculos'!$D$45,'Entradas de Cálculos'!$I$92:$T$110,HLOOKUP('Entrada de Dados do Usuário'!$C$35,'Entradas de Cálculos'!$L$90:$T$91,2,FALSE),TRUE))</f>
        <v>0</v>
      </c>
      <c r="W23" s="156">
        <f>IF('Entrada de Dados do Usuário'!$C$35=0,0,VLOOKUP('Entradas de Cálculos'!$D$45,'Entradas de Cálculos'!$I$92:$T$110,HLOOKUP('Entrada de Dados do Usuário'!$C$35,'Entradas de Cálculos'!$L$90:$T$91,2,FALSE),TRUE))</f>
        <v>0</v>
      </c>
    </row>
    <row r="24" spans="1:23" ht="14.25">
      <c r="A24" s="150"/>
      <c r="B24" s="157" t="s">
        <v>259</v>
      </c>
      <c r="C24" s="171">
        <f>'Entradas de Cálculos'!$D$47*'Entradas de Cálculos'!$D$49*'Entradas de Cálculos'!$D$48*'Modelo de CR'!C23*'Modelo de CR'!C21*'Modelo de CR'!C16*'Modelo de CR'!C20*'Modelo de CR'!C22*'Entradas de Cálculos'!$D$22*'Entradas de Cálculos'!$D$92</f>
        <v>0</v>
      </c>
      <c r="D24" s="171">
        <f>'Entradas de Cálculos'!$D$47*'Entradas de Cálculos'!$D$49*'Entradas de Cálculos'!$D$48*'Modelo de CR'!D23*'Modelo de CR'!D21*'Modelo de CR'!D16*'Modelo de CR'!D20*'Modelo de CR'!D22*'Entradas de Cálculos'!$D$22*'Entradas de Cálculos'!$D$92</f>
        <v>0</v>
      </c>
      <c r="E24" s="171">
        <f>'Entradas de Cálculos'!$D$47*'Entradas de Cálculos'!$D$49*'Entradas de Cálculos'!$D$48*'Modelo de CR'!E23*'Modelo de CR'!E21*'Modelo de CR'!E16*'Modelo de CR'!E20*'Modelo de CR'!E22*'Entradas de Cálculos'!$D$22*'Entradas de Cálculos'!$D$92</f>
        <v>0</v>
      </c>
      <c r="F24" s="171">
        <f>'Entradas de Cálculos'!$D$47*'Entradas de Cálculos'!$D$49*'Entradas de Cálculos'!$D$48*'Modelo de CR'!F23*'Modelo de CR'!F21*'Modelo de CR'!F16*'Modelo de CR'!F20*'Modelo de CR'!F22*'Entradas de Cálculos'!$D$22*'Entradas de Cálculos'!$D$92</f>
        <v>0</v>
      </c>
      <c r="G24" s="171">
        <f>'Entradas de Cálculos'!$D$47*'Entradas de Cálculos'!$D$49*'Entradas de Cálculos'!$D$48*'Modelo de CR'!G23*'Modelo de CR'!G21*'Modelo de CR'!G16*'Modelo de CR'!G20*'Modelo de CR'!G22*'Entradas de Cálculos'!$D$22*'Entradas de Cálculos'!$D$92</f>
        <v>0</v>
      </c>
      <c r="H24" s="171">
        <f>'Entradas de Cálculos'!$D$47*'Entradas de Cálculos'!$D$49*'Entradas de Cálculos'!$D$48*'Modelo de CR'!H23*'Modelo de CR'!H21*'Modelo de CR'!H16*'Modelo de CR'!H20*'Modelo de CR'!H22*'Entradas de Cálculos'!$D$22*'Entradas de Cálculos'!$D$92</f>
        <v>0</v>
      </c>
      <c r="I24" s="171">
        <f>'Entradas de Cálculos'!$D$47*'Entradas de Cálculos'!$D$49*'Entradas de Cálculos'!$D$48*'Modelo de CR'!I23*'Modelo de CR'!I21*'Modelo de CR'!I16*'Modelo de CR'!I20*'Modelo de CR'!I22*'Entradas de Cálculos'!$D$22*'Entradas de Cálculos'!$D$92</f>
        <v>0</v>
      </c>
      <c r="J24" s="171">
        <f>'Entradas de Cálculos'!$D$47*'Entradas de Cálculos'!$D$49*'Entradas de Cálculos'!$D$48*'Modelo de CR'!J23*'Modelo de CR'!J21*'Modelo de CR'!J16*'Modelo de CR'!J20*'Modelo de CR'!J22*'Entradas de Cálculos'!$D$22*'Entradas de Cálculos'!$D$92</f>
        <v>0</v>
      </c>
      <c r="K24" s="171">
        <f>'Entradas de Cálculos'!$D$47*'Entradas de Cálculos'!$D$49*'Entradas de Cálculos'!$D$48*'Modelo de CR'!K23*'Modelo de CR'!K21*'Modelo de CR'!K16*'Modelo de CR'!K20*'Modelo de CR'!K22*'Entradas de Cálculos'!$D$22*'Entradas de Cálculos'!$D$92</f>
        <v>0</v>
      </c>
      <c r="L24" s="171">
        <f>'Entradas de Cálculos'!$D$47*'Entradas de Cálculos'!$D$49*'Entradas de Cálculos'!$D$48*'Modelo de CR'!L23*'Modelo de CR'!L21*'Modelo de CR'!L16*'Modelo de CR'!L20*'Modelo de CR'!L22*'Entradas de Cálculos'!$D$22*'Entradas de Cálculos'!$D$92</f>
        <v>0</v>
      </c>
      <c r="M24" s="171">
        <f>'Entradas de Cálculos'!$D$47*'Entradas de Cálculos'!$D$49*'Entradas de Cálculos'!$D$48*'Modelo de CR'!M23*'Modelo de CR'!M21*'Modelo de CR'!M16*'Modelo de CR'!M20*'Modelo de CR'!M22*'Entradas de Cálculos'!$D$22*'Entradas de Cálculos'!$D$92</f>
        <v>0</v>
      </c>
      <c r="N24" s="171">
        <f>'Entradas de Cálculos'!$D$47*'Entradas de Cálculos'!$D$49*'Entradas de Cálculos'!$D$48*'Modelo de CR'!N23*'Modelo de CR'!N21*'Modelo de CR'!N16*'Modelo de CR'!N20*'Modelo de CR'!N22*'Entradas de Cálculos'!$D$22*'Entradas de Cálculos'!$D$92</f>
        <v>0</v>
      </c>
      <c r="O24" s="171">
        <f>'Entradas de Cálculos'!$D$47*'Entradas de Cálculos'!$D$49*'Entradas de Cálculos'!$D$48*'Modelo de CR'!O23*'Modelo de CR'!O21*'Modelo de CR'!O16*'Modelo de CR'!O20*'Modelo de CR'!O22*'Entradas de Cálculos'!$D$22*'Entradas de Cálculos'!$D$92</f>
        <v>0</v>
      </c>
      <c r="P24" s="171">
        <f>'Entradas de Cálculos'!$D$47*'Entradas de Cálculos'!$D$49*'Entradas de Cálculos'!$D$48*'Modelo de CR'!P23*'Modelo de CR'!P21*'Modelo de CR'!P16*'Modelo de CR'!P20*'Modelo de CR'!P22*'Entradas de Cálculos'!$D$22*'Entradas de Cálculos'!$D$92</f>
        <v>0</v>
      </c>
      <c r="Q24" s="171">
        <f>'Entradas de Cálculos'!$D$47*'Entradas de Cálculos'!$D$49*'Entradas de Cálculos'!$D$48*'Modelo de CR'!Q23*'Modelo de CR'!Q21*'Modelo de CR'!Q16*'Modelo de CR'!Q20*'Modelo de CR'!Q22*'Entradas de Cálculos'!$D$22*'Entradas de Cálculos'!$D$92</f>
        <v>0</v>
      </c>
      <c r="R24" s="171">
        <f>'Entradas de Cálculos'!$D$47*'Entradas de Cálculos'!$D$49*'Entradas de Cálculos'!$D$48*'Modelo de CR'!R23*'Modelo de CR'!R21*'Modelo de CR'!R16*'Modelo de CR'!R20*'Modelo de CR'!R22*'Entradas de Cálculos'!$D$22*'Entradas de Cálculos'!$D$92</f>
        <v>0</v>
      </c>
      <c r="S24" s="171">
        <f>'Entradas de Cálculos'!$D$47*'Entradas de Cálculos'!$D$49*'Entradas de Cálculos'!$D$48*'Modelo de CR'!S23*'Modelo de CR'!S21*'Modelo de CR'!S16*'Modelo de CR'!S20*'Modelo de CR'!S22*'Entradas de Cálculos'!$D$22*'Entradas de Cálculos'!$D$92</f>
        <v>0</v>
      </c>
      <c r="T24" s="171">
        <f>'Entradas de Cálculos'!$D$47*'Entradas de Cálculos'!$D$49*'Entradas de Cálculos'!$D$48*'Modelo de CR'!T23*'Modelo de CR'!T21*'Modelo de CR'!T16*'Modelo de CR'!T20*'Modelo de CR'!T22*'Entradas de Cálculos'!$D$22*'Entradas de Cálculos'!$D$92</f>
        <v>0</v>
      </c>
      <c r="U24" s="171">
        <f>'Entradas de Cálculos'!$D$47*'Entradas de Cálculos'!$D$49*'Entradas de Cálculos'!$D$48*'Modelo de CR'!U23*'Modelo de CR'!U21*'Modelo de CR'!U16*'Modelo de CR'!U20*'Modelo de CR'!U22*'Entradas de Cálculos'!$D$22*'Entradas de Cálculos'!$D$92</f>
        <v>0</v>
      </c>
      <c r="V24" s="171">
        <f>'Entradas de Cálculos'!$D$47*'Entradas de Cálculos'!$D$49*'Entradas de Cálculos'!$D$48*'Modelo de CR'!V23*'Modelo de CR'!V21*'Modelo de CR'!V16*'Modelo de CR'!V20*'Modelo de CR'!V22*'Entradas de Cálculos'!$D$22*'Entradas de Cálculos'!$D$92</f>
        <v>0</v>
      </c>
      <c r="W24" s="171">
        <f>'Entradas de Cálculos'!$D$47*'Entradas de Cálculos'!$D$49*'Entradas de Cálculos'!$D$48*'Modelo de CR'!W23*'Modelo de CR'!W21*'Modelo de CR'!W16*'Modelo de CR'!W20*'Modelo de CR'!W22*'Entradas de Cálculos'!$D$22*'Entradas de Cálculos'!$D$92</f>
        <v>0</v>
      </c>
    </row>
    <row r="25" spans="1:23" ht="15" thickBot="1">
      <c r="A25" s="150"/>
      <c r="B25" s="157" t="s">
        <v>260</v>
      </c>
      <c r="C25" s="171">
        <f>'Entradas de Cálculos'!$D$93*'Entradas de Cálculos'!$D$47*'Entradas de Cálculos'!$D$49*'Entradas de Cálculos'!$D$48*'Modelo de CR'!C21*'Modelo de CR'!C16*'Modelo de CR'!C20*'Modelo de CR'!C22*'Entradas de Cálculos'!$D$22*'Entradas de Cálculos'!$D$92</f>
        <v>0</v>
      </c>
      <c r="D25" s="171">
        <f>'Entradas de Cálculos'!$D$93*'Entradas de Cálculos'!$D$47*'Entradas de Cálculos'!$D$49*'Entradas de Cálculos'!$D$48*'Modelo de CR'!D21*'Modelo de CR'!D16*'Modelo de CR'!D20*'Modelo de CR'!D22*'Entradas de Cálculos'!$D$22*'Entradas de Cálculos'!$D$92</f>
        <v>0</v>
      </c>
      <c r="E25" s="171">
        <f>'Entradas de Cálculos'!$D$93*'Entradas de Cálculos'!$D$47*'Entradas de Cálculos'!$D$49*'Entradas de Cálculos'!$D$48*'Modelo de CR'!E21*'Modelo de CR'!E16*'Modelo de CR'!E20*'Modelo de CR'!E22*'Entradas de Cálculos'!$D$22*'Entradas de Cálculos'!$D$92</f>
        <v>0</v>
      </c>
      <c r="F25" s="171">
        <f>'Entradas de Cálculos'!$D$93*'Entradas de Cálculos'!$D$47*'Entradas de Cálculos'!$D$49*'Entradas de Cálculos'!$D$48*'Modelo de CR'!F21*'Modelo de CR'!F16*'Modelo de CR'!F20*'Modelo de CR'!F22*'Entradas de Cálculos'!$D$22*'Entradas de Cálculos'!$D$92</f>
        <v>0</v>
      </c>
      <c r="G25" s="171">
        <f>'Entradas de Cálculos'!$D$93*'Entradas de Cálculos'!$D$47*'Entradas de Cálculos'!$D$49*'Entradas de Cálculos'!$D$48*'Modelo de CR'!G21*'Modelo de CR'!G16*'Modelo de CR'!G20*'Modelo de CR'!G22*'Entradas de Cálculos'!$D$22*'Entradas de Cálculos'!$D$92</f>
        <v>0</v>
      </c>
      <c r="H25" s="171">
        <f>'Entradas de Cálculos'!$D$93*'Entradas de Cálculos'!$D$47*'Entradas de Cálculos'!$D$49*'Entradas de Cálculos'!$D$48*'Modelo de CR'!H21*'Modelo de CR'!H16*'Modelo de CR'!H20*'Modelo de CR'!H22*'Entradas de Cálculos'!$D$22*'Entradas de Cálculos'!$D$92</f>
        <v>0</v>
      </c>
      <c r="I25" s="171">
        <f>'Entradas de Cálculos'!$D$93*'Entradas de Cálculos'!$D$47*'Entradas de Cálculos'!$D$49*'Entradas de Cálculos'!$D$48*'Modelo de CR'!I21*'Modelo de CR'!I16*'Modelo de CR'!I20*'Modelo de CR'!I22*'Entradas de Cálculos'!$D$22*'Entradas de Cálculos'!$D$92</f>
        <v>0</v>
      </c>
      <c r="J25" s="171">
        <f>'Entradas de Cálculos'!$D$93*'Entradas de Cálculos'!$D$47*'Entradas de Cálculos'!$D$49*'Entradas de Cálculos'!$D$48*'Modelo de CR'!J21*'Modelo de CR'!J16*'Modelo de CR'!J20*'Modelo de CR'!J22*'Entradas de Cálculos'!$D$22*'Entradas de Cálculos'!$D$92</f>
        <v>0</v>
      </c>
      <c r="K25" s="171">
        <f>'Entradas de Cálculos'!$D$93*'Entradas de Cálculos'!$D$47*'Entradas de Cálculos'!$D$49*'Entradas de Cálculos'!$D$48*'Modelo de CR'!K21*'Modelo de CR'!K16*'Modelo de CR'!K20*'Modelo de CR'!K22*'Entradas de Cálculos'!$D$22*'Entradas de Cálculos'!$D$92</f>
        <v>0</v>
      </c>
      <c r="L25" s="171">
        <f>'Entradas de Cálculos'!$D$93*'Entradas de Cálculos'!$D$47*'Entradas de Cálculos'!$D$49*'Entradas de Cálculos'!$D$48*'Modelo de CR'!L21*'Modelo de CR'!L16*'Modelo de CR'!L20*'Modelo de CR'!L22*'Entradas de Cálculos'!$D$22*'Entradas de Cálculos'!$D$92</f>
        <v>0</v>
      </c>
      <c r="M25" s="171">
        <f>'Entradas de Cálculos'!$D$93*'Entradas de Cálculos'!$D$47*'Entradas de Cálculos'!$D$49*'Entradas de Cálculos'!$D$48*'Modelo de CR'!M21*'Modelo de CR'!M16*'Modelo de CR'!M20*'Modelo de CR'!M22*'Entradas de Cálculos'!$D$22*'Entradas de Cálculos'!$D$92</f>
        <v>0</v>
      </c>
      <c r="N25" s="171">
        <f>'Entradas de Cálculos'!$D$93*'Entradas de Cálculos'!$D$47*'Entradas de Cálculos'!$D$49*'Entradas de Cálculos'!$D$48*'Modelo de CR'!N21*'Modelo de CR'!N16*'Modelo de CR'!N20*'Modelo de CR'!N22*'Entradas de Cálculos'!$D$22*'Entradas de Cálculos'!$D$92</f>
        <v>0</v>
      </c>
      <c r="O25" s="171">
        <f>'Entradas de Cálculos'!$D$93*'Entradas de Cálculos'!$D$47*'Entradas de Cálculos'!$D$49*'Entradas de Cálculos'!$D$48*'Modelo de CR'!O21*'Modelo de CR'!O16*'Modelo de CR'!O20*'Modelo de CR'!O22*'Entradas de Cálculos'!$D$22*'Entradas de Cálculos'!$D$92</f>
        <v>0</v>
      </c>
      <c r="P25" s="171">
        <f>'Entradas de Cálculos'!$D$93*'Entradas de Cálculos'!$D$47*'Entradas de Cálculos'!$D$49*'Entradas de Cálculos'!$D$48*'Modelo de CR'!P21*'Modelo de CR'!P16*'Modelo de CR'!P20*'Modelo de CR'!P22*'Entradas de Cálculos'!$D$22*'Entradas de Cálculos'!$D$92</f>
        <v>0</v>
      </c>
      <c r="Q25" s="171">
        <f>'Entradas de Cálculos'!$D$93*'Entradas de Cálculos'!$D$47*'Entradas de Cálculos'!$D$49*'Entradas de Cálculos'!$D$48*'Modelo de CR'!Q21*'Modelo de CR'!Q16*'Modelo de CR'!Q20*'Modelo de CR'!Q22*'Entradas de Cálculos'!$D$22*'Entradas de Cálculos'!$D$92</f>
        <v>0</v>
      </c>
      <c r="R25" s="171">
        <f>'Entradas de Cálculos'!$D$93*'Entradas de Cálculos'!$D$47*'Entradas de Cálculos'!$D$49*'Entradas de Cálculos'!$D$48*'Modelo de CR'!R21*'Modelo de CR'!R16*'Modelo de CR'!R20*'Modelo de CR'!R22*'Entradas de Cálculos'!$D$22*'Entradas de Cálculos'!$D$92</f>
        <v>0</v>
      </c>
      <c r="S25" s="171">
        <f>'Entradas de Cálculos'!$D$93*'Entradas de Cálculos'!$D$47*'Entradas de Cálculos'!$D$49*'Entradas de Cálculos'!$D$48*'Modelo de CR'!S21*'Modelo de CR'!S16*'Modelo de CR'!S20*'Modelo de CR'!S22*'Entradas de Cálculos'!$D$22*'Entradas de Cálculos'!$D$92</f>
        <v>0</v>
      </c>
      <c r="T25" s="171">
        <f>'Entradas de Cálculos'!$D$93*'Entradas de Cálculos'!$D$47*'Entradas de Cálculos'!$D$49*'Entradas de Cálculos'!$D$48*'Modelo de CR'!T21*'Modelo de CR'!T16*'Modelo de CR'!T20*'Modelo de CR'!T22*'Entradas de Cálculos'!$D$22*'Entradas de Cálculos'!$D$92</f>
        <v>0</v>
      </c>
      <c r="U25" s="171">
        <f>'Entradas de Cálculos'!$D$93*'Entradas de Cálculos'!$D$47*'Entradas de Cálculos'!$D$49*'Entradas de Cálculos'!$D$48*'Modelo de CR'!U21*'Modelo de CR'!U16*'Modelo de CR'!U20*'Modelo de CR'!U22*'Entradas de Cálculos'!$D$22*'Entradas de Cálculos'!$D$92</f>
        <v>0</v>
      </c>
      <c r="V25" s="171">
        <f>'Entradas de Cálculos'!$D$93*'Entradas de Cálculos'!$D$47*'Entradas de Cálculos'!$D$49*'Entradas de Cálculos'!$D$48*'Modelo de CR'!V21*'Modelo de CR'!V16*'Modelo de CR'!V20*'Modelo de CR'!V22*'Entradas de Cálculos'!$D$22*'Entradas de Cálculos'!$D$92</f>
        <v>0</v>
      </c>
      <c r="W25" s="171">
        <f>'Entradas de Cálculos'!$D$93*'Entradas de Cálculos'!$D$47*'Entradas de Cálculos'!$D$49*'Entradas de Cálculos'!$D$48*'Modelo de CR'!W21*'Modelo de CR'!W16*'Modelo de CR'!W20*'Modelo de CR'!W22*'Entradas de Cálculos'!$D$22*'Entradas de Cálculos'!$D$92</f>
        <v>0</v>
      </c>
    </row>
    <row r="26" spans="1:23" ht="15" thickBot="1">
      <c r="A26" s="379" t="s">
        <v>196</v>
      </c>
      <c r="B26" s="380"/>
      <c r="C26" s="380"/>
      <c r="D26" s="380"/>
      <c r="E26" s="380"/>
      <c r="F26" s="380"/>
      <c r="G26" s="380"/>
      <c r="H26" s="380"/>
      <c r="I26" s="380"/>
      <c r="J26" s="380"/>
      <c r="K26" s="380"/>
      <c r="L26" s="380"/>
      <c r="M26" s="380"/>
      <c r="N26" s="380"/>
      <c r="O26" s="380"/>
      <c r="P26" s="380"/>
      <c r="Q26" s="380"/>
      <c r="R26" s="380"/>
      <c r="S26" s="380"/>
      <c r="T26" s="380"/>
      <c r="U26" s="380"/>
      <c r="V26" s="380"/>
      <c r="W26" s="381"/>
    </row>
    <row r="27" spans="1:23" ht="14.25">
      <c r="A27" s="146" t="s">
        <v>29</v>
      </c>
      <c r="B27" s="124"/>
      <c r="C27" s="158">
        <f>'Modelo de Tecnologia'!C16</f>
        <v>0</v>
      </c>
      <c r="D27" s="158">
        <f>'Modelo de Tecnologia'!D16</f>
        <v>0</v>
      </c>
      <c r="E27" s="158">
        <f>'Modelo de Tecnologia'!E16</f>
        <v>0</v>
      </c>
      <c r="F27" s="158">
        <f>'Modelo de Tecnologia'!F16</f>
        <v>0</v>
      </c>
      <c r="G27" s="158">
        <f>'Modelo de Tecnologia'!G16</f>
        <v>0</v>
      </c>
      <c r="H27" s="158">
        <f>'Modelo de Tecnologia'!H16</f>
        <v>0</v>
      </c>
      <c r="I27" s="158">
        <f>'Modelo de Tecnologia'!I16</f>
        <v>0</v>
      </c>
      <c r="J27" s="158">
        <f>'Modelo de Tecnologia'!J16</f>
        <v>0</v>
      </c>
      <c r="K27" s="158">
        <f>'Modelo de Tecnologia'!K16</f>
        <v>0</v>
      </c>
      <c r="L27" s="158">
        <f>'Modelo de Tecnologia'!L16</f>
        <v>0</v>
      </c>
      <c r="M27" s="158">
        <f>'Modelo de Tecnologia'!M16</f>
        <v>0</v>
      </c>
      <c r="N27" s="158">
        <f>'Modelo de Tecnologia'!N16</f>
        <v>0</v>
      </c>
      <c r="O27" s="158">
        <f>'Modelo de Tecnologia'!O16</f>
        <v>0</v>
      </c>
      <c r="P27" s="158">
        <f>'Modelo de Tecnologia'!P16</f>
        <v>0</v>
      </c>
      <c r="Q27" s="158">
        <f>'Modelo de Tecnologia'!Q16</f>
        <v>0</v>
      </c>
      <c r="R27" s="158">
        <f>'Modelo de Tecnologia'!R16</f>
        <v>0</v>
      </c>
      <c r="S27" s="158">
        <f>'Modelo de Tecnologia'!S16</f>
        <v>0</v>
      </c>
      <c r="T27" s="158">
        <f>'Modelo de Tecnologia'!T16</f>
        <v>0</v>
      </c>
      <c r="U27" s="158">
        <f>'Modelo de Tecnologia'!U16</f>
        <v>0</v>
      </c>
      <c r="V27" s="158">
        <f>'Modelo de Tecnologia'!V16</f>
        <v>0</v>
      </c>
      <c r="W27" s="158">
        <f>'Modelo de Tecnologia'!W16</f>
        <v>0</v>
      </c>
    </row>
    <row r="28" spans="1:23" ht="14.25">
      <c r="A28" s="331" t="s">
        <v>262</v>
      </c>
      <c r="B28" s="148"/>
      <c r="C28" s="153">
        <f>IF('Entrada de Dados do Usuário'!$C$23=0,0,VLOOKUP('Entrada de Dados do Usuário'!$C$23,'Entradas de Cálculos'!$H$150:$I$158,2,FALSE))</f>
        <v>0</v>
      </c>
      <c r="D28" s="153">
        <f>IF('Entrada de Dados do Usuário'!$C$23=0,0,VLOOKUP('Entrada de Dados do Usuário'!$C$23,'Entradas de Cálculos'!$H$150:$I$158,2,FALSE))</f>
        <v>0</v>
      </c>
      <c r="E28" s="153">
        <f>IF('Entrada de Dados do Usuário'!$C$23=0,0,VLOOKUP('Entrada de Dados do Usuário'!$C$23,'Entradas de Cálculos'!$H$150:$I$158,2,FALSE))</f>
        <v>0</v>
      </c>
      <c r="F28" s="153">
        <f>IF('Entrada de Dados do Usuário'!$C$23=0,0,VLOOKUP('Entrada de Dados do Usuário'!$C$23,'Entradas de Cálculos'!$H$150:$I$158,2,FALSE))</f>
        <v>0</v>
      </c>
      <c r="G28" s="153">
        <f>IF('Entrada de Dados do Usuário'!$C$23=0,0,VLOOKUP('Entrada de Dados do Usuário'!$C$23,'Entradas de Cálculos'!$H$150:$I$158,2,FALSE))</f>
        <v>0</v>
      </c>
      <c r="H28" s="153">
        <f>IF('Entrada de Dados do Usuário'!$C$23=0,0,VLOOKUP('Entrada de Dados do Usuário'!$C$23,'Entradas de Cálculos'!$H$150:$I$158,2,FALSE))</f>
        <v>0</v>
      </c>
      <c r="I28" s="153">
        <f>IF('Entrada de Dados do Usuário'!$C$23=0,0,VLOOKUP('Entrada de Dados do Usuário'!$C$23,'Entradas de Cálculos'!$H$150:$I$158,2,FALSE))</f>
        <v>0</v>
      </c>
      <c r="J28" s="153">
        <f>IF('Entrada de Dados do Usuário'!$C$23=0,0,VLOOKUP('Entrada de Dados do Usuário'!$C$23,'Entradas de Cálculos'!$H$150:$I$158,2,FALSE))</f>
        <v>0</v>
      </c>
      <c r="K28" s="153">
        <f>IF('Entrada de Dados do Usuário'!$C$23=0,0,VLOOKUP('Entrada de Dados do Usuário'!$C$23,'Entradas de Cálculos'!$H$150:$I$158,2,FALSE))</f>
        <v>0</v>
      </c>
      <c r="L28" s="153">
        <f>IF('Entrada de Dados do Usuário'!$C$23=0,0,VLOOKUP('Entrada de Dados do Usuário'!$C$23,'Entradas de Cálculos'!$H$150:$I$158,2,FALSE))</f>
        <v>0</v>
      </c>
      <c r="M28" s="153">
        <f>IF('Entrada de Dados do Usuário'!$C$23=0,0,VLOOKUP('Entrada de Dados do Usuário'!$C$23,'Entradas de Cálculos'!$H$150:$I$158,2,FALSE))</f>
        <v>0</v>
      </c>
      <c r="N28" s="153">
        <f>IF('Entrada de Dados do Usuário'!$C$23=0,0,VLOOKUP('Entrada de Dados do Usuário'!$C$23,'Entradas de Cálculos'!$H$150:$I$158,2,FALSE))</f>
        <v>0</v>
      </c>
      <c r="O28" s="153">
        <f>IF('Entrada de Dados do Usuário'!$C$23=0,0,VLOOKUP('Entrada de Dados do Usuário'!$C$23,'Entradas de Cálculos'!$H$150:$I$158,2,FALSE))</f>
        <v>0</v>
      </c>
      <c r="P28" s="153">
        <f>IF('Entrada de Dados do Usuário'!$C$23=0,0,VLOOKUP('Entrada de Dados do Usuário'!$C$23,'Entradas de Cálculos'!$H$150:$I$158,2,FALSE))</f>
        <v>0</v>
      </c>
      <c r="Q28" s="153">
        <f>IF('Entrada de Dados do Usuário'!$C$23=0,0,VLOOKUP('Entrada de Dados do Usuário'!$C$23,'Entradas de Cálculos'!$H$150:$I$158,2,FALSE))</f>
        <v>0</v>
      </c>
      <c r="R28" s="153">
        <f>IF('Entrada de Dados do Usuário'!$C$23=0,0,VLOOKUP('Entrada de Dados do Usuário'!$C$23,'Entradas de Cálculos'!$H$150:$I$158,2,FALSE))</f>
        <v>0</v>
      </c>
      <c r="S28" s="153">
        <f>IF('Entrada de Dados do Usuário'!$C$23=0,0,VLOOKUP('Entrada de Dados do Usuário'!$C$23,'Entradas de Cálculos'!$H$150:$I$158,2,FALSE))</f>
        <v>0</v>
      </c>
      <c r="T28" s="153">
        <f>IF('Entrada de Dados do Usuário'!$C$23=0,0,VLOOKUP('Entrada de Dados do Usuário'!$C$23,'Entradas de Cálculos'!$H$150:$I$158,2,FALSE))</f>
        <v>0</v>
      </c>
      <c r="U28" s="153">
        <f>IF('Entrada de Dados do Usuário'!$C$23=0,0,VLOOKUP('Entrada de Dados do Usuário'!$C$23,'Entradas de Cálculos'!$H$150:$I$158,2,FALSE))</f>
        <v>0</v>
      </c>
      <c r="V28" s="153">
        <f>IF('Entrada de Dados do Usuário'!$C$23=0,0,VLOOKUP('Entrada de Dados do Usuário'!$C$23,'Entradas de Cálculos'!$H$150:$I$158,2,FALSE))</f>
        <v>0</v>
      </c>
      <c r="W28" s="153">
        <f>IF('Entrada de Dados do Usuário'!$C$23=0,0,VLOOKUP('Entrada de Dados do Usuário'!$C$23,'Entradas de Cálculos'!$H$150:$I$158,2,FALSE))</f>
        <v>0</v>
      </c>
    </row>
    <row r="29" spans="1:23" ht="14.25">
      <c r="A29" s="331" t="s">
        <v>263</v>
      </c>
      <c r="B29" s="149"/>
      <c r="C29" s="153">
        <f>'Entrada de Dados do Usuário'!$C$29</f>
        <v>0</v>
      </c>
      <c r="D29" s="153">
        <f>'Entrada de Dados do Usuário'!$C$29</f>
        <v>0</v>
      </c>
      <c r="E29" s="153">
        <f>'Entrada de Dados do Usuário'!$C$29</f>
        <v>0</v>
      </c>
      <c r="F29" s="153">
        <f>'Entrada de Dados do Usuário'!$C$29</f>
        <v>0</v>
      </c>
      <c r="G29" s="153">
        <f>'Entrada de Dados do Usuário'!$C$29</f>
        <v>0</v>
      </c>
      <c r="H29" s="153">
        <f>'Entrada de Dados do Usuário'!$C$29</f>
        <v>0</v>
      </c>
      <c r="I29" s="153">
        <f>'Entrada de Dados do Usuário'!$C$29</f>
        <v>0</v>
      </c>
      <c r="J29" s="153">
        <f>'Entrada de Dados do Usuário'!$C$29</f>
        <v>0</v>
      </c>
      <c r="K29" s="153">
        <f>'Entrada de Dados do Usuário'!$C$29</f>
        <v>0</v>
      </c>
      <c r="L29" s="153">
        <f>'Entrada de Dados do Usuário'!$C$29</f>
        <v>0</v>
      </c>
      <c r="M29" s="153">
        <f>'Entrada de Dados do Usuário'!$C$29</f>
        <v>0</v>
      </c>
      <c r="N29" s="153">
        <f>'Entrada de Dados do Usuário'!$C$29</f>
        <v>0</v>
      </c>
      <c r="O29" s="153">
        <f>'Entrada de Dados do Usuário'!$C$29</f>
        <v>0</v>
      </c>
      <c r="P29" s="153">
        <f>'Entrada de Dados do Usuário'!$C$29</f>
        <v>0</v>
      </c>
      <c r="Q29" s="153">
        <f>'Entrada de Dados do Usuário'!$C$29</f>
        <v>0</v>
      </c>
      <c r="R29" s="153">
        <f>'Entrada de Dados do Usuário'!$C$29</f>
        <v>0</v>
      </c>
      <c r="S29" s="153">
        <f>'Entrada de Dados do Usuário'!$C$29</f>
        <v>0</v>
      </c>
      <c r="T29" s="153">
        <f>'Entrada de Dados do Usuário'!$C$29</f>
        <v>0</v>
      </c>
      <c r="U29" s="153">
        <f>'Entrada de Dados do Usuário'!$C$29</f>
        <v>0</v>
      </c>
      <c r="V29" s="153">
        <f>'Entrada de Dados do Usuário'!$C$29</f>
        <v>0</v>
      </c>
      <c r="W29" s="153">
        <f>'Entrada de Dados do Usuário'!$C$29</f>
        <v>0</v>
      </c>
    </row>
    <row r="30" spans="1:23" ht="14.25">
      <c r="A30" s="331" t="s">
        <v>264</v>
      </c>
      <c r="B30" s="148"/>
      <c r="C30" s="153">
        <f>IF('Entrada de Dados do Usuário'!$C$23=0,0,VLOOKUP('Entrada de Dados do Usuário'!$C$23,'Entradas de Cálculos'!$H$150:$K$158,4,FALSE))*'Entradas de Cálculos'!$D$16</f>
        <v>0</v>
      </c>
      <c r="D30" s="153">
        <f>IF('Entrada de Dados do Usuário'!$C$23=0,0,VLOOKUP('Entrada de Dados do Usuário'!$C$23,'Entradas de Cálculos'!$H$150:$K$158,4,FALSE))*'Entradas de Cálculos'!$D$16</f>
        <v>0</v>
      </c>
      <c r="E30" s="153">
        <f>IF('Entrada de Dados do Usuário'!$C$23=0,0,VLOOKUP('Entrada de Dados do Usuário'!$C$23,'Entradas de Cálculos'!$H$150:$K$158,4,FALSE))*'Entradas de Cálculos'!$D$16</f>
        <v>0</v>
      </c>
      <c r="F30" s="153">
        <f>IF('Entrada de Dados do Usuário'!$C$23=0,0,VLOOKUP('Entrada de Dados do Usuário'!$C$23,'Entradas de Cálculos'!$H$150:$K$158,4,FALSE))*'Entradas de Cálculos'!$D$16</f>
        <v>0</v>
      </c>
      <c r="G30" s="153">
        <f>IF('Entrada de Dados do Usuário'!$C$23=0,0,VLOOKUP('Entrada de Dados do Usuário'!$C$23,'Entradas de Cálculos'!$H$150:$K$158,4,FALSE))*'Entradas de Cálculos'!$D$16</f>
        <v>0</v>
      </c>
      <c r="H30" s="153">
        <f>IF('Entrada de Dados do Usuário'!$C$23=0,0,VLOOKUP('Entrada de Dados do Usuário'!$C$23,'Entradas de Cálculos'!$H$150:$K$158,4,FALSE))*'Entradas de Cálculos'!$D$16</f>
        <v>0</v>
      </c>
      <c r="I30" s="153">
        <f>IF('Entrada de Dados do Usuário'!$C$23=0,0,VLOOKUP('Entrada de Dados do Usuário'!$C$23,'Entradas de Cálculos'!$H$150:$K$158,4,FALSE))*'Entradas de Cálculos'!$D$16</f>
        <v>0</v>
      </c>
      <c r="J30" s="153">
        <f>IF('Entrada de Dados do Usuário'!$C$23=0,0,VLOOKUP('Entrada de Dados do Usuário'!$C$23,'Entradas de Cálculos'!$H$150:$K$158,4,FALSE))*'Entradas de Cálculos'!$D$16</f>
        <v>0</v>
      </c>
      <c r="K30" s="153">
        <f>IF('Entrada de Dados do Usuário'!$C$23=0,0,VLOOKUP('Entrada de Dados do Usuário'!$C$23,'Entradas de Cálculos'!$H$150:$K$158,4,FALSE))*'Entradas de Cálculos'!$D$16</f>
        <v>0</v>
      </c>
      <c r="L30" s="153">
        <f>IF('Entrada de Dados do Usuário'!$C$23=0,0,VLOOKUP('Entrada de Dados do Usuário'!$C$23,'Entradas de Cálculos'!$H$150:$K$158,4,FALSE))*'Entradas de Cálculos'!$D$16</f>
        <v>0</v>
      </c>
      <c r="M30" s="153">
        <f>IF('Entrada de Dados do Usuário'!$C$23=0,0,VLOOKUP('Entrada de Dados do Usuário'!$C$23,'Entradas de Cálculos'!$H$150:$K$158,4,FALSE))*'Entradas de Cálculos'!$D$16</f>
        <v>0</v>
      </c>
      <c r="N30" s="153">
        <f>IF('Entrada de Dados do Usuário'!$C$23=0,0,VLOOKUP('Entrada de Dados do Usuário'!$C$23,'Entradas de Cálculos'!$H$150:$K$158,4,FALSE))*'Entradas de Cálculos'!$D$16</f>
        <v>0</v>
      </c>
      <c r="O30" s="153">
        <f>IF('Entrada de Dados do Usuário'!$C$23=0,0,VLOOKUP('Entrada de Dados do Usuário'!$C$23,'Entradas de Cálculos'!$H$150:$K$158,4,FALSE))*'Entradas de Cálculos'!$D$16</f>
        <v>0</v>
      </c>
      <c r="P30" s="153">
        <f>IF('Entrada de Dados do Usuário'!$C$23=0,0,VLOOKUP('Entrada de Dados do Usuário'!$C$23,'Entradas de Cálculos'!$H$150:$K$158,4,FALSE))*'Entradas de Cálculos'!$D$16</f>
        <v>0</v>
      </c>
      <c r="Q30" s="153">
        <f>IF('Entrada de Dados do Usuário'!$C$23=0,0,VLOOKUP('Entrada de Dados do Usuário'!$C$23,'Entradas de Cálculos'!$H$150:$K$158,4,FALSE))*'Entradas de Cálculos'!$D$16</f>
        <v>0</v>
      </c>
      <c r="R30" s="153">
        <f>IF('Entrada de Dados do Usuário'!$C$23=0,0,VLOOKUP('Entrada de Dados do Usuário'!$C$23,'Entradas de Cálculos'!$H$150:$K$158,4,FALSE))*'Entradas de Cálculos'!$D$16</f>
        <v>0</v>
      </c>
      <c r="S30" s="153">
        <f>IF('Entrada de Dados do Usuário'!$C$23=0,0,VLOOKUP('Entrada de Dados do Usuário'!$C$23,'Entradas de Cálculos'!$H$150:$K$158,4,FALSE))*'Entradas de Cálculos'!$D$16</f>
        <v>0</v>
      </c>
      <c r="T30" s="153">
        <f>IF('Entrada de Dados do Usuário'!$C$23=0,0,VLOOKUP('Entrada de Dados do Usuário'!$C$23,'Entradas de Cálculos'!$H$150:$K$158,4,FALSE))*'Entradas de Cálculos'!$D$16</f>
        <v>0</v>
      </c>
      <c r="U30" s="153">
        <f>IF('Entrada de Dados do Usuário'!$C$23=0,0,VLOOKUP('Entrada de Dados do Usuário'!$C$23,'Entradas de Cálculos'!$H$150:$K$158,4,FALSE))*'Entradas de Cálculos'!$D$16</f>
        <v>0</v>
      </c>
      <c r="V30" s="153">
        <f>IF('Entrada de Dados do Usuário'!$C$23=0,0,VLOOKUP('Entrada de Dados do Usuário'!$C$23,'Entradas de Cálculos'!$H$150:$K$158,4,FALSE))*'Entradas de Cálculos'!$D$16</f>
        <v>0</v>
      </c>
      <c r="W30" s="153">
        <f>IF('Entrada de Dados do Usuário'!$C$23=0,0,VLOOKUP('Entrada de Dados do Usuário'!$C$23,'Entradas de Cálculos'!$H$150:$K$158,4,FALSE))*'Entradas de Cálculos'!$D$16</f>
        <v>0</v>
      </c>
    </row>
    <row r="31" spans="1:23" ht="14.25">
      <c r="A31" s="331" t="s">
        <v>265</v>
      </c>
      <c r="B31" s="148"/>
      <c r="C31" s="153">
        <f>IF(C30*C29=0,0,C30*C29/C28)</f>
        <v>0</v>
      </c>
      <c r="D31" s="153">
        <f aca="true" t="shared" si="2" ref="D31:W31">IF(D30*D29=0,0,D30*D29/D28)</f>
        <v>0</v>
      </c>
      <c r="E31" s="153">
        <f t="shared" si="2"/>
        <v>0</v>
      </c>
      <c r="F31" s="153">
        <f t="shared" si="2"/>
        <v>0</v>
      </c>
      <c r="G31" s="153">
        <f t="shared" si="2"/>
        <v>0</v>
      </c>
      <c r="H31" s="153">
        <f t="shared" si="2"/>
        <v>0</v>
      </c>
      <c r="I31" s="153">
        <f t="shared" si="2"/>
        <v>0</v>
      </c>
      <c r="J31" s="153">
        <f t="shared" si="2"/>
        <v>0</v>
      </c>
      <c r="K31" s="153">
        <f t="shared" si="2"/>
        <v>0</v>
      </c>
      <c r="L31" s="153">
        <f t="shared" si="2"/>
        <v>0</v>
      </c>
      <c r="M31" s="153">
        <f t="shared" si="2"/>
        <v>0</v>
      </c>
      <c r="N31" s="153">
        <f t="shared" si="2"/>
        <v>0</v>
      </c>
      <c r="O31" s="153">
        <f t="shared" si="2"/>
        <v>0</v>
      </c>
      <c r="P31" s="153">
        <f t="shared" si="2"/>
        <v>0</v>
      </c>
      <c r="Q31" s="153">
        <f t="shared" si="2"/>
        <v>0</v>
      </c>
      <c r="R31" s="153">
        <f t="shared" si="2"/>
        <v>0</v>
      </c>
      <c r="S31" s="153">
        <f t="shared" si="2"/>
        <v>0</v>
      </c>
      <c r="T31" s="153">
        <f t="shared" si="2"/>
        <v>0</v>
      </c>
      <c r="U31" s="153">
        <f t="shared" si="2"/>
        <v>0</v>
      </c>
      <c r="V31" s="153">
        <f t="shared" si="2"/>
        <v>0</v>
      </c>
      <c r="W31" s="153">
        <f t="shared" si="2"/>
        <v>0</v>
      </c>
    </row>
    <row r="32" spans="1:23" ht="14.25">
      <c r="A32" s="147" t="s">
        <v>19</v>
      </c>
      <c r="B32" s="148"/>
      <c r="C32" s="153">
        <f>IF('Entrada de Dados do Usuário'!$C$23=0,0,VLOOKUP('Entrada de Dados do Usuário'!$C$23,'Entradas de Cálculos'!$H$150:$K$158,3,FALSE))</f>
        <v>0</v>
      </c>
      <c r="D32" s="153">
        <f>IF('Entrada de Dados do Usuário'!$C$23=0,0,VLOOKUP('Entrada de Dados do Usuário'!$C$23,'Entradas de Cálculos'!$H$150:$K$158,3,FALSE))</f>
        <v>0</v>
      </c>
      <c r="E32" s="153">
        <f>IF('Entrada de Dados do Usuário'!$C$23=0,0,VLOOKUP('Entrada de Dados do Usuário'!$C$23,'Entradas de Cálculos'!$H$150:$K$158,3,FALSE))</f>
        <v>0</v>
      </c>
      <c r="F32" s="153">
        <f>IF('Entrada de Dados do Usuário'!$C$23=0,0,VLOOKUP('Entrada de Dados do Usuário'!$C$23,'Entradas de Cálculos'!$H$150:$K$158,3,FALSE))</f>
        <v>0</v>
      </c>
      <c r="G32" s="153">
        <f>IF('Entrada de Dados do Usuário'!$C$23=0,0,VLOOKUP('Entrada de Dados do Usuário'!$C$23,'Entradas de Cálculos'!$H$150:$K$158,3,FALSE))</f>
        <v>0</v>
      </c>
      <c r="H32" s="153">
        <f>IF('Entrada de Dados do Usuário'!$C$23=0,0,VLOOKUP('Entrada de Dados do Usuário'!$C$23,'Entradas de Cálculos'!$H$150:$K$158,3,FALSE))</f>
        <v>0</v>
      </c>
      <c r="I32" s="153">
        <f>IF('Entrada de Dados do Usuário'!$C$23=0,0,VLOOKUP('Entrada de Dados do Usuário'!$C$23,'Entradas de Cálculos'!$H$150:$K$158,3,FALSE))</f>
        <v>0</v>
      </c>
      <c r="J32" s="153">
        <f>IF('Entrada de Dados do Usuário'!$C$23=0,0,VLOOKUP('Entrada de Dados do Usuário'!$C$23,'Entradas de Cálculos'!$H$150:$K$158,3,FALSE))</f>
        <v>0</v>
      </c>
      <c r="K32" s="153">
        <f>IF('Entrada de Dados do Usuário'!$C$23=0,0,VLOOKUP('Entrada de Dados do Usuário'!$C$23,'Entradas de Cálculos'!$H$150:$K$158,3,FALSE))</f>
        <v>0</v>
      </c>
      <c r="L32" s="153">
        <f>IF('Entrada de Dados do Usuário'!$C$23=0,0,VLOOKUP('Entrada de Dados do Usuário'!$C$23,'Entradas de Cálculos'!$H$150:$K$158,3,FALSE))</f>
        <v>0</v>
      </c>
      <c r="M32" s="153">
        <f>IF('Entrada de Dados do Usuário'!$C$23=0,0,VLOOKUP('Entrada de Dados do Usuário'!$C$23,'Entradas de Cálculos'!$H$150:$K$158,3,FALSE))</f>
        <v>0</v>
      </c>
      <c r="N32" s="153">
        <f>IF('Entrada de Dados do Usuário'!$C$23=0,0,VLOOKUP('Entrada de Dados do Usuário'!$C$23,'Entradas de Cálculos'!$H$150:$K$158,3,FALSE))</f>
        <v>0</v>
      </c>
      <c r="O32" s="153">
        <f>IF('Entrada de Dados do Usuário'!$C$23=0,0,VLOOKUP('Entrada de Dados do Usuário'!$C$23,'Entradas de Cálculos'!$H$150:$K$158,3,FALSE))</f>
        <v>0</v>
      </c>
      <c r="P32" s="153">
        <f>IF('Entrada de Dados do Usuário'!$C$23=0,0,VLOOKUP('Entrada de Dados do Usuário'!$C$23,'Entradas de Cálculos'!$H$150:$K$158,3,FALSE))</f>
        <v>0</v>
      </c>
      <c r="Q32" s="153">
        <f>IF('Entrada de Dados do Usuário'!$C$23=0,0,VLOOKUP('Entrada de Dados do Usuário'!$C$23,'Entradas de Cálculos'!$H$150:$K$158,3,FALSE))</f>
        <v>0</v>
      </c>
      <c r="R32" s="153">
        <f>IF('Entrada de Dados do Usuário'!$C$23=0,0,VLOOKUP('Entrada de Dados do Usuário'!$C$23,'Entradas de Cálculos'!$H$150:$K$158,3,FALSE))</f>
        <v>0</v>
      </c>
      <c r="S32" s="153">
        <f>IF('Entrada de Dados do Usuário'!$C$23=0,0,VLOOKUP('Entrada de Dados do Usuário'!$C$23,'Entradas de Cálculos'!$H$150:$K$158,3,FALSE))</f>
        <v>0</v>
      </c>
      <c r="T32" s="153">
        <f>IF('Entrada de Dados do Usuário'!$C$23=0,0,VLOOKUP('Entrada de Dados do Usuário'!$C$23,'Entradas de Cálculos'!$H$150:$K$158,3,FALSE))</f>
        <v>0</v>
      </c>
      <c r="U32" s="153">
        <f>IF('Entrada de Dados do Usuário'!$C$23=0,0,VLOOKUP('Entrada de Dados do Usuário'!$C$23,'Entradas de Cálculos'!$H$150:$K$158,3,FALSE))</f>
        <v>0</v>
      </c>
      <c r="V32" s="153">
        <f>IF('Entrada de Dados do Usuário'!$C$23=0,0,VLOOKUP('Entrada de Dados do Usuário'!$C$23,'Entradas de Cálculos'!$H$150:$K$158,3,FALSE))</f>
        <v>0</v>
      </c>
      <c r="W32" s="153">
        <f>IF('Entrada de Dados do Usuário'!$C$23=0,0,VLOOKUP('Entrada de Dados do Usuário'!$C$23,'Entradas de Cálculos'!$H$150:$K$158,3,FALSE))</f>
        <v>0</v>
      </c>
    </row>
    <row r="33" spans="1:23" ht="14.25">
      <c r="A33" s="147" t="s">
        <v>20</v>
      </c>
      <c r="B33" s="148"/>
      <c r="C33" s="156">
        <f>'Entrada de Dados do Usuário'!$C$42</f>
        <v>0</v>
      </c>
      <c r="D33" s="156">
        <f>'Entrada de Dados do Usuário'!$C$42</f>
        <v>0</v>
      </c>
      <c r="E33" s="156">
        <f>'Entrada de Dados do Usuário'!$C$42</f>
        <v>0</v>
      </c>
      <c r="F33" s="156">
        <f>'Entrada de Dados do Usuário'!$C$42</f>
        <v>0</v>
      </c>
      <c r="G33" s="156">
        <f>'Entrada de Dados do Usuário'!$C$42</f>
        <v>0</v>
      </c>
      <c r="H33" s="156">
        <f>'Entrada de Dados do Usuário'!$C$42</f>
        <v>0</v>
      </c>
      <c r="I33" s="156">
        <f>'Entrada de Dados do Usuário'!$C$42</f>
        <v>0</v>
      </c>
      <c r="J33" s="156">
        <f>'Entrada de Dados do Usuário'!$C$42</f>
        <v>0</v>
      </c>
      <c r="K33" s="156">
        <f>'Entrada de Dados do Usuário'!$C$42</f>
        <v>0</v>
      </c>
      <c r="L33" s="156">
        <f>'Entrada de Dados do Usuário'!$C$42</f>
        <v>0</v>
      </c>
      <c r="M33" s="156">
        <f>'Entrada de Dados do Usuário'!$C$42</f>
        <v>0</v>
      </c>
      <c r="N33" s="156">
        <f>'Entrada de Dados do Usuário'!$C$42</f>
        <v>0</v>
      </c>
      <c r="O33" s="156">
        <f>'Entrada de Dados do Usuário'!$C$42</f>
        <v>0</v>
      </c>
      <c r="P33" s="156">
        <f>'Entrada de Dados do Usuário'!$C$42</f>
        <v>0</v>
      </c>
      <c r="Q33" s="156">
        <f>'Entrada de Dados do Usuário'!$C$42</f>
        <v>0</v>
      </c>
      <c r="R33" s="156">
        <f>'Entrada de Dados do Usuário'!$C$42</f>
        <v>0</v>
      </c>
      <c r="S33" s="156">
        <f>'Entrada de Dados do Usuário'!$C$42</f>
        <v>0</v>
      </c>
      <c r="T33" s="156">
        <f>'Entrada de Dados do Usuário'!$C$42</f>
        <v>0</v>
      </c>
      <c r="U33" s="156">
        <f>'Entrada de Dados do Usuário'!$C$42</f>
        <v>0</v>
      </c>
      <c r="V33" s="156">
        <f>'Entrada de Dados do Usuário'!$C$42</f>
        <v>0</v>
      </c>
      <c r="W33" s="156">
        <f>'Entrada de Dados do Usuário'!$C$42</f>
        <v>0</v>
      </c>
    </row>
    <row r="34" spans="1:23" ht="15">
      <c r="A34" s="147" t="s">
        <v>28</v>
      </c>
      <c r="B34" s="148"/>
      <c r="C34" s="156">
        <f>IF('Entrada de Dados do Usuário'!$C$36=0,0,VLOOKUP('Entradas de Cálculos'!$D$45,'Entradas de Cálculos'!$I$128:$T$146,HLOOKUP('Entrada de Dados do Usuário'!$C$36,'Entradas de Cálculos'!$L$126:$T$127,2,FALSE),TRUE))</f>
        <v>0</v>
      </c>
      <c r="D34" s="156">
        <f>IF('Entrada de Dados do Usuário'!$C$36=0,0,VLOOKUP('Entradas de Cálculos'!$D$45,'Entradas de Cálculos'!$I$128:$T$146,HLOOKUP('Entrada de Dados do Usuário'!$C$36,'Entradas de Cálculos'!$L$126:$T$127,2,FALSE),TRUE))</f>
        <v>0</v>
      </c>
      <c r="E34" s="156">
        <f>IF('Entrada de Dados do Usuário'!$C$36=0,0,VLOOKUP('Entradas de Cálculos'!$D$45,'Entradas de Cálculos'!$I$128:$T$146,HLOOKUP('Entrada de Dados do Usuário'!$C$36,'Entradas de Cálculos'!$L$126:$T$127,2,FALSE),TRUE))</f>
        <v>0</v>
      </c>
      <c r="F34" s="156">
        <f>IF('Entrada de Dados do Usuário'!$C$36=0,0,VLOOKUP('Entradas de Cálculos'!$D$45,'Entradas de Cálculos'!$I$128:$T$146,HLOOKUP('Entrada de Dados do Usuário'!$C$36,'Entradas de Cálculos'!$L$126:$T$127,2,FALSE),TRUE))</f>
        <v>0</v>
      </c>
      <c r="G34" s="156">
        <f>IF('Entrada de Dados do Usuário'!$C$36=0,0,VLOOKUP('Entradas de Cálculos'!$D$45,'Entradas de Cálculos'!$I$128:$T$146,HLOOKUP('Entrada de Dados do Usuário'!$C$36,'Entradas de Cálculos'!$L$126:$T$127,2,FALSE),TRUE))</f>
        <v>0</v>
      </c>
      <c r="H34" s="156">
        <f>IF('Entrada de Dados do Usuário'!$C$36=0,0,VLOOKUP('Entradas de Cálculos'!$D$45,'Entradas de Cálculos'!$I$128:$T$146,HLOOKUP('Entrada de Dados do Usuário'!$C$36,'Entradas de Cálculos'!$L$126:$T$127,2,FALSE),TRUE))</f>
        <v>0</v>
      </c>
      <c r="I34" s="156">
        <f>IF('Entrada de Dados do Usuário'!$C$36=0,0,VLOOKUP('Entradas de Cálculos'!$D$45,'Entradas de Cálculos'!$I$128:$T$146,HLOOKUP('Entrada de Dados do Usuário'!$C$36,'Entradas de Cálculos'!$L$126:$T$127,2,FALSE),TRUE))</f>
        <v>0</v>
      </c>
      <c r="J34" s="156">
        <f>IF('Entrada de Dados do Usuário'!$C$36=0,0,VLOOKUP('Entradas de Cálculos'!$D$45,'Entradas de Cálculos'!$I$128:$T$146,HLOOKUP('Entrada de Dados do Usuário'!$C$36,'Entradas de Cálculos'!$L$126:$T$127,2,FALSE),TRUE))</f>
        <v>0</v>
      </c>
      <c r="K34" s="156">
        <f>IF('Entrada de Dados do Usuário'!$C$36=0,0,VLOOKUP('Entradas de Cálculos'!$D$45,'Entradas de Cálculos'!$I$128:$T$146,HLOOKUP('Entrada de Dados do Usuário'!$C$36,'Entradas de Cálculos'!$L$126:$T$127,2,FALSE),TRUE))</f>
        <v>0</v>
      </c>
      <c r="L34" s="156">
        <f>IF('Entrada de Dados do Usuário'!$C$36=0,0,VLOOKUP('Entradas de Cálculos'!$D$45,'Entradas de Cálculos'!$I$128:$T$146,HLOOKUP('Entrada de Dados do Usuário'!$C$36,'Entradas de Cálculos'!$L$126:$T$127,2,FALSE),TRUE))</f>
        <v>0</v>
      </c>
      <c r="M34" s="156">
        <f>IF('Entrada de Dados do Usuário'!$C$36=0,0,VLOOKUP('Entradas de Cálculos'!$D$45,'Entradas de Cálculos'!$I$128:$T$146,HLOOKUP('Entrada de Dados do Usuário'!$C$36,'Entradas de Cálculos'!$L$126:$T$127,2,FALSE),TRUE))</f>
        <v>0</v>
      </c>
      <c r="N34" s="156">
        <f>IF('Entrada de Dados do Usuário'!$C$36=0,0,VLOOKUP('Entradas de Cálculos'!$D$45,'Entradas de Cálculos'!$I$128:$T$146,HLOOKUP('Entrada de Dados do Usuário'!$C$36,'Entradas de Cálculos'!$L$126:$T$127,2,FALSE),TRUE))</f>
        <v>0</v>
      </c>
      <c r="O34" s="156">
        <f>IF('Entrada de Dados do Usuário'!$C$36=0,0,VLOOKUP('Entradas de Cálculos'!$D$45,'Entradas de Cálculos'!$I$128:$T$146,HLOOKUP('Entrada de Dados do Usuário'!$C$36,'Entradas de Cálculos'!$L$126:$T$127,2,FALSE),TRUE))</f>
        <v>0</v>
      </c>
      <c r="P34" s="156">
        <f>IF('Entrada de Dados do Usuário'!$C$36=0,0,VLOOKUP('Entradas de Cálculos'!$D$45,'Entradas de Cálculos'!$I$128:$T$146,HLOOKUP('Entrada de Dados do Usuário'!$C$36,'Entradas de Cálculos'!$L$126:$T$127,2,FALSE),TRUE))</f>
        <v>0</v>
      </c>
      <c r="Q34" s="156">
        <f>IF('Entrada de Dados do Usuário'!$C$36=0,0,VLOOKUP('Entradas de Cálculos'!$D$45,'Entradas de Cálculos'!$I$128:$T$146,HLOOKUP('Entrada de Dados do Usuário'!$C$36,'Entradas de Cálculos'!$L$126:$T$127,2,FALSE),TRUE))</f>
        <v>0</v>
      </c>
      <c r="R34" s="156">
        <f>IF('Entrada de Dados do Usuário'!$C$36=0,0,VLOOKUP('Entradas de Cálculos'!$D$45,'Entradas de Cálculos'!$I$128:$T$146,HLOOKUP('Entrada de Dados do Usuário'!$C$36,'Entradas de Cálculos'!$L$126:$T$127,2,FALSE),TRUE))</f>
        <v>0</v>
      </c>
      <c r="S34" s="156">
        <f>IF('Entrada de Dados do Usuário'!$C$36=0,0,VLOOKUP('Entradas de Cálculos'!$D$45,'Entradas de Cálculos'!$I$128:$T$146,HLOOKUP('Entrada de Dados do Usuário'!$C$36,'Entradas de Cálculos'!$L$126:$T$127,2,FALSE),TRUE))</f>
        <v>0</v>
      </c>
      <c r="T34" s="156">
        <f>IF('Entrada de Dados do Usuário'!$C$36=0,0,VLOOKUP('Entradas de Cálculos'!$D$45,'Entradas de Cálculos'!$I$128:$T$146,HLOOKUP('Entrada de Dados do Usuário'!$C$36,'Entradas de Cálculos'!$L$126:$T$127,2,FALSE),TRUE))</f>
        <v>0</v>
      </c>
      <c r="U34" s="156">
        <f>IF('Entrada de Dados do Usuário'!$C$36=0,0,VLOOKUP('Entradas de Cálculos'!$D$45,'Entradas de Cálculos'!$I$128:$T$146,HLOOKUP('Entrada de Dados do Usuário'!$C$36,'Entradas de Cálculos'!$L$126:$T$127,2,FALSE),TRUE))</f>
        <v>0</v>
      </c>
      <c r="V34" s="156">
        <f>IF('Entrada de Dados do Usuário'!$C$36=0,0,VLOOKUP('Entradas de Cálculos'!$D$45,'Entradas de Cálculos'!$I$128:$T$146,HLOOKUP('Entrada de Dados do Usuário'!$C$36,'Entradas de Cálculos'!$L$126:$T$127,2,FALSE),TRUE))</f>
        <v>0</v>
      </c>
      <c r="W34" s="156">
        <f>IF('Entrada de Dados do Usuário'!$C$36=0,0,VLOOKUP('Entradas de Cálculos'!$D$45,'Entradas de Cálculos'!$I$128:$T$146,HLOOKUP('Entrada de Dados do Usuário'!$C$36,'Entradas de Cálculos'!$L$126:$T$127,2,FALSE),TRUE))</f>
        <v>0</v>
      </c>
    </row>
    <row r="35" spans="1:23" ht="14.25">
      <c r="A35" s="150"/>
      <c r="B35" s="157" t="s">
        <v>259</v>
      </c>
      <c r="C35" s="171">
        <f>'Entradas de Cálculos'!$D$47*'Entradas de Cálculos'!$D$49*'Entradas de Cálculos'!$D$48*'Modelo de CR'!C34*'Modelo de CR'!C32*'Modelo de CR'!C27*'Modelo de CR'!C31*'Modelo de CR'!C33*'Entradas de Cálculos'!$D$22*'Entradas de Cálculos'!$D$92</f>
        <v>0</v>
      </c>
      <c r="D35" s="171">
        <f>'Entradas de Cálculos'!$D$47*'Entradas de Cálculos'!$D$49*'Entradas de Cálculos'!$D$48*'Modelo de CR'!D34*'Modelo de CR'!D32*'Modelo de CR'!D27*'Modelo de CR'!D31*'Modelo de CR'!D33*'Entradas de Cálculos'!$D$22*'Entradas de Cálculos'!$D$92</f>
        <v>0</v>
      </c>
      <c r="E35" s="171">
        <f>'Entradas de Cálculos'!$D$47*'Entradas de Cálculos'!$D$49*'Entradas de Cálculos'!$D$48*'Modelo de CR'!E34*'Modelo de CR'!E32*'Modelo de CR'!E27*'Modelo de CR'!E31*'Modelo de CR'!E33*'Entradas de Cálculos'!$D$22*'Entradas de Cálculos'!$D$92</f>
        <v>0</v>
      </c>
      <c r="F35" s="171">
        <f>'Entradas de Cálculos'!$D$47*'Entradas de Cálculos'!$D$49*'Entradas de Cálculos'!$D$48*'Modelo de CR'!F34*'Modelo de CR'!F32*'Modelo de CR'!F27*'Modelo de CR'!F31*'Modelo de CR'!F33*'Entradas de Cálculos'!$D$22*'Entradas de Cálculos'!$D$92</f>
        <v>0</v>
      </c>
      <c r="G35" s="171">
        <f>'Entradas de Cálculos'!$D$47*'Entradas de Cálculos'!$D$49*'Entradas de Cálculos'!$D$48*'Modelo de CR'!G34*'Modelo de CR'!G32*'Modelo de CR'!G27*'Modelo de CR'!G31*'Modelo de CR'!G33*'Entradas de Cálculos'!$D$22*'Entradas de Cálculos'!$D$92</f>
        <v>0</v>
      </c>
      <c r="H35" s="171">
        <f>'Entradas de Cálculos'!$D$47*'Entradas de Cálculos'!$D$49*'Entradas de Cálculos'!$D$48*'Modelo de CR'!H34*'Modelo de CR'!H32*'Modelo de CR'!H27*'Modelo de CR'!H31*'Modelo de CR'!H33*'Entradas de Cálculos'!$D$22*'Entradas de Cálculos'!$D$92</f>
        <v>0</v>
      </c>
      <c r="I35" s="171">
        <f>'Entradas de Cálculos'!$D$47*'Entradas de Cálculos'!$D$49*'Entradas de Cálculos'!$D$48*'Modelo de CR'!I34*'Modelo de CR'!I32*'Modelo de CR'!I27*'Modelo de CR'!I31*'Modelo de CR'!I33*'Entradas de Cálculos'!$D$22*'Entradas de Cálculos'!$D$92</f>
        <v>0</v>
      </c>
      <c r="J35" s="171">
        <f>'Entradas de Cálculos'!$D$47*'Entradas de Cálculos'!$D$49*'Entradas de Cálculos'!$D$48*'Modelo de CR'!J34*'Modelo de CR'!J32*'Modelo de CR'!J27*'Modelo de CR'!J31*'Modelo de CR'!J33*'Entradas de Cálculos'!$D$22*'Entradas de Cálculos'!$D$92</f>
        <v>0</v>
      </c>
      <c r="K35" s="171">
        <f>'Entradas de Cálculos'!$D$47*'Entradas de Cálculos'!$D$49*'Entradas de Cálculos'!$D$48*'Modelo de CR'!K34*'Modelo de CR'!K32*'Modelo de CR'!K27*'Modelo de CR'!K31*'Modelo de CR'!K33*'Entradas de Cálculos'!$D$22*'Entradas de Cálculos'!$D$92</f>
        <v>0</v>
      </c>
      <c r="L35" s="171">
        <f>'Entradas de Cálculos'!$D$47*'Entradas de Cálculos'!$D$49*'Entradas de Cálculos'!$D$48*'Modelo de CR'!L34*'Modelo de CR'!L32*'Modelo de CR'!L27*'Modelo de CR'!L31*'Modelo de CR'!L33*'Entradas de Cálculos'!$D$22*'Entradas de Cálculos'!$D$92</f>
        <v>0</v>
      </c>
      <c r="M35" s="171">
        <f>'Entradas de Cálculos'!$D$47*'Entradas de Cálculos'!$D$49*'Entradas de Cálculos'!$D$48*'Modelo de CR'!M34*'Modelo de CR'!M32*'Modelo de CR'!M27*'Modelo de CR'!M31*'Modelo de CR'!M33*'Entradas de Cálculos'!$D$22*'Entradas de Cálculos'!$D$92</f>
        <v>0</v>
      </c>
      <c r="N35" s="171">
        <f>'Entradas de Cálculos'!$D$47*'Entradas de Cálculos'!$D$49*'Entradas de Cálculos'!$D$48*'Modelo de CR'!N34*'Modelo de CR'!N32*'Modelo de CR'!N27*'Modelo de CR'!N31*'Modelo de CR'!N33*'Entradas de Cálculos'!$D$22*'Entradas de Cálculos'!$D$92</f>
        <v>0</v>
      </c>
      <c r="O35" s="171">
        <f>'Entradas de Cálculos'!$D$47*'Entradas de Cálculos'!$D$49*'Entradas de Cálculos'!$D$48*'Modelo de CR'!O34*'Modelo de CR'!O32*'Modelo de CR'!O27*'Modelo de CR'!O31*'Modelo de CR'!O33*'Entradas de Cálculos'!$D$22*'Entradas de Cálculos'!$D$92</f>
        <v>0</v>
      </c>
      <c r="P35" s="171">
        <f>'Entradas de Cálculos'!$D$47*'Entradas de Cálculos'!$D$49*'Entradas de Cálculos'!$D$48*'Modelo de CR'!P34*'Modelo de CR'!P32*'Modelo de CR'!P27*'Modelo de CR'!P31*'Modelo de CR'!P33*'Entradas de Cálculos'!$D$22*'Entradas de Cálculos'!$D$92</f>
        <v>0</v>
      </c>
      <c r="Q35" s="171">
        <f>'Entradas de Cálculos'!$D$47*'Entradas de Cálculos'!$D$49*'Entradas de Cálculos'!$D$48*'Modelo de CR'!Q34*'Modelo de CR'!Q32*'Modelo de CR'!Q27*'Modelo de CR'!Q31*'Modelo de CR'!Q33*'Entradas de Cálculos'!$D$22*'Entradas de Cálculos'!$D$92</f>
        <v>0</v>
      </c>
      <c r="R35" s="171">
        <f>'Entradas de Cálculos'!$D$47*'Entradas de Cálculos'!$D$49*'Entradas de Cálculos'!$D$48*'Modelo de CR'!R34*'Modelo de CR'!R32*'Modelo de CR'!R27*'Modelo de CR'!R31*'Modelo de CR'!R33*'Entradas de Cálculos'!$D$22*'Entradas de Cálculos'!$D$92</f>
        <v>0</v>
      </c>
      <c r="S35" s="171">
        <f>'Entradas de Cálculos'!$D$47*'Entradas de Cálculos'!$D$49*'Entradas de Cálculos'!$D$48*'Modelo de CR'!S34*'Modelo de CR'!S32*'Modelo de CR'!S27*'Modelo de CR'!S31*'Modelo de CR'!S33*'Entradas de Cálculos'!$D$22*'Entradas de Cálculos'!$D$92</f>
        <v>0</v>
      </c>
      <c r="T35" s="171">
        <f>'Entradas de Cálculos'!$D$47*'Entradas de Cálculos'!$D$49*'Entradas de Cálculos'!$D$48*'Modelo de CR'!T34*'Modelo de CR'!T32*'Modelo de CR'!T27*'Modelo de CR'!T31*'Modelo de CR'!T33*'Entradas de Cálculos'!$D$22*'Entradas de Cálculos'!$D$92</f>
        <v>0</v>
      </c>
      <c r="U35" s="171">
        <f>'Entradas de Cálculos'!$D$47*'Entradas de Cálculos'!$D$49*'Entradas de Cálculos'!$D$48*'Modelo de CR'!U34*'Modelo de CR'!U32*'Modelo de CR'!U27*'Modelo de CR'!U31*'Modelo de CR'!U33*'Entradas de Cálculos'!$D$22*'Entradas de Cálculos'!$D$92</f>
        <v>0</v>
      </c>
      <c r="V35" s="171">
        <f>'Entradas de Cálculos'!$D$47*'Entradas de Cálculos'!$D$49*'Entradas de Cálculos'!$D$48*'Modelo de CR'!V34*'Modelo de CR'!V32*'Modelo de CR'!V27*'Modelo de CR'!V31*'Modelo de CR'!V33*'Entradas de Cálculos'!$D$22*'Entradas de Cálculos'!$D$92</f>
        <v>0</v>
      </c>
      <c r="W35" s="171">
        <f>'Entradas de Cálculos'!$D$47*'Entradas de Cálculos'!$D$49*'Entradas de Cálculos'!$D$48*'Modelo de CR'!W34*'Modelo de CR'!W32*'Modelo de CR'!W27*'Modelo de CR'!W31*'Modelo de CR'!W33*'Entradas de Cálculos'!$D$22*'Entradas de Cálculos'!$D$92</f>
        <v>0</v>
      </c>
    </row>
    <row r="36" spans="1:23" ht="15" thickBot="1">
      <c r="A36" s="150"/>
      <c r="B36" s="157" t="s">
        <v>260</v>
      </c>
      <c r="C36" s="171">
        <f>'Entradas de Cálculos'!$D$93*'Entradas de Cálculos'!$D$47*'Entradas de Cálculos'!$D$49*'Entradas de Cálculos'!$D$48*'Modelo de CR'!C32*'Modelo de CR'!C27*'Modelo de CR'!C31*'Modelo de CR'!C33*'Entradas de Cálculos'!$D$22*'Entradas de Cálculos'!$D$92</f>
        <v>0</v>
      </c>
      <c r="D36" s="171">
        <f>'Entradas de Cálculos'!$D$93*'Entradas de Cálculos'!$D$47*'Entradas de Cálculos'!$D$49*'Entradas de Cálculos'!$D$48*'Modelo de CR'!D32*'Modelo de CR'!D27*'Modelo de CR'!D31*'Modelo de CR'!D33*'Entradas de Cálculos'!$D$22*'Entradas de Cálculos'!$D$92</f>
        <v>0</v>
      </c>
      <c r="E36" s="171">
        <f>'Entradas de Cálculos'!$D$93*'Entradas de Cálculos'!$D$47*'Entradas de Cálculos'!$D$49*'Entradas de Cálculos'!$D$48*'Modelo de CR'!E32*'Modelo de CR'!E27*'Modelo de CR'!E31*'Modelo de CR'!E33*'Entradas de Cálculos'!$D$22*'Entradas de Cálculos'!$D$92</f>
        <v>0</v>
      </c>
      <c r="F36" s="171">
        <f>'Entradas de Cálculos'!$D$93*'Entradas de Cálculos'!$D$47*'Entradas de Cálculos'!$D$49*'Entradas de Cálculos'!$D$48*'Modelo de CR'!F32*'Modelo de CR'!F27*'Modelo de CR'!F31*'Modelo de CR'!F33*'Entradas de Cálculos'!$D$22*'Entradas de Cálculos'!$D$92</f>
        <v>0</v>
      </c>
      <c r="G36" s="171">
        <f>'Entradas de Cálculos'!$D$93*'Entradas de Cálculos'!$D$47*'Entradas de Cálculos'!$D$49*'Entradas de Cálculos'!$D$48*'Modelo de CR'!G32*'Modelo de CR'!G27*'Modelo de CR'!G31*'Modelo de CR'!G33*'Entradas de Cálculos'!$D$22*'Entradas de Cálculos'!$D$92</f>
        <v>0</v>
      </c>
      <c r="H36" s="171">
        <f>'Entradas de Cálculos'!$D$93*'Entradas de Cálculos'!$D$47*'Entradas de Cálculos'!$D$49*'Entradas de Cálculos'!$D$48*'Modelo de CR'!H32*'Modelo de CR'!H27*'Modelo de CR'!H31*'Modelo de CR'!H33*'Entradas de Cálculos'!$D$22*'Entradas de Cálculos'!$D$92</f>
        <v>0</v>
      </c>
      <c r="I36" s="171">
        <f>'Entradas de Cálculos'!$D$93*'Entradas de Cálculos'!$D$47*'Entradas de Cálculos'!$D$49*'Entradas de Cálculos'!$D$48*'Modelo de CR'!I32*'Modelo de CR'!I27*'Modelo de CR'!I31*'Modelo de CR'!I33*'Entradas de Cálculos'!$D$22*'Entradas de Cálculos'!$D$92</f>
        <v>0</v>
      </c>
      <c r="J36" s="171">
        <f>'Entradas de Cálculos'!$D$93*'Entradas de Cálculos'!$D$47*'Entradas de Cálculos'!$D$49*'Entradas de Cálculos'!$D$48*'Modelo de CR'!J32*'Modelo de CR'!J27*'Modelo de CR'!J31*'Modelo de CR'!J33*'Entradas de Cálculos'!$D$22*'Entradas de Cálculos'!$D$92</f>
        <v>0</v>
      </c>
      <c r="K36" s="171">
        <f>'Entradas de Cálculos'!$D$93*'Entradas de Cálculos'!$D$47*'Entradas de Cálculos'!$D$49*'Entradas de Cálculos'!$D$48*'Modelo de CR'!K32*'Modelo de CR'!K27*'Modelo de CR'!K31*'Modelo de CR'!K33*'Entradas de Cálculos'!$D$22*'Entradas de Cálculos'!$D$92</f>
        <v>0</v>
      </c>
      <c r="L36" s="171">
        <f>'Entradas de Cálculos'!$D$93*'Entradas de Cálculos'!$D$47*'Entradas de Cálculos'!$D$49*'Entradas de Cálculos'!$D$48*'Modelo de CR'!L32*'Modelo de CR'!L27*'Modelo de CR'!L31*'Modelo de CR'!L33*'Entradas de Cálculos'!$D$22*'Entradas de Cálculos'!$D$92</f>
        <v>0</v>
      </c>
      <c r="M36" s="171">
        <f>'Entradas de Cálculos'!$D$93*'Entradas de Cálculos'!$D$47*'Entradas de Cálculos'!$D$49*'Entradas de Cálculos'!$D$48*'Modelo de CR'!M32*'Modelo de CR'!M27*'Modelo de CR'!M31*'Modelo de CR'!M33*'Entradas de Cálculos'!$D$22*'Entradas de Cálculos'!$D$92</f>
        <v>0</v>
      </c>
      <c r="N36" s="171">
        <f>'Entradas de Cálculos'!$D$93*'Entradas de Cálculos'!$D$47*'Entradas de Cálculos'!$D$49*'Entradas de Cálculos'!$D$48*'Modelo de CR'!N32*'Modelo de CR'!N27*'Modelo de CR'!N31*'Modelo de CR'!N33*'Entradas de Cálculos'!$D$22*'Entradas de Cálculos'!$D$92</f>
        <v>0</v>
      </c>
      <c r="O36" s="171">
        <f>'Entradas de Cálculos'!$D$93*'Entradas de Cálculos'!$D$47*'Entradas de Cálculos'!$D$49*'Entradas de Cálculos'!$D$48*'Modelo de CR'!O32*'Modelo de CR'!O27*'Modelo de CR'!O31*'Modelo de CR'!O33*'Entradas de Cálculos'!$D$22*'Entradas de Cálculos'!$D$92</f>
        <v>0</v>
      </c>
      <c r="P36" s="171">
        <f>'Entradas de Cálculos'!$D$93*'Entradas de Cálculos'!$D$47*'Entradas de Cálculos'!$D$49*'Entradas de Cálculos'!$D$48*'Modelo de CR'!P32*'Modelo de CR'!P27*'Modelo de CR'!P31*'Modelo de CR'!P33*'Entradas de Cálculos'!$D$22*'Entradas de Cálculos'!$D$92</f>
        <v>0</v>
      </c>
      <c r="Q36" s="171">
        <f>'Entradas de Cálculos'!$D$93*'Entradas de Cálculos'!$D$47*'Entradas de Cálculos'!$D$49*'Entradas de Cálculos'!$D$48*'Modelo de CR'!Q32*'Modelo de CR'!Q27*'Modelo de CR'!Q31*'Modelo de CR'!Q33*'Entradas de Cálculos'!$D$22*'Entradas de Cálculos'!$D$92</f>
        <v>0</v>
      </c>
      <c r="R36" s="171">
        <f>'Entradas de Cálculos'!$D$93*'Entradas de Cálculos'!$D$47*'Entradas de Cálculos'!$D$49*'Entradas de Cálculos'!$D$48*'Modelo de CR'!R32*'Modelo de CR'!R27*'Modelo de CR'!R31*'Modelo de CR'!R33*'Entradas de Cálculos'!$D$22*'Entradas de Cálculos'!$D$92</f>
        <v>0</v>
      </c>
      <c r="S36" s="171">
        <f>'Entradas de Cálculos'!$D$93*'Entradas de Cálculos'!$D$47*'Entradas de Cálculos'!$D$49*'Entradas de Cálculos'!$D$48*'Modelo de CR'!S32*'Modelo de CR'!S27*'Modelo de CR'!S31*'Modelo de CR'!S33*'Entradas de Cálculos'!$D$22*'Entradas de Cálculos'!$D$92</f>
        <v>0</v>
      </c>
      <c r="T36" s="171">
        <f>'Entradas de Cálculos'!$D$93*'Entradas de Cálculos'!$D$47*'Entradas de Cálculos'!$D$49*'Entradas de Cálculos'!$D$48*'Modelo de CR'!T32*'Modelo de CR'!T27*'Modelo de CR'!T31*'Modelo de CR'!T33*'Entradas de Cálculos'!$D$22*'Entradas de Cálculos'!$D$92</f>
        <v>0</v>
      </c>
      <c r="U36" s="171">
        <f>'Entradas de Cálculos'!$D$93*'Entradas de Cálculos'!$D$47*'Entradas de Cálculos'!$D$49*'Entradas de Cálculos'!$D$48*'Modelo de CR'!U32*'Modelo de CR'!U27*'Modelo de CR'!U31*'Modelo de CR'!U33*'Entradas de Cálculos'!$D$22*'Entradas de Cálculos'!$D$92</f>
        <v>0</v>
      </c>
      <c r="V36" s="171">
        <f>'Entradas de Cálculos'!$D$93*'Entradas de Cálculos'!$D$47*'Entradas de Cálculos'!$D$49*'Entradas de Cálculos'!$D$48*'Modelo de CR'!V32*'Modelo de CR'!V27*'Modelo de CR'!V31*'Modelo de CR'!V33*'Entradas de Cálculos'!$D$22*'Entradas de Cálculos'!$D$92</f>
        <v>0</v>
      </c>
      <c r="W36" s="171">
        <f>'Entradas de Cálculos'!$D$93*'Entradas de Cálculos'!$D$47*'Entradas de Cálculos'!$D$49*'Entradas de Cálculos'!$D$48*'Modelo de CR'!W32*'Modelo de CR'!W27*'Modelo de CR'!W31*'Modelo de CR'!W33*'Entradas de Cálculos'!$D$22*'Entradas de Cálculos'!$D$92</f>
        <v>0</v>
      </c>
    </row>
    <row r="37" spans="1:23" ht="15" thickBot="1">
      <c r="A37" s="379" t="s">
        <v>197</v>
      </c>
      <c r="B37" s="380"/>
      <c r="C37" s="380"/>
      <c r="D37" s="380"/>
      <c r="E37" s="380"/>
      <c r="F37" s="380"/>
      <c r="G37" s="380"/>
      <c r="H37" s="380"/>
      <c r="I37" s="380"/>
      <c r="J37" s="380"/>
      <c r="K37" s="380"/>
      <c r="L37" s="380"/>
      <c r="M37" s="380"/>
      <c r="N37" s="380"/>
      <c r="O37" s="380"/>
      <c r="P37" s="380"/>
      <c r="Q37" s="380"/>
      <c r="R37" s="380"/>
      <c r="S37" s="380"/>
      <c r="T37" s="380"/>
      <c r="U37" s="380"/>
      <c r="V37" s="380"/>
      <c r="W37" s="381"/>
    </row>
    <row r="38" spans="1:23" ht="14.25">
      <c r="A38" s="146" t="s">
        <v>29</v>
      </c>
      <c r="B38" s="124"/>
      <c r="C38" s="158">
        <f>'Modelo de Tecnologia'!C21</f>
        <v>0</v>
      </c>
      <c r="D38" s="158">
        <f>'Modelo de Tecnologia'!D21</f>
        <v>0</v>
      </c>
      <c r="E38" s="158">
        <f>'Modelo de Tecnologia'!E21</f>
        <v>0</v>
      </c>
      <c r="F38" s="158">
        <f>'Modelo de Tecnologia'!F21</f>
        <v>0</v>
      </c>
      <c r="G38" s="158">
        <f>'Modelo de Tecnologia'!G21</f>
        <v>0</v>
      </c>
      <c r="H38" s="158">
        <f>'Modelo de Tecnologia'!H21</f>
        <v>0</v>
      </c>
      <c r="I38" s="158">
        <f>'Modelo de Tecnologia'!I21</f>
        <v>0</v>
      </c>
      <c r="J38" s="158">
        <f>'Modelo de Tecnologia'!J21</f>
        <v>0</v>
      </c>
      <c r="K38" s="158">
        <f>'Modelo de Tecnologia'!K21</f>
        <v>0</v>
      </c>
      <c r="L38" s="158">
        <f>'Modelo de Tecnologia'!L21</f>
        <v>0</v>
      </c>
      <c r="M38" s="158">
        <f>'Modelo de Tecnologia'!M21</f>
        <v>0</v>
      </c>
      <c r="N38" s="158">
        <f>'Modelo de Tecnologia'!N21</f>
        <v>0</v>
      </c>
      <c r="O38" s="158">
        <f>'Modelo de Tecnologia'!O21</f>
        <v>0</v>
      </c>
      <c r="P38" s="158">
        <f>'Modelo de Tecnologia'!P21</f>
        <v>0</v>
      </c>
      <c r="Q38" s="158">
        <f>'Modelo de Tecnologia'!Q21</f>
        <v>0</v>
      </c>
      <c r="R38" s="158">
        <f>'Modelo de Tecnologia'!R21</f>
        <v>0</v>
      </c>
      <c r="S38" s="158">
        <f>'Modelo de Tecnologia'!S21</f>
        <v>0</v>
      </c>
      <c r="T38" s="158">
        <f>'Modelo de Tecnologia'!T21</f>
        <v>0</v>
      </c>
      <c r="U38" s="158">
        <f>'Modelo de Tecnologia'!U21</f>
        <v>0</v>
      </c>
      <c r="V38" s="158">
        <f>'Modelo de Tecnologia'!V21</f>
        <v>0</v>
      </c>
      <c r="W38" s="158">
        <f>'Modelo de Tecnologia'!W21</f>
        <v>0</v>
      </c>
    </row>
    <row r="39" spans="1:23" ht="14.25">
      <c r="A39" s="331" t="s">
        <v>262</v>
      </c>
      <c r="B39" s="148"/>
      <c r="C39" s="153">
        <f>IF('Entrada de Dados do Usuário'!$C$24=0,0,VLOOKUP('Entrada de Dados do Usuário'!$C$24,'Entradas de Cálculos'!$H$186:$I$194,2,FALSE))</f>
        <v>0</v>
      </c>
      <c r="D39" s="153">
        <f>IF('Entrada de Dados do Usuário'!$C$24=0,0,VLOOKUP('Entrada de Dados do Usuário'!$C$24,'Entradas de Cálculos'!$H$186:$I$194,2,FALSE))</f>
        <v>0</v>
      </c>
      <c r="E39" s="153">
        <f>IF('Entrada de Dados do Usuário'!$C$24=0,0,VLOOKUP('Entrada de Dados do Usuário'!$C$24,'Entradas de Cálculos'!$H$186:$I$194,2,FALSE))</f>
        <v>0</v>
      </c>
      <c r="F39" s="153">
        <f>IF('Entrada de Dados do Usuário'!$C$24=0,0,VLOOKUP('Entrada de Dados do Usuário'!$C$24,'Entradas de Cálculos'!$H$186:$I$194,2,FALSE))</f>
        <v>0</v>
      </c>
      <c r="G39" s="153">
        <f>IF('Entrada de Dados do Usuário'!$C$24=0,0,VLOOKUP('Entrada de Dados do Usuário'!$C$24,'Entradas de Cálculos'!$H$186:$I$194,2,FALSE))</f>
        <v>0</v>
      </c>
      <c r="H39" s="153">
        <f>IF('Entrada de Dados do Usuário'!$C$24=0,0,VLOOKUP('Entrada de Dados do Usuário'!$C$24,'Entradas de Cálculos'!$H$186:$I$194,2,FALSE))</f>
        <v>0</v>
      </c>
      <c r="I39" s="153">
        <f>IF('Entrada de Dados do Usuário'!$C$24=0,0,VLOOKUP('Entrada de Dados do Usuário'!$C$24,'Entradas de Cálculos'!$H$186:$I$194,2,FALSE))</f>
        <v>0</v>
      </c>
      <c r="J39" s="153">
        <f>IF('Entrada de Dados do Usuário'!$C$24=0,0,VLOOKUP('Entrada de Dados do Usuário'!$C$24,'Entradas de Cálculos'!$H$186:$I$194,2,FALSE))</f>
        <v>0</v>
      </c>
      <c r="K39" s="153">
        <f>IF('Entrada de Dados do Usuário'!$C$24=0,0,VLOOKUP('Entrada de Dados do Usuário'!$C$24,'Entradas de Cálculos'!$H$186:$I$194,2,FALSE))</f>
        <v>0</v>
      </c>
      <c r="L39" s="153">
        <f>IF('Entrada de Dados do Usuário'!$C$24=0,0,VLOOKUP('Entrada de Dados do Usuário'!$C$24,'Entradas de Cálculos'!$H$186:$I$194,2,FALSE))</f>
        <v>0</v>
      </c>
      <c r="M39" s="153">
        <f>IF('Entrada de Dados do Usuário'!$C$24=0,0,VLOOKUP('Entrada de Dados do Usuário'!$C$24,'Entradas de Cálculos'!$H$186:$I$194,2,FALSE))</f>
        <v>0</v>
      </c>
      <c r="N39" s="153">
        <f>IF('Entrada de Dados do Usuário'!$C$24=0,0,VLOOKUP('Entrada de Dados do Usuário'!$C$24,'Entradas de Cálculos'!$H$186:$I$194,2,FALSE))</f>
        <v>0</v>
      </c>
      <c r="O39" s="153">
        <f>IF('Entrada de Dados do Usuário'!$C$24=0,0,VLOOKUP('Entrada de Dados do Usuário'!$C$24,'Entradas de Cálculos'!$H$186:$I$194,2,FALSE))</f>
        <v>0</v>
      </c>
      <c r="P39" s="153">
        <f>IF('Entrada de Dados do Usuário'!$C$24=0,0,VLOOKUP('Entrada de Dados do Usuário'!$C$24,'Entradas de Cálculos'!$H$186:$I$194,2,FALSE))</f>
        <v>0</v>
      </c>
      <c r="Q39" s="153">
        <f>IF('Entrada de Dados do Usuário'!$C$24=0,0,VLOOKUP('Entrada de Dados do Usuário'!$C$24,'Entradas de Cálculos'!$H$186:$I$194,2,FALSE))</f>
        <v>0</v>
      </c>
      <c r="R39" s="153">
        <f>IF('Entrada de Dados do Usuário'!$C$24=0,0,VLOOKUP('Entrada de Dados do Usuário'!$C$24,'Entradas de Cálculos'!$H$186:$I$194,2,FALSE))</f>
        <v>0</v>
      </c>
      <c r="S39" s="153">
        <f>IF('Entrada de Dados do Usuário'!$C$24=0,0,VLOOKUP('Entrada de Dados do Usuário'!$C$24,'Entradas de Cálculos'!$H$186:$I$194,2,FALSE))</f>
        <v>0</v>
      </c>
      <c r="T39" s="153">
        <f>IF('Entrada de Dados do Usuário'!$C$24=0,0,VLOOKUP('Entrada de Dados do Usuário'!$C$24,'Entradas de Cálculos'!$H$186:$I$194,2,FALSE))</f>
        <v>0</v>
      </c>
      <c r="U39" s="153">
        <f>IF('Entrada de Dados do Usuário'!$C$24=0,0,VLOOKUP('Entrada de Dados do Usuário'!$C$24,'Entradas de Cálculos'!$H$186:$I$194,2,FALSE))</f>
        <v>0</v>
      </c>
      <c r="V39" s="153">
        <f>IF('Entrada de Dados do Usuário'!$C$24=0,0,VLOOKUP('Entrada de Dados do Usuário'!$C$24,'Entradas de Cálculos'!$H$186:$I$194,2,FALSE))</f>
        <v>0</v>
      </c>
      <c r="W39" s="153">
        <f>IF('Entrada de Dados do Usuário'!$C$24=0,0,VLOOKUP('Entrada de Dados do Usuário'!$C$24,'Entradas de Cálculos'!$H$186:$I$194,2,FALSE))</f>
        <v>0</v>
      </c>
    </row>
    <row r="40" spans="1:23" ht="14.25">
      <c r="A40" s="331" t="s">
        <v>263</v>
      </c>
      <c r="B40" s="149"/>
      <c r="C40" s="153">
        <f>'Entrada de Dados do Usuário'!$C$30</f>
        <v>0</v>
      </c>
      <c r="D40" s="153">
        <f>'Entrada de Dados do Usuário'!$C$30</f>
        <v>0</v>
      </c>
      <c r="E40" s="153">
        <f>'Entrada de Dados do Usuário'!$C$30</f>
        <v>0</v>
      </c>
      <c r="F40" s="153">
        <f>'Entrada de Dados do Usuário'!$C$30</f>
        <v>0</v>
      </c>
      <c r="G40" s="153">
        <f>'Entrada de Dados do Usuário'!$C$30</f>
        <v>0</v>
      </c>
      <c r="H40" s="153">
        <f>'Entrada de Dados do Usuário'!$C$30</f>
        <v>0</v>
      </c>
      <c r="I40" s="153">
        <f>'Entrada de Dados do Usuário'!$C$30</f>
        <v>0</v>
      </c>
      <c r="J40" s="153">
        <f>'Entrada de Dados do Usuário'!$C$30</f>
        <v>0</v>
      </c>
      <c r="K40" s="153">
        <f>'Entrada de Dados do Usuário'!$C$30</f>
        <v>0</v>
      </c>
      <c r="L40" s="153">
        <f>'Entrada de Dados do Usuário'!$C$30</f>
        <v>0</v>
      </c>
      <c r="M40" s="153">
        <f>'Entrada de Dados do Usuário'!$C$30</f>
        <v>0</v>
      </c>
      <c r="N40" s="153">
        <f>'Entrada de Dados do Usuário'!$C$30</f>
        <v>0</v>
      </c>
      <c r="O40" s="153">
        <f>'Entrada de Dados do Usuário'!$C$30</f>
        <v>0</v>
      </c>
      <c r="P40" s="153">
        <f>'Entrada de Dados do Usuário'!$C$30</f>
        <v>0</v>
      </c>
      <c r="Q40" s="153">
        <f>'Entrada de Dados do Usuário'!$C$30</f>
        <v>0</v>
      </c>
      <c r="R40" s="153">
        <f>'Entrada de Dados do Usuário'!$C$30</f>
        <v>0</v>
      </c>
      <c r="S40" s="153">
        <f>'Entrada de Dados do Usuário'!$C$30</f>
        <v>0</v>
      </c>
      <c r="T40" s="153">
        <f>'Entrada de Dados do Usuário'!$C$30</f>
        <v>0</v>
      </c>
      <c r="U40" s="153">
        <f>'Entrada de Dados do Usuário'!$C$30</f>
        <v>0</v>
      </c>
      <c r="V40" s="153">
        <f>'Entrada de Dados do Usuário'!$C$30</f>
        <v>0</v>
      </c>
      <c r="W40" s="153">
        <f>'Entrada de Dados do Usuário'!$C$30</f>
        <v>0</v>
      </c>
    </row>
    <row r="41" spans="1:23" ht="14.25">
      <c r="A41" s="331" t="s">
        <v>264</v>
      </c>
      <c r="B41" s="148"/>
      <c r="C41" s="153">
        <f>IF('Entrada de Dados do Usuário'!$C$24=0,0,VLOOKUP('Entrada de Dados do Usuário'!$C$24,'Entradas de Cálculos'!$H$186:$K$194,4,FALSE))*'Entradas de Cálculos'!$D$16</f>
        <v>0</v>
      </c>
      <c r="D41" s="153">
        <f>IF('Entrada de Dados do Usuário'!$C$24=0,0,VLOOKUP('Entrada de Dados do Usuário'!$C$24,'Entradas de Cálculos'!$H$186:$K$194,4,FALSE))*'Entradas de Cálculos'!$D$16</f>
        <v>0</v>
      </c>
      <c r="E41" s="153">
        <f>IF('Entrada de Dados do Usuário'!$C$24=0,0,VLOOKUP('Entrada de Dados do Usuário'!$C$24,'Entradas de Cálculos'!$H$186:$K$194,4,FALSE))*'Entradas de Cálculos'!$D$16</f>
        <v>0</v>
      </c>
      <c r="F41" s="153">
        <f>IF('Entrada de Dados do Usuário'!$C$24=0,0,VLOOKUP('Entrada de Dados do Usuário'!$C$24,'Entradas de Cálculos'!$H$186:$K$194,4,FALSE))*'Entradas de Cálculos'!$D$16</f>
        <v>0</v>
      </c>
      <c r="G41" s="153">
        <f>IF('Entrada de Dados do Usuário'!$C$24=0,0,VLOOKUP('Entrada de Dados do Usuário'!$C$24,'Entradas de Cálculos'!$H$186:$K$194,4,FALSE))*'Entradas de Cálculos'!$D$16</f>
        <v>0</v>
      </c>
      <c r="H41" s="153">
        <f>IF('Entrada de Dados do Usuário'!$C$24=0,0,VLOOKUP('Entrada de Dados do Usuário'!$C$24,'Entradas de Cálculos'!$H$186:$K$194,4,FALSE))*'Entradas de Cálculos'!$D$16</f>
        <v>0</v>
      </c>
      <c r="I41" s="153">
        <f>IF('Entrada de Dados do Usuário'!$C$24=0,0,VLOOKUP('Entrada de Dados do Usuário'!$C$24,'Entradas de Cálculos'!$H$186:$K$194,4,FALSE))*'Entradas de Cálculos'!$D$16</f>
        <v>0</v>
      </c>
      <c r="J41" s="153">
        <f>IF('Entrada de Dados do Usuário'!$C$24=0,0,VLOOKUP('Entrada de Dados do Usuário'!$C$24,'Entradas de Cálculos'!$H$186:$K$194,4,FALSE))*'Entradas de Cálculos'!$D$16</f>
        <v>0</v>
      </c>
      <c r="K41" s="153">
        <f>IF('Entrada de Dados do Usuário'!$C$24=0,0,VLOOKUP('Entrada de Dados do Usuário'!$C$24,'Entradas de Cálculos'!$H$186:$K$194,4,FALSE))*'Entradas de Cálculos'!$D$16</f>
        <v>0</v>
      </c>
      <c r="L41" s="153">
        <f>IF('Entrada de Dados do Usuário'!$C$24=0,0,VLOOKUP('Entrada de Dados do Usuário'!$C$24,'Entradas de Cálculos'!$H$186:$K$194,4,FALSE))*'Entradas de Cálculos'!$D$16</f>
        <v>0</v>
      </c>
      <c r="M41" s="153">
        <f>IF('Entrada de Dados do Usuário'!$C$24=0,0,VLOOKUP('Entrada de Dados do Usuário'!$C$24,'Entradas de Cálculos'!$H$186:$K$194,4,FALSE))*'Entradas de Cálculos'!$D$16</f>
        <v>0</v>
      </c>
      <c r="N41" s="153">
        <f>IF('Entrada de Dados do Usuário'!$C$24=0,0,VLOOKUP('Entrada de Dados do Usuário'!$C$24,'Entradas de Cálculos'!$H$186:$K$194,4,FALSE))*'Entradas de Cálculos'!$D$16</f>
        <v>0</v>
      </c>
      <c r="O41" s="153">
        <f>IF('Entrada de Dados do Usuário'!$C$24=0,0,VLOOKUP('Entrada de Dados do Usuário'!$C$24,'Entradas de Cálculos'!$H$186:$K$194,4,FALSE))*'Entradas de Cálculos'!$D$16</f>
        <v>0</v>
      </c>
      <c r="P41" s="153">
        <f>IF('Entrada de Dados do Usuário'!$C$24=0,0,VLOOKUP('Entrada de Dados do Usuário'!$C$24,'Entradas de Cálculos'!$H$186:$K$194,4,FALSE))*'Entradas de Cálculos'!$D$16</f>
        <v>0</v>
      </c>
      <c r="Q41" s="153">
        <f>IF('Entrada de Dados do Usuário'!$C$24=0,0,VLOOKUP('Entrada de Dados do Usuário'!$C$24,'Entradas de Cálculos'!$H$186:$K$194,4,FALSE))*'Entradas de Cálculos'!$D$16</f>
        <v>0</v>
      </c>
      <c r="R41" s="153">
        <f>IF('Entrada de Dados do Usuário'!$C$24=0,0,VLOOKUP('Entrada de Dados do Usuário'!$C$24,'Entradas de Cálculos'!$H$186:$K$194,4,FALSE))*'Entradas de Cálculos'!$D$16</f>
        <v>0</v>
      </c>
      <c r="S41" s="153">
        <f>IF('Entrada de Dados do Usuário'!$C$24=0,0,VLOOKUP('Entrada de Dados do Usuário'!$C$24,'Entradas de Cálculos'!$H$186:$K$194,4,FALSE))*'Entradas de Cálculos'!$D$16</f>
        <v>0</v>
      </c>
      <c r="T41" s="153">
        <f>IF('Entrada de Dados do Usuário'!$C$24=0,0,VLOOKUP('Entrada de Dados do Usuário'!$C$24,'Entradas de Cálculos'!$H$186:$K$194,4,FALSE))*'Entradas de Cálculos'!$D$16</f>
        <v>0</v>
      </c>
      <c r="U41" s="153">
        <f>IF('Entrada de Dados do Usuário'!$C$24=0,0,VLOOKUP('Entrada de Dados do Usuário'!$C$24,'Entradas de Cálculos'!$H$186:$K$194,4,FALSE))*'Entradas de Cálculos'!$D$16</f>
        <v>0</v>
      </c>
      <c r="V41" s="153">
        <f>IF('Entrada de Dados do Usuário'!$C$24=0,0,VLOOKUP('Entrada de Dados do Usuário'!$C$24,'Entradas de Cálculos'!$H$186:$K$194,4,FALSE))*'Entradas de Cálculos'!$D$16</f>
        <v>0</v>
      </c>
      <c r="W41" s="153">
        <f>IF('Entrada de Dados do Usuário'!$C$24=0,0,VLOOKUP('Entrada de Dados do Usuário'!$C$24,'Entradas de Cálculos'!$H$186:$K$194,4,FALSE))*'Entradas de Cálculos'!$D$16</f>
        <v>0</v>
      </c>
    </row>
    <row r="42" spans="1:23" ht="14.25">
      <c r="A42" s="331" t="s">
        <v>265</v>
      </c>
      <c r="B42" s="148"/>
      <c r="C42" s="153">
        <f>IF(C41*C40=0,0,C41*C40/C39)</f>
        <v>0</v>
      </c>
      <c r="D42" s="153">
        <f aca="true" t="shared" si="3" ref="D42:W42">IF(D41*D40=0,0,D41*D40/D39)</f>
        <v>0</v>
      </c>
      <c r="E42" s="153">
        <f t="shared" si="3"/>
        <v>0</v>
      </c>
      <c r="F42" s="153">
        <f t="shared" si="3"/>
        <v>0</v>
      </c>
      <c r="G42" s="153">
        <f t="shared" si="3"/>
        <v>0</v>
      </c>
      <c r="H42" s="153">
        <f t="shared" si="3"/>
        <v>0</v>
      </c>
      <c r="I42" s="153">
        <f t="shared" si="3"/>
        <v>0</v>
      </c>
      <c r="J42" s="153">
        <f t="shared" si="3"/>
        <v>0</v>
      </c>
      <c r="K42" s="153">
        <f t="shared" si="3"/>
        <v>0</v>
      </c>
      <c r="L42" s="153">
        <f t="shared" si="3"/>
        <v>0</v>
      </c>
      <c r="M42" s="153">
        <f t="shared" si="3"/>
        <v>0</v>
      </c>
      <c r="N42" s="153">
        <f t="shared" si="3"/>
        <v>0</v>
      </c>
      <c r="O42" s="153">
        <f t="shared" si="3"/>
        <v>0</v>
      </c>
      <c r="P42" s="153">
        <f t="shared" si="3"/>
        <v>0</v>
      </c>
      <c r="Q42" s="153">
        <f t="shared" si="3"/>
        <v>0</v>
      </c>
      <c r="R42" s="153">
        <f t="shared" si="3"/>
        <v>0</v>
      </c>
      <c r="S42" s="153">
        <f t="shared" si="3"/>
        <v>0</v>
      </c>
      <c r="T42" s="153">
        <f t="shared" si="3"/>
        <v>0</v>
      </c>
      <c r="U42" s="153">
        <f t="shared" si="3"/>
        <v>0</v>
      </c>
      <c r="V42" s="153">
        <f t="shared" si="3"/>
        <v>0</v>
      </c>
      <c r="W42" s="153">
        <f t="shared" si="3"/>
        <v>0</v>
      </c>
    </row>
    <row r="43" spans="1:23" ht="14.25">
      <c r="A43" s="147" t="s">
        <v>19</v>
      </c>
      <c r="B43" s="148"/>
      <c r="C43" s="153">
        <f>IF('Entrada de Dados do Usuário'!$C$24=0,0,VLOOKUP('Entrada de Dados do Usuário'!$C$24,'Entradas de Cálculos'!$H$186:$K$194,3,FALSE))</f>
        <v>0</v>
      </c>
      <c r="D43" s="153">
        <f>IF('Entrada de Dados do Usuário'!$C$24=0,0,VLOOKUP('Entrada de Dados do Usuário'!$C$24,'Entradas de Cálculos'!$H$186:$K$194,3,FALSE))</f>
        <v>0</v>
      </c>
      <c r="E43" s="153">
        <f>IF('Entrada de Dados do Usuário'!$C$24=0,0,VLOOKUP('Entrada de Dados do Usuário'!$C$24,'Entradas de Cálculos'!$H$186:$K$194,3,FALSE))</f>
        <v>0</v>
      </c>
      <c r="F43" s="153">
        <f>IF('Entrada de Dados do Usuário'!$C$24=0,0,VLOOKUP('Entrada de Dados do Usuário'!$C$24,'Entradas de Cálculos'!$H$186:$K$194,3,FALSE))</f>
        <v>0</v>
      </c>
      <c r="G43" s="153">
        <f>IF('Entrada de Dados do Usuário'!$C$24=0,0,VLOOKUP('Entrada de Dados do Usuário'!$C$24,'Entradas de Cálculos'!$H$186:$K$194,3,FALSE))</f>
        <v>0</v>
      </c>
      <c r="H43" s="153">
        <f>IF('Entrada de Dados do Usuário'!$C$24=0,0,VLOOKUP('Entrada de Dados do Usuário'!$C$24,'Entradas de Cálculos'!$H$186:$K$194,3,FALSE))</f>
        <v>0</v>
      </c>
      <c r="I43" s="153">
        <f>IF('Entrada de Dados do Usuário'!$C$24=0,0,VLOOKUP('Entrada de Dados do Usuário'!$C$24,'Entradas de Cálculos'!$H$186:$K$194,3,FALSE))</f>
        <v>0</v>
      </c>
      <c r="J43" s="153">
        <f>IF('Entrada de Dados do Usuário'!$C$24=0,0,VLOOKUP('Entrada de Dados do Usuário'!$C$24,'Entradas de Cálculos'!$H$186:$K$194,3,FALSE))</f>
        <v>0</v>
      </c>
      <c r="K43" s="153">
        <f>IF('Entrada de Dados do Usuário'!$C$24=0,0,VLOOKUP('Entrada de Dados do Usuário'!$C$24,'Entradas de Cálculos'!$H$186:$K$194,3,FALSE))</f>
        <v>0</v>
      </c>
      <c r="L43" s="153">
        <f>IF('Entrada de Dados do Usuário'!$C$24=0,0,VLOOKUP('Entrada de Dados do Usuário'!$C$24,'Entradas de Cálculos'!$H$186:$K$194,3,FALSE))</f>
        <v>0</v>
      </c>
      <c r="M43" s="153">
        <f>IF('Entrada de Dados do Usuário'!$C$24=0,0,VLOOKUP('Entrada de Dados do Usuário'!$C$24,'Entradas de Cálculos'!$H$186:$K$194,3,FALSE))</f>
        <v>0</v>
      </c>
      <c r="N43" s="153">
        <f>IF('Entrada de Dados do Usuário'!$C$24=0,0,VLOOKUP('Entrada de Dados do Usuário'!$C$24,'Entradas de Cálculos'!$H$186:$K$194,3,FALSE))</f>
        <v>0</v>
      </c>
      <c r="O43" s="153">
        <f>IF('Entrada de Dados do Usuário'!$C$24=0,0,VLOOKUP('Entrada de Dados do Usuário'!$C$24,'Entradas de Cálculos'!$H$186:$K$194,3,FALSE))</f>
        <v>0</v>
      </c>
      <c r="P43" s="153">
        <f>IF('Entrada de Dados do Usuário'!$C$24=0,0,VLOOKUP('Entrada de Dados do Usuário'!$C$24,'Entradas de Cálculos'!$H$186:$K$194,3,FALSE))</f>
        <v>0</v>
      </c>
      <c r="Q43" s="153">
        <f>IF('Entrada de Dados do Usuário'!$C$24=0,0,VLOOKUP('Entrada de Dados do Usuário'!$C$24,'Entradas de Cálculos'!$H$186:$K$194,3,FALSE))</f>
        <v>0</v>
      </c>
      <c r="R43" s="153">
        <f>IF('Entrada de Dados do Usuário'!$C$24=0,0,VLOOKUP('Entrada de Dados do Usuário'!$C$24,'Entradas de Cálculos'!$H$186:$K$194,3,FALSE))</f>
        <v>0</v>
      </c>
      <c r="S43" s="153">
        <f>IF('Entrada de Dados do Usuário'!$C$24=0,0,VLOOKUP('Entrada de Dados do Usuário'!$C$24,'Entradas de Cálculos'!$H$186:$K$194,3,FALSE))</f>
        <v>0</v>
      </c>
      <c r="T43" s="153">
        <f>IF('Entrada de Dados do Usuário'!$C$24=0,0,VLOOKUP('Entrada de Dados do Usuário'!$C$24,'Entradas de Cálculos'!$H$186:$K$194,3,FALSE))</f>
        <v>0</v>
      </c>
      <c r="U43" s="153">
        <f>IF('Entrada de Dados do Usuário'!$C$24=0,0,VLOOKUP('Entrada de Dados do Usuário'!$C$24,'Entradas de Cálculos'!$H$186:$K$194,3,FALSE))</f>
        <v>0</v>
      </c>
      <c r="V43" s="153">
        <f>IF('Entrada de Dados do Usuário'!$C$24=0,0,VLOOKUP('Entrada de Dados do Usuário'!$C$24,'Entradas de Cálculos'!$H$186:$K$194,3,FALSE))</f>
        <v>0</v>
      </c>
      <c r="W43" s="153">
        <f>IF('Entrada de Dados do Usuário'!$C$24=0,0,VLOOKUP('Entrada de Dados do Usuário'!$C$24,'Entradas de Cálculos'!$H$186:$K$194,3,FALSE))</f>
        <v>0</v>
      </c>
    </row>
    <row r="44" spans="1:23" ht="14.25">
      <c r="A44" s="147" t="s">
        <v>20</v>
      </c>
      <c r="B44" s="148"/>
      <c r="C44" s="156">
        <f>'Entrada de Dados do Usuário'!$C$43</f>
        <v>0</v>
      </c>
      <c r="D44" s="156">
        <f>'Entrada de Dados do Usuário'!$C$43</f>
        <v>0</v>
      </c>
      <c r="E44" s="156">
        <f>'Entrada de Dados do Usuário'!$C$43</f>
        <v>0</v>
      </c>
      <c r="F44" s="156">
        <f>'Entrada de Dados do Usuário'!$C$43</f>
        <v>0</v>
      </c>
      <c r="G44" s="156">
        <f>'Entrada de Dados do Usuário'!$C$43</f>
        <v>0</v>
      </c>
      <c r="H44" s="156">
        <f>'Entrada de Dados do Usuário'!$C$43</f>
        <v>0</v>
      </c>
      <c r="I44" s="156">
        <f>'Entrada de Dados do Usuário'!$C$43</f>
        <v>0</v>
      </c>
      <c r="J44" s="156">
        <f>'Entrada de Dados do Usuário'!$C$43</f>
        <v>0</v>
      </c>
      <c r="K44" s="156">
        <f>'Entrada de Dados do Usuário'!$C$43</f>
        <v>0</v>
      </c>
      <c r="L44" s="156">
        <f>'Entrada de Dados do Usuário'!$C$43</f>
        <v>0</v>
      </c>
      <c r="M44" s="156">
        <f>'Entrada de Dados do Usuário'!$C$43</f>
        <v>0</v>
      </c>
      <c r="N44" s="156">
        <f>'Entrada de Dados do Usuário'!$C$43</f>
        <v>0</v>
      </c>
      <c r="O44" s="156">
        <f>'Entrada de Dados do Usuário'!$C$43</f>
        <v>0</v>
      </c>
      <c r="P44" s="156">
        <f>'Entrada de Dados do Usuário'!$C$43</f>
        <v>0</v>
      </c>
      <c r="Q44" s="156">
        <f>'Entrada de Dados do Usuário'!$C$43</f>
        <v>0</v>
      </c>
      <c r="R44" s="156">
        <f>'Entrada de Dados do Usuário'!$C$43</f>
        <v>0</v>
      </c>
      <c r="S44" s="156">
        <f>'Entrada de Dados do Usuário'!$C$43</f>
        <v>0</v>
      </c>
      <c r="T44" s="156">
        <f>'Entrada de Dados do Usuário'!$C$43</f>
        <v>0</v>
      </c>
      <c r="U44" s="156">
        <f>'Entrada de Dados do Usuário'!$C$43</f>
        <v>0</v>
      </c>
      <c r="V44" s="156">
        <f>'Entrada de Dados do Usuário'!$C$43</f>
        <v>0</v>
      </c>
      <c r="W44" s="156">
        <f>'Entrada de Dados do Usuário'!$C$43</f>
        <v>0</v>
      </c>
    </row>
    <row r="45" spans="1:23" ht="15">
      <c r="A45" s="147" t="s">
        <v>28</v>
      </c>
      <c r="B45" s="148"/>
      <c r="C45" s="156">
        <f>IF('Entrada de Dados do Usuário'!$C$36=0,0,VLOOKUP('Entradas de Cálculos'!$D$45,'Entradas de Cálculos'!$I$164:$T$182,HLOOKUP('Entrada de Dados do Usuário'!$C$36,'Entradas de Cálculos'!$L$162:$T$163,2,FALSE),TRUE))</f>
        <v>0</v>
      </c>
      <c r="D45" s="156">
        <f>IF('Entrada de Dados do Usuário'!$C$36=0,0,VLOOKUP('Entradas de Cálculos'!$D$45,'Entradas de Cálculos'!$I$164:$T$182,HLOOKUP('Entrada de Dados do Usuário'!$C$36,'Entradas de Cálculos'!$L$162:$T$163,2,FALSE),TRUE))</f>
        <v>0</v>
      </c>
      <c r="E45" s="156">
        <f>IF('Entrada de Dados do Usuário'!$C$36=0,0,VLOOKUP('Entradas de Cálculos'!$D$45,'Entradas de Cálculos'!$I$164:$T$182,HLOOKUP('Entrada de Dados do Usuário'!$C$36,'Entradas de Cálculos'!$L$162:$T$163,2,FALSE),TRUE))</f>
        <v>0</v>
      </c>
      <c r="F45" s="156">
        <f>IF('Entrada de Dados do Usuário'!$C$36=0,0,VLOOKUP('Entradas de Cálculos'!$D$45,'Entradas de Cálculos'!$I$164:$T$182,HLOOKUP('Entrada de Dados do Usuário'!$C$36,'Entradas de Cálculos'!$L$162:$T$163,2,FALSE),TRUE))</f>
        <v>0</v>
      </c>
      <c r="G45" s="156">
        <f>IF('Entrada de Dados do Usuário'!$C$36=0,0,VLOOKUP('Entradas de Cálculos'!$D$45,'Entradas de Cálculos'!$I$164:$T$182,HLOOKUP('Entrada de Dados do Usuário'!$C$36,'Entradas de Cálculos'!$L$162:$T$163,2,FALSE),TRUE))</f>
        <v>0</v>
      </c>
      <c r="H45" s="156">
        <f>IF('Entrada de Dados do Usuário'!$C$36=0,0,VLOOKUP('Entradas de Cálculos'!$D$45,'Entradas de Cálculos'!$I$164:$T$182,HLOOKUP('Entrada de Dados do Usuário'!$C$36,'Entradas de Cálculos'!$L$162:$T$163,2,FALSE),TRUE))</f>
        <v>0</v>
      </c>
      <c r="I45" s="156">
        <f>IF('Entrada de Dados do Usuário'!$C$36=0,0,VLOOKUP('Entradas de Cálculos'!$D$45,'Entradas de Cálculos'!$I$164:$T$182,HLOOKUP('Entrada de Dados do Usuário'!$C$36,'Entradas de Cálculos'!$L$162:$T$163,2,FALSE),TRUE))</f>
        <v>0</v>
      </c>
      <c r="J45" s="156">
        <f>IF('Entrada de Dados do Usuário'!$C$36=0,0,VLOOKUP('Entradas de Cálculos'!$D$45,'Entradas de Cálculos'!$I$164:$T$182,HLOOKUP('Entrada de Dados do Usuário'!$C$36,'Entradas de Cálculos'!$L$162:$T$163,2,FALSE),TRUE))</f>
        <v>0</v>
      </c>
      <c r="K45" s="156">
        <f>IF('Entrada de Dados do Usuário'!$C$36=0,0,VLOOKUP('Entradas de Cálculos'!$D$45,'Entradas de Cálculos'!$I$164:$T$182,HLOOKUP('Entrada de Dados do Usuário'!$C$36,'Entradas de Cálculos'!$L$162:$T$163,2,FALSE),TRUE))</f>
        <v>0</v>
      </c>
      <c r="L45" s="156">
        <f>IF('Entrada de Dados do Usuário'!$C$36=0,0,VLOOKUP('Entradas de Cálculos'!$D$45,'Entradas de Cálculos'!$I$164:$T$182,HLOOKUP('Entrada de Dados do Usuário'!$C$36,'Entradas de Cálculos'!$L$162:$T$163,2,FALSE),TRUE))</f>
        <v>0</v>
      </c>
      <c r="M45" s="156">
        <f>IF('Entrada de Dados do Usuário'!$C$36=0,0,VLOOKUP('Entradas de Cálculos'!$D$45,'Entradas de Cálculos'!$I$164:$T$182,HLOOKUP('Entrada de Dados do Usuário'!$C$36,'Entradas de Cálculos'!$L$162:$T$163,2,FALSE),TRUE))</f>
        <v>0</v>
      </c>
      <c r="N45" s="156">
        <f>IF('Entrada de Dados do Usuário'!$C$36=0,0,VLOOKUP('Entradas de Cálculos'!$D$45,'Entradas de Cálculos'!$I$164:$T$182,HLOOKUP('Entrada de Dados do Usuário'!$C$36,'Entradas de Cálculos'!$L$162:$T$163,2,FALSE),TRUE))</f>
        <v>0</v>
      </c>
      <c r="O45" s="156">
        <f>IF('Entrada de Dados do Usuário'!$C$36=0,0,VLOOKUP('Entradas de Cálculos'!$D$45,'Entradas de Cálculos'!$I$164:$T$182,HLOOKUP('Entrada de Dados do Usuário'!$C$36,'Entradas de Cálculos'!$L$162:$T$163,2,FALSE),TRUE))</f>
        <v>0</v>
      </c>
      <c r="P45" s="156">
        <f>IF('Entrada de Dados do Usuário'!$C$36=0,0,VLOOKUP('Entradas de Cálculos'!$D$45,'Entradas de Cálculos'!$I$164:$T$182,HLOOKUP('Entrada de Dados do Usuário'!$C$36,'Entradas de Cálculos'!$L$162:$T$163,2,FALSE),TRUE))</f>
        <v>0</v>
      </c>
      <c r="Q45" s="156">
        <f>IF('Entrada de Dados do Usuário'!$C$36=0,0,VLOOKUP('Entradas de Cálculos'!$D$45,'Entradas de Cálculos'!$I$164:$T$182,HLOOKUP('Entrada de Dados do Usuário'!$C$36,'Entradas de Cálculos'!$L$162:$T$163,2,FALSE),TRUE))</f>
        <v>0</v>
      </c>
      <c r="R45" s="156">
        <f>IF('Entrada de Dados do Usuário'!$C$36=0,0,VLOOKUP('Entradas de Cálculos'!$D$45,'Entradas de Cálculos'!$I$164:$T$182,HLOOKUP('Entrada de Dados do Usuário'!$C$36,'Entradas de Cálculos'!$L$162:$T$163,2,FALSE),TRUE))</f>
        <v>0</v>
      </c>
      <c r="S45" s="156">
        <f>IF('Entrada de Dados do Usuário'!$C$36=0,0,VLOOKUP('Entradas de Cálculos'!$D$45,'Entradas de Cálculos'!$I$164:$T$182,HLOOKUP('Entrada de Dados do Usuário'!$C$36,'Entradas de Cálculos'!$L$162:$T$163,2,FALSE),TRUE))</f>
        <v>0</v>
      </c>
      <c r="T45" s="156">
        <f>IF('Entrada de Dados do Usuário'!$C$36=0,0,VLOOKUP('Entradas de Cálculos'!$D$45,'Entradas de Cálculos'!$I$164:$T$182,HLOOKUP('Entrada de Dados do Usuário'!$C$36,'Entradas de Cálculos'!$L$162:$T$163,2,FALSE),TRUE))</f>
        <v>0</v>
      </c>
      <c r="U45" s="156">
        <f>IF('Entrada de Dados do Usuário'!$C$36=0,0,VLOOKUP('Entradas de Cálculos'!$D$45,'Entradas de Cálculos'!$I$164:$T$182,HLOOKUP('Entrada de Dados do Usuário'!$C$36,'Entradas de Cálculos'!$L$162:$T$163,2,FALSE),TRUE))</f>
        <v>0</v>
      </c>
      <c r="V45" s="156">
        <f>IF('Entrada de Dados do Usuário'!$C$36=0,0,VLOOKUP('Entradas de Cálculos'!$D$45,'Entradas de Cálculos'!$I$164:$T$182,HLOOKUP('Entrada de Dados do Usuário'!$C$36,'Entradas de Cálculos'!$L$162:$T$163,2,FALSE),TRUE))</f>
        <v>0</v>
      </c>
      <c r="W45" s="156">
        <f>IF('Entrada de Dados do Usuário'!$C$36=0,0,VLOOKUP('Entradas de Cálculos'!$D$45,'Entradas de Cálculos'!$I$164:$T$182,HLOOKUP('Entrada de Dados do Usuário'!$C$36,'Entradas de Cálculos'!$L$162:$T$163,2,FALSE),TRUE))</f>
        <v>0</v>
      </c>
    </row>
    <row r="46" spans="1:23" ht="14.25">
      <c r="A46" s="150"/>
      <c r="B46" s="157" t="s">
        <v>259</v>
      </c>
      <c r="C46" s="171">
        <f>'Entradas de Cálculos'!$D$47*'Entradas de Cálculos'!$D$49*'Entradas de Cálculos'!$D$48*'Modelo de CR'!C45*'Modelo de CR'!C43*'Modelo de CR'!C38*'Modelo de CR'!C42*'Modelo de CR'!C44*'Entradas de Cálculos'!$D$22*'Entradas de Cálculos'!$D$92</f>
        <v>0</v>
      </c>
      <c r="D46" s="171">
        <f>'Entradas de Cálculos'!$D$47*'Entradas de Cálculos'!$D$49*'Entradas de Cálculos'!$D$48*'Modelo de CR'!D45*'Modelo de CR'!D43*'Modelo de CR'!D38*'Modelo de CR'!D42*'Modelo de CR'!D44*'Entradas de Cálculos'!$D$22*'Entradas de Cálculos'!$D$92</f>
        <v>0</v>
      </c>
      <c r="E46" s="171">
        <f>'Entradas de Cálculos'!$D$47*'Entradas de Cálculos'!$D$49*'Entradas de Cálculos'!$D$48*'Modelo de CR'!E45*'Modelo de CR'!E43*'Modelo de CR'!E38*'Modelo de CR'!E42*'Modelo de CR'!E44*'Entradas de Cálculos'!$D$22*'Entradas de Cálculos'!$D$92</f>
        <v>0</v>
      </c>
      <c r="F46" s="171">
        <f>'Entradas de Cálculos'!$D$47*'Entradas de Cálculos'!$D$49*'Entradas de Cálculos'!$D$48*'Modelo de CR'!F45*'Modelo de CR'!F43*'Modelo de CR'!F38*'Modelo de CR'!F42*'Modelo de CR'!F44*'Entradas de Cálculos'!$D$22*'Entradas de Cálculos'!$D$92</f>
        <v>0</v>
      </c>
      <c r="G46" s="171">
        <f>'Entradas de Cálculos'!$D$47*'Entradas de Cálculos'!$D$49*'Entradas de Cálculos'!$D$48*'Modelo de CR'!G45*'Modelo de CR'!G43*'Modelo de CR'!G38*'Modelo de CR'!G42*'Modelo de CR'!G44*'Entradas de Cálculos'!$D$22*'Entradas de Cálculos'!$D$92</f>
        <v>0</v>
      </c>
      <c r="H46" s="171">
        <f>'Entradas de Cálculos'!$D$47*'Entradas de Cálculos'!$D$49*'Entradas de Cálculos'!$D$48*'Modelo de CR'!H45*'Modelo de CR'!H43*'Modelo de CR'!H38*'Modelo de CR'!H42*'Modelo de CR'!H44*'Entradas de Cálculos'!$D$22*'Entradas de Cálculos'!$D$92</f>
        <v>0</v>
      </c>
      <c r="I46" s="171">
        <f>'Entradas de Cálculos'!$D$47*'Entradas de Cálculos'!$D$49*'Entradas de Cálculos'!$D$48*'Modelo de CR'!I45*'Modelo de CR'!I43*'Modelo de CR'!I38*'Modelo de CR'!I42*'Modelo de CR'!I44*'Entradas de Cálculos'!$D$22*'Entradas de Cálculos'!$D$92</f>
        <v>0</v>
      </c>
      <c r="J46" s="171">
        <f>'Entradas de Cálculos'!$D$47*'Entradas de Cálculos'!$D$49*'Entradas de Cálculos'!$D$48*'Modelo de CR'!J45*'Modelo de CR'!J43*'Modelo de CR'!J38*'Modelo de CR'!J42*'Modelo de CR'!J44*'Entradas de Cálculos'!$D$22*'Entradas de Cálculos'!$D$92</f>
        <v>0</v>
      </c>
      <c r="K46" s="171">
        <f>'Entradas de Cálculos'!$D$47*'Entradas de Cálculos'!$D$49*'Entradas de Cálculos'!$D$48*'Modelo de CR'!K45*'Modelo de CR'!K43*'Modelo de CR'!K38*'Modelo de CR'!K42*'Modelo de CR'!K44*'Entradas de Cálculos'!$D$22*'Entradas de Cálculos'!$D$92</f>
        <v>0</v>
      </c>
      <c r="L46" s="171">
        <f>'Entradas de Cálculos'!$D$47*'Entradas de Cálculos'!$D$49*'Entradas de Cálculos'!$D$48*'Modelo de CR'!L45*'Modelo de CR'!L43*'Modelo de CR'!L38*'Modelo de CR'!L42*'Modelo de CR'!L44*'Entradas de Cálculos'!$D$22*'Entradas de Cálculos'!$D$92</f>
        <v>0</v>
      </c>
      <c r="M46" s="171">
        <f>'Entradas de Cálculos'!$D$47*'Entradas de Cálculos'!$D$49*'Entradas de Cálculos'!$D$48*'Modelo de CR'!M45*'Modelo de CR'!M43*'Modelo de CR'!M38*'Modelo de CR'!M42*'Modelo de CR'!M44*'Entradas de Cálculos'!$D$22*'Entradas de Cálculos'!$D$92</f>
        <v>0</v>
      </c>
      <c r="N46" s="171">
        <f>'Entradas de Cálculos'!$D$47*'Entradas de Cálculos'!$D$49*'Entradas de Cálculos'!$D$48*'Modelo de CR'!N45*'Modelo de CR'!N43*'Modelo de CR'!N38*'Modelo de CR'!N42*'Modelo de CR'!N44*'Entradas de Cálculos'!$D$22*'Entradas de Cálculos'!$D$92</f>
        <v>0</v>
      </c>
      <c r="O46" s="171">
        <f>'Entradas de Cálculos'!$D$47*'Entradas de Cálculos'!$D$49*'Entradas de Cálculos'!$D$48*'Modelo de CR'!O45*'Modelo de CR'!O43*'Modelo de CR'!O38*'Modelo de CR'!O42*'Modelo de CR'!O44*'Entradas de Cálculos'!$D$22*'Entradas de Cálculos'!$D$92</f>
        <v>0</v>
      </c>
      <c r="P46" s="171">
        <f>'Entradas de Cálculos'!$D$47*'Entradas de Cálculos'!$D$49*'Entradas de Cálculos'!$D$48*'Modelo de CR'!P45*'Modelo de CR'!P43*'Modelo de CR'!P38*'Modelo de CR'!P42*'Modelo de CR'!P44*'Entradas de Cálculos'!$D$22*'Entradas de Cálculos'!$D$92</f>
        <v>0</v>
      </c>
      <c r="Q46" s="171">
        <f>'Entradas de Cálculos'!$D$47*'Entradas de Cálculos'!$D$49*'Entradas de Cálculos'!$D$48*'Modelo de CR'!Q45*'Modelo de CR'!Q43*'Modelo de CR'!Q38*'Modelo de CR'!Q42*'Modelo de CR'!Q44*'Entradas de Cálculos'!$D$22*'Entradas de Cálculos'!$D$92</f>
        <v>0</v>
      </c>
      <c r="R46" s="171">
        <f>'Entradas de Cálculos'!$D$47*'Entradas de Cálculos'!$D$49*'Entradas de Cálculos'!$D$48*'Modelo de CR'!R45*'Modelo de CR'!R43*'Modelo de CR'!R38*'Modelo de CR'!R42*'Modelo de CR'!R44*'Entradas de Cálculos'!$D$22*'Entradas de Cálculos'!$D$92</f>
        <v>0</v>
      </c>
      <c r="S46" s="171">
        <f>'Entradas de Cálculos'!$D$47*'Entradas de Cálculos'!$D$49*'Entradas de Cálculos'!$D$48*'Modelo de CR'!S45*'Modelo de CR'!S43*'Modelo de CR'!S38*'Modelo de CR'!S42*'Modelo de CR'!S44*'Entradas de Cálculos'!$D$22*'Entradas de Cálculos'!$D$92</f>
        <v>0</v>
      </c>
      <c r="T46" s="171">
        <f>'Entradas de Cálculos'!$D$47*'Entradas de Cálculos'!$D$49*'Entradas de Cálculos'!$D$48*'Modelo de CR'!T45*'Modelo de CR'!T43*'Modelo de CR'!T38*'Modelo de CR'!T42*'Modelo de CR'!T44*'Entradas de Cálculos'!$D$22*'Entradas de Cálculos'!$D$92</f>
        <v>0</v>
      </c>
      <c r="U46" s="171">
        <f>'Entradas de Cálculos'!$D$47*'Entradas de Cálculos'!$D$49*'Entradas de Cálculos'!$D$48*'Modelo de CR'!U45*'Modelo de CR'!U43*'Modelo de CR'!U38*'Modelo de CR'!U42*'Modelo de CR'!U44*'Entradas de Cálculos'!$D$22*'Entradas de Cálculos'!$D$92</f>
        <v>0</v>
      </c>
      <c r="V46" s="171">
        <f>'Entradas de Cálculos'!$D$47*'Entradas de Cálculos'!$D$49*'Entradas de Cálculos'!$D$48*'Modelo de CR'!V45*'Modelo de CR'!V43*'Modelo de CR'!V38*'Modelo de CR'!V42*'Modelo de CR'!V44*'Entradas de Cálculos'!$D$22*'Entradas de Cálculos'!$D$92</f>
        <v>0</v>
      </c>
      <c r="W46" s="171">
        <f>'Entradas de Cálculos'!$D$47*'Entradas de Cálculos'!$D$49*'Entradas de Cálculos'!$D$48*'Modelo de CR'!W45*'Modelo de CR'!W43*'Modelo de CR'!W38*'Modelo de CR'!W42*'Modelo de CR'!W44*'Entradas de Cálculos'!$D$22*'Entradas de Cálculos'!$D$92</f>
        <v>0</v>
      </c>
    </row>
    <row r="47" spans="1:23" ht="15" thickBot="1">
      <c r="A47" s="150"/>
      <c r="B47" s="157" t="s">
        <v>260</v>
      </c>
      <c r="C47" s="171">
        <f>'Entradas de Cálculos'!$D$93*'Entradas de Cálculos'!$D$47*'Entradas de Cálculos'!$D$49*'Entradas de Cálculos'!$D$48*'Modelo de CR'!C43*'Modelo de CR'!C38*'Modelo de CR'!C42*'Modelo de CR'!C44*'Entradas de Cálculos'!$D$22*'Entradas de Cálculos'!$D$92</f>
        <v>0</v>
      </c>
      <c r="D47" s="171">
        <f>'Entradas de Cálculos'!$D$93*'Entradas de Cálculos'!$D$47*'Entradas de Cálculos'!$D$49*'Entradas de Cálculos'!$D$48*'Modelo de CR'!D43*'Modelo de CR'!D38*'Modelo de CR'!D42*'Modelo de CR'!D44*'Entradas de Cálculos'!$D$22*'Entradas de Cálculos'!$D$92</f>
        <v>0</v>
      </c>
      <c r="E47" s="171">
        <f>'Entradas de Cálculos'!$D$93*'Entradas de Cálculos'!$D$47*'Entradas de Cálculos'!$D$49*'Entradas de Cálculos'!$D$48*'Modelo de CR'!E43*'Modelo de CR'!E38*'Modelo de CR'!E42*'Modelo de CR'!E44*'Entradas de Cálculos'!$D$22*'Entradas de Cálculos'!$D$92</f>
        <v>0</v>
      </c>
      <c r="F47" s="171">
        <f>'Entradas de Cálculos'!$D$93*'Entradas de Cálculos'!$D$47*'Entradas de Cálculos'!$D$49*'Entradas de Cálculos'!$D$48*'Modelo de CR'!F43*'Modelo de CR'!F38*'Modelo de CR'!F42*'Modelo de CR'!F44*'Entradas de Cálculos'!$D$22*'Entradas de Cálculos'!$D$92</f>
        <v>0</v>
      </c>
      <c r="G47" s="171">
        <f>'Entradas de Cálculos'!$D$93*'Entradas de Cálculos'!$D$47*'Entradas de Cálculos'!$D$49*'Entradas de Cálculos'!$D$48*'Modelo de CR'!G43*'Modelo de CR'!G38*'Modelo de CR'!G42*'Modelo de CR'!G44*'Entradas de Cálculos'!$D$22*'Entradas de Cálculos'!$D$92</f>
        <v>0</v>
      </c>
      <c r="H47" s="171">
        <f>'Entradas de Cálculos'!$D$93*'Entradas de Cálculos'!$D$47*'Entradas de Cálculos'!$D$49*'Entradas de Cálculos'!$D$48*'Modelo de CR'!H43*'Modelo de CR'!H38*'Modelo de CR'!H42*'Modelo de CR'!H44*'Entradas de Cálculos'!$D$22*'Entradas de Cálculos'!$D$92</f>
        <v>0</v>
      </c>
      <c r="I47" s="171">
        <f>'Entradas de Cálculos'!$D$93*'Entradas de Cálculos'!$D$47*'Entradas de Cálculos'!$D$49*'Entradas de Cálculos'!$D$48*'Modelo de CR'!I43*'Modelo de CR'!I38*'Modelo de CR'!I42*'Modelo de CR'!I44*'Entradas de Cálculos'!$D$22*'Entradas de Cálculos'!$D$92</f>
        <v>0</v>
      </c>
      <c r="J47" s="171">
        <f>'Entradas de Cálculos'!$D$93*'Entradas de Cálculos'!$D$47*'Entradas de Cálculos'!$D$49*'Entradas de Cálculos'!$D$48*'Modelo de CR'!J43*'Modelo de CR'!J38*'Modelo de CR'!J42*'Modelo de CR'!J44*'Entradas de Cálculos'!$D$22*'Entradas de Cálculos'!$D$92</f>
        <v>0</v>
      </c>
      <c r="K47" s="171">
        <f>'Entradas de Cálculos'!$D$93*'Entradas de Cálculos'!$D$47*'Entradas de Cálculos'!$D$49*'Entradas de Cálculos'!$D$48*'Modelo de CR'!K43*'Modelo de CR'!K38*'Modelo de CR'!K42*'Modelo de CR'!K44*'Entradas de Cálculos'!$D$22*'Entradas de Cálculos'!$D$92</f>
        <v>0</v>
      </c>
      <c r="L47" s="171">
        <f>'Entradas de Cálculos'!$D$93*'Entradas de Cálculos'!$D$47*'Entradas de Cálculos'!$D$49*'Entradas de Cálculos'!$D$48*'Modelo de CR'!L43*'Modelo de CR'!L38*'Modelo de CR'!L42*'Modelo de CR'!L44*'Entradas de Cálculos'!$D$22*'Entradas de Cálculos'!$D$92</f>
        <v>0</v>
      </c>
      <c r="M47" s="171">
        <f>'Entradas de Cálculos'!$D$93*'Entradas de Cálculos'!$D$47*'Entradas de Cálculos'!$D$49*'Entradas de Cálculos'!$D$48*'Modelo de CR'!M43*'Modelo de CR'!M38*'Modelo de CR'!M42*'Modelo de CR'!M44*'Entradas de Cálculos'!$D$22*'Entradas de Cálculos'!$D$92</f>
        <v>0</v>
      </c>
      <c r="N47" s="171">
        <f>'Entradas de Cálculos'!$D$93*'Entradas de Cálculos'!$D$47*'Entradas de Cálculos'!$D$49*'Entradas de Cálculos'!$D$48*'Modelo de CR'!N43*'Modelo de CR'!N38*'Modelo de CR'!N42*'Modelo de CR'!N44*'Entradas de Cálculos'!$D$22*'Entradas de Cálculos'!$D$92</f>
        <v>0</v>
      </c>
      <c r="O47" s="171">
        <f>'Entradas de Cálculos'!$D$93*'Entradas de Cálculos'!$D$47*'Entradas de Cálculos'!$D$49*'Entradas de Cálculos'!$D$48*'Modelo de CR'!O43*'Modelo de CR'!O38*'Modelo de CR'!O42*'Modelo de CR'!O44*'Entradas de Cálculos'!$D$22*'Entradas de Cálculos'!$D$92</f>
        <v>0</v>
      </c>
      <c r="P47" s="171">
        <f>'Entradas de Cálculos'!$D$93*'Entradas de Cálculos'!$D$47*'Entradas de Cálculos'!$D$49*'Entradas de Cálculos'!$D$48*'Modelo de CR'!P43*'Modelo de CR'!P38*'Modelo de CR'!P42*'Modelo de CR'!P44*'Entradas de Cálculos'!$D$22*'Entradas de Cálculos'!$D$92</f>
        <v>0</v>
      </c>
      <c r="Q47" s="171">
        <f>'Entradas de Cálculos'!$D$93*'Entradas de Cálculos'!$D$47*'Entradas de Cálculos'!$D$49*'Entradas de Cálculos'!$D$48*'Modelo de CR'!Q43*'Modelo de CR'!Q38*'Modelo de CR'!Q42*'Modelo de CR'!Q44*'Entradas de Cálculos'!$D$22*'Entradas de Cálculos'!$D$92</f>
        <v>0</v>
      </c>
      <c r="R47" s="171">
        <f>'Entradas de Cálculos'!$D$93*'Entradas de Cálculos'!$D$47*'Entradas de Cálculos'!$D$49*'Entradas de Cálculos'!$D$48*'Modelo de CR'!R43*'Modelo de CR'!R38*'Modelo de CR'!R42*'Modelo de CR'!R44*'Entradas de Cálculos'!$D$22*'Entradas de Cálculos'!$D$92</f>
        <v>0</v>
      </c>
      <c r="S47" s="171">
        <f>'Entradas de Cálculos'!$D$93*'Entradas de Cálculos'!$D$47*'Entradas de Cálculos'!$D$49*'Entradas de Cálculos'!$D$48*'Modelo de CR'!S43*'Modelo de CR'!S38*'Modelo de CR'!S42*'Modelo de CR'!S44*'Entradas de Cálculos'!$D$22*'Entradas de Cálculos'!$D$92</f>
        <v>0</v>
      </c>
      <c r="T47" s="171">
        <f>'Entradas de Cálculos'!$D$93*'Entradas de Cálculos'!$D$47*'Entradas de Cálculos'!$D$49*'Entradas de Cálculos'!$D$48*'Modelo de CR'!T43*'Modelo de CR'!T38*'Modelo de CR'!T42*'Modelo de CR'!T44*'Entradas de Cálculos'!$D$22*'Entradas de Cálculos'!$D$92</f>
        <v>0</v>
      </c>
      <c r="U47" s="171">
        <f>'Entradas de Cálculos'!$D$93*'Entradas de Cálculos'!$D$47*'Entradas de Cálculos'!$D$49*'Entradas de Cálculos'!$D$48*'Modelo de CR'!U43*'Modelo de CR'!U38*'Modelo de CR'!U42*'Modelo de CR'!U44*'Entradas de Cálculos'!$D$22*'Entradas de Cálculos'!$D$92</f>
        <v>0</v>
      </c>
      <c r="V47" s="171">
        <f>'Entradas de Cálculos'!$D$93*'Entradas de Cálculos'!$D$47*'Entradas de Cálculos'!$D$49*'Entradas de Cálculos'!$D$48*'Modelo de CR'!V43*'Modelo de CR'!V38*'Modelo de CR'!V42*'Modelo de CR'!V44*'Entradas de Cálculos'!$D$22*'Entradas de Cálculos'!$D$92</f>
        <v>0</v>
      </c>
      <c r="W47" s="171">
        <f>'Entradas de Cálculos'!$D$93*'Entradas de Cálculos'!$D$47*'Entradas de Cálculos'!$D$49*'Entradas de Cálculos'!$D$48*'Modelo de CR'!W43*'Modelo de CR'!W38*'Modelo de CR'!W42*'Modelo de CR'!W44*'Entradas de Cálculos'!$D$22*'Entradas de Cálculos'!$D$92</f>
        <v>0</v>
      </c>
    </row>
    <row r="48" spans="1:23" ht="15" thickBot="1">
      <c r="A48" s="379" t="s">
        <v>261</v>
      </c>
      <c r="B48" s="380"/>
      <c r="C48" s="380"/>
      <c r="D48" s="380"/>
      <c r="E48" s="380"/>
      <c r="F48" s="380"/>
      <c r="G48" s="380"/>
      <c r="H48" s="380"/>
      <c r="I48" s="380"/>
      <c r="J48" s="380"/>
      <c r="K48" s="380"/>
      <c r="L48" s="380"/>
      <c r="M48" s="380"/>
      <c r="N48" s="380"/>
      <c r="O48" s="380"/>
      <c r="P48" s="380"/>
      <c r="Q48" s="380"/>
      <c r="R48" s="380"/>
      <c r="S48" s="380"/>
      <c r="T48" s="380"/>
      <c r="U48" s="380"/>
      <c r="V48" s="380"/>
      <c r="W48" s="381"/>
    </row>
    <row r="49" spans="1:23" ht="14.25">
      <c r="A49" s="34"/>
      <c r="B49" s="124" t="s">
        <v>259</v>
      </c>
      <c r="C49" s="152">
        <f>C46+C35+C24+C13</f>
        <v>0</v>
      </c>
      <c r="D49" s="152">
        <f aca="true" t="shared" si="4" ref="D49:W49">D46+D35+D24+D13</f>
        <v>0</v>
      </c>
      <c r="E49" s="152">
        <f t="shared" si="4"/>
        <v>0</v>
      </c>
      <c r="F49" s="152">
        <f t="shared" si="4"/>
        <v>0</v>
      </c>
      <c r="G49" s="152">
        <f t="shared" si="4"/>
        <v>0</v>
      </c>
      <c r="H49" s="152">
        <f t="shared" si="4"/>
        <v>0</v>
      </c>
      <c r="I49" s="152">
        <f t="shared" si="4"/>
        <v>0</v>
      </c>
      <c r="J49" s="152">
        <f t="shared" si="4"/>
        <v>0</v>
      </c>
      <c r="K49" s="152">
        <f t="shared" si="4"/>
        <v>0</v>
      </c>
      <c r="L49" s="152">
        <f t="shared" si="4"/>
        <v>0</v>
      </c>
      <c r="M49" s="152">
        <f t="shared" si="4"/>
        <v>0</v>
      </c>
      <c r="N49" s="152">
        <f t="shared" si="4"/>
        <v>0</v>
      </c>
      <c r="O49" s="152">
        <f t="shared" si="4"/>
        <v>0</v>
      </c>
      <c r="P49" s="152">
        <f t="shared" si="4"/>
        <v>0</v>
      </c>
      <c r="Q49" s="152">
        <f t="shared" si="4"/>
        <v>0</v>
      </c>
      <c r="R49" s="152">
        <f t="shared" si="4"/>
        <v>0</v>
      </c>
      <c r="S49" s="152">
        <f t="shared" si="4"/>
        <v>0</v>
      </c>
      <c r="T49" s="152">
        <f t="shared" si="4"/>
        <v>0</v>
      </c>
      <c r="U49" s="152">
        <f t="shared" si="4"/>
        <v>0</v>
      </c>
      <c r="V49" s="152">
        <f t="shared" si="4"/>
        <v>0</v>
      </c>
      <c r="W49" s="152">
        <f t="shared" si="4"/>
        <v>0</v>
      </c>
    </row>
    <row r="50" spans="1:23" ht="14.25">
      <c r="A50" s="34"/>
      <c r="B50" s="124" t="s">
        <v>260</v>
      </c>
      <c r="C50" s="152">
        <f>C47+C36+C25+C14</f>
        <v>0</v>
      </c>
      <c r="D50" s="152">
        <f aca="true" t="shared" si="5" ref="D50:W50">D47+D36+D25+D14</f>
        <v>0</v>
      </c>
      <c r="E50" s="152">
        <f t="shared" si="5"/>
        <v>0</v>
      </c>
      <c r="F50" s="152">
        <f t="shared" si="5"/>
        <v>0</v>
      </c>
      <c r="G50" s="152">
        <f t="shared" si="5"/>
        <v>0</v>
      </c>
      <c r="H50" s="152">
        <f t="shared" si="5"/>
        <v>0</v>
      </c>
      <c r="I50" s="152">
        <f t="shared" si="5"/>
        <v>0</v>
      </c>
      <c r="J50" s="152">
        <f t="shared" si="5"/>
        <v>0</v>
      </c>
      <c r="K50" s="152">
        <f t="shared" si="5"/>
        <v>0</v>
      </c>
      <c r="L50" s="152">
        <f t="shared" si="5"/>
        <v>0</v>
      </c>
      <c r="M50" s="152">
        <f t="shared" si="5"/>
        <v>0</v>
      </c>
      <c r="N50" s="152">
        <f t="shared" si="5"/>
        <v>0</v>
      </c>
      <c r="O50" s="152">
        <f t="shared" si="5"/>
        <v>0</v>
      </c>
      <c r="P50" s="152">
        <f t="shared" si="5"/>
        <v>0</v>
      </c>
      <c r="Q50" s="152">
        <f t="shared" si="5"/>
        <v>0</v>
      </c>
      <c r="R50" s="152">
        <f t="shared" si="5"/>
        <v>0</v>
      </c>
      <c r="S50" s="152">
        <f t="shared" si="5"/>
        <v>0</v>
      </c>
      <c r="T50" s="152">
        <f t="shared" si="5"/>
        <v>0</v>
      </c>
      <c r="U50" s="152">
        <f t="shared" si="5"/>
        <v>0</v>
      </c>
      <c r="V50" s="152">
        <f t="shared" si="5"/>
        <v>0</v>
      </c>
      <c r="W50" s="152">
        <f t="shared" si="5"/>
        <v>0</v>
      </c>
    </row>
    <row r="51" spans="1:23" ht="14.25">
      <c r="A51" s="37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1" thickBot="1">
      <c r="A52" s="376" t="s">
        <v>250</v>
      </c>
      <c r="B52" s="377"/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8"/>
    </row>
    <row r="53" spans="1:23" ht="28.5">
      <c r="A53" s="151"/>
      <c r="B53" s="149" t="s">
        <v>369</v>
      </c>
      <c r="C53" s="287">
        <f>('Modelo de Tecnologia'!C33-'Modelo de Tecnologia'!C36)*'Entradas de Cálculos'!$D$25*'Entradas de Cálculos'!$D$19/'Entradas de Cálculos'!$D$26*'Entradas de Cálculos'!$D$21</f>
        <v>0</v>
      </c>
      <c r="D53" s="168">
        <f>('Modelo de Tecnologia'!D33-'Modelo de Tecnologia'!D36)*'Entradas de Cálculos'!$D$25*'Entradas de Cálculos'!$D$19/'Entradas de Cálculos'!$D$26*'Entradas de Cálculos'!$D$21</f>
        <v>0</v>
      </c>
      <c r="E53" s="168">
        <f>('Modelo de Tecnologia'!E33-'Modelo de Tecnologia'!E36)*'Entradas de Cálculos'!$D$25*'Entradas de Cálculos'!$D$19/'Entradas de Cálculos'!$D$26*'Entradas de Cálculos'!$D$21</f>
        <v>0</v>
      </c>
      <c r="F53" s="168">
        <f>('Modelo de Tecnologia'!F33-'Modelo de Tecnologia'!F36)*'Entradas de Cálculos'!$D$25*'Entradas de Cálculos'!$D$19/'Entradas de Cálculos'!$D$26*'Entradas de Cálculos'!$D$21</f>
        <v>0</v>
      </c>
      <c r="G53" s="168">
        <f>('Modelo de Tecnologia'!G33-'Modelo de Tecnologia'!G36)*'Entradas de Cálculos'!$D$25*'Entradas de Cálculos'!$D$19/'Entradas de Cálculos'!$D$26*'Entradas de Cálculos'!$D$21</f>
        <v>0</v>
      </c>
      <c r="H53" s="168">
        <f>('Modelo de Tecnologia'!H33-'Modelo de Tecnologia'!H36)*'Entradas de Cálculos'!$D$25*'Entradas de Cálculos'!$D$19/'Entradas de Cálculos'!$D$26*'Entradas de Cálculos'!$D$21</f>
        <v>0</v>
      </c>
      <c r="I53" s="168">
        <f>('Modelo de Tecnologia'!I33-'Modelo de Tecnologia'!I36)*'Entradas de Cálculos'!$D$25*'Entradas de Cálculos'!$D$19/'Entradas de Cálculos'!$D$26*'Entradas de Cálculos'!$D$21</f>
        <v>0</v>
      </c>
      <c r="J53" s="168">
        <f>('Modelo de Tecnologia'!J33-'Modelo de Tecnologia'!J36)*'Entradas de Cálculos'!$D$25*'Entradas de Cálculos'!$D$19/'Entradas de Cálculos'!$D$26*'Entradas de Cálculos'!$D$21</f>
        <v>0</v>
      </c>
      <c r="K53" s="168">
        <f>('Modelo de Tecnologia'!K33-'Modelo de Tecnologia'!K36)*'Entradas de Cálculos'!$D$25*'Entradas de Cálculos'!$D$19/'Entradas de Cálculos'!$D$26*'Entradas de Cálculos'!$D$21</f>
        <v>0</v>
      </c>
      <c r="L53" s="168">
        <f>('Modelo de Tecnologia'!L33-'Modelo de Tecnologia'!L36)*'Entradas de Cálculos'!$D$25*'Entradas de Cálculos'!$D$19/'Entradas de Cálculos'!$D$26*'Entradas de Cálculos'!$D$21</f>
        <v>0</v>
      </c>
      <c r="M53" s="168">
        <f>('Modelo de Tecnologia'!M33-'Modelo de Tecnologia'!M36)*'Entradas de Cálculos'!$D$25*'Entradas de Cálculos'!$D$19/'Entradas de Cálculos'!$D$26*'Entradas de Cálculos'!$D$21</f>
        <v>0</v>
      </c>
      <c r="N53" s="168">
        <f>('Modelo de Tecnologia'!N33-'Modelo de Tecnologia'!N36)*'Entradas de Cálculos'!$D$25*'Entradas de Cálculos'!$D$19/'Entradas de Cálculos'!$D$26*'Entradas de Cálculos'!$D$21</f>
        <v>0</v>
      </c>
      <c r="O53" s="168">
        <f>('Modelo de Tecnologia'!O33-'Modelo de Tecnologia'!O36)*'Entradas de Cálculos'!$D$25*'Entradas de Cálculos'!$D$19/'Entradas de Cálculos'!$D$26*'Entradas de Cálculos'!$D$21</f>
        <v>0</v>
      </c>
      <c r="P53" s="168">
        <f>('Modelo de Tecnologia'!P33-'Modelo de Tecnologia'!P36)*'Entradas de Cálculos'!$D$25*'Entradas de Cálculos'!$D$19/'Entradas de Cálculos'!$D$26*'Entradas de Cálculos'!$D$21</f>
        <v>0</v>
      </c>
      <c r="Q53" s="168">
        <f>('Modelo de Tecnologia'!Q33-'Modelo de Tecnologia'!Q36)*'Entradas de Cálculos'!$D$25*'Entradas de Cálculos'!$D$19/'Entradas de Cálculos'!$D$26*'Entradas de Cálculos'!$D$21</f>
        <v>0</v>
      </c>
      <c r="R53" s="168">
        <f>('Modelo de Tecnologia'!R33-'Modelo de Tecnologia'!R36)*'Entradas de Cálculos'!$D$25*'Entradas de Cálculos'!$D$19/'Entradas de Cálculos'!$D$26*'Entradas de Cálculos'!$D$21</f>
        <v>0</v>
      </c>
      <c r="S53" s="168">
        <f>('Modelo de Tecnologia'!S33-'Modelo de Tecnologia'!S36)*'Entradas de Cálculos'!$D$25*'Entradas de Cálculos'!$D$19/'Entradas de Cálculos'!$D$26*'Entradas de Cálculos'!$D$21</f>
        <v>0</v>
      </c>
      <c r="T53" s="168">
        <f>('Modelo de Tecnologia'!T33-'Modelo de Tecnologia'!T36)*'Entradas de Cálculos'!$D$25*'Entradas de Cálculos'!$D$19/'Entradas de Cálculos'!$D$26*'Entradas de Cálculos'!$D$21</f>
        <v>0</v>
      </c>
      <c r="U53" s="168">
        <f>('Modelo de Tecnologia'!U33-'Modelo de Tecnologia'!U36)*'Entradas de Cálculos'!$D$25*'Entradas de Cálculos'!$D$19/'Entradas de Cálculos'!$D$26*'Entradas de Cálculos'!$D$21</f>
        <v>0</v>
      </c>
      <c r="V53" s="168">
        <f>('Modelo de Tecnologia'!V33-'Modelo de Tecnologia'!V36)*'Entradas de Cálculos'!$D$25*'Entradas de Cálculos'!$D$19/'Entradas de Cálculos'!$D$26*'Entradas de Cálculos'!$D$21</f>
        <v>0</v>
      </c>
      <c r="W53" s="168">
        <f>('Modelo de Tecnologia'!W33-'Modelo de Tecnologia'!W36)*'Entradas de Cálculos'!$D$25*'Entradas de Cálculos'!$D$19/'Entradas de Cálculos'!$D$26*'Entradas de Cálculos'!$D$21</f>
        <v>0</v>
      </c>
    </row>
    <row r="54" spans="1:23" ht="28.5">
      <c r="A54" s="37"/>
      <c r="B54" s="149" t="s">
        <v>253</v>
      </c>
      <c r="C54" s="168">
        <f>SUMPRODUCT('Entradas de Cálculos'!$D$51:$D$62,'Entradas de Cálculos'!$D$64:$D$75)/SUM('Entradas de Cálculos'!$D$64:$D$75)</f>
        <v>0.47628387978142084</v>
      </c>
      <c r="D54" s="168">
        <f>SUMPRODUCT('Entradas de Cálculos'!$D$51:$D$62,'Entradas de Cálculos'!$D$64:$D$75)/SUM('Entradas de Cálculos'!$D$64:$D$75)</f>
        <v>0.47628387978142084</v>
      </c>
      <c r="E54" s="168">
        <f>SUMPRODUCT('Entradas de Cálculos'!$D$51:$D$62,'Entradas de Cálculos'!$D$64:$D$75)/SUM('Entradas de Cálculos'!$D$64:$D$75)</f>
        <v>0.47628387978142084</v>
      </c>
      <c r="F54" s="168">
        <f>SUMPRODUCT('Entradas de Cálculos'!$D$51:$D$62,'Entradas de Cálculos'!$D$64:$D$75)/SUM('Entradas de Cálculos'!$D$64:$D$75)</f>
        <v>0.47628387978142084</v>
      </c>
      <c r="G54" s="168">
        <f>SUMPRODUCT('Entradas de Cálculos'!$D$51:$D$62,'Entradas de Cálculos'!$D$64:$D$75)/SUM('Entradas de Cálculos'!$D$64:$D$75)</f>
        <v>0.47628387978142084</v>
      </c>
      <c r="H54" s="168">
        <f>SUMPRODUCT('Entradas de Cálculos'!$D$51:$D$62,'Entradas de Cálculos'!$D$64:$D$75)/SUM('Entradas de Cálculos'!$D$64:$D$75)</f>
        <v>0.47628387978142084</v>
      </c>
      <c r="I54" s="168">
        <f>SUMPRODUCT('Entradas de Cálculos'!$D$51:$D$62,'Entradas de Cálculos'!$D$64:$D$75)/SUM('Entradas de Cálculos'!$D$64:$D$75)</f>
        <v>0.47628387978142084</v>
      </c>
      <c r="J54" s="168">
        <f>SUMPRODUCT('Entradas de Cálculos'!$D$51:$D$62,'Entradas de Cálculos'!$D$64:$D$75)/SUM('Entradas de Cálculos'!$D$64:$D$75)</f>
        <v>0.47628387978142084</v>
      </c>
      <c r="K54" s="168">
        <f>SUMPRODUCT('Entradas de Cálculos'!$D$51:$D$62,'Entradas de Cálculos'!$D$64:$D$75)/SUM('Entradas de Cálculos'!$D$64:$D$75)</f>
        <v>0.47628387978142084</v>
      </c>
      <c r="L54" s="168">
        <f>SUMPRODUCT('Entradas de Cálculos'!$D$51:$D$62,'Entradas de Cálculos'!$D$64:$D$75)/SUM('Entradas de Cálculos'!$D$64:$D$75)</f>
        <v>0.47628387978142084</v>
      </c>
      <c r="M54" s="168">
        <f>SUMPRODUCT('Entradas de Cálculos'!$D$51:$D$62,'Entradas de Cálculos'!$D$64:$D$75)/SUM('Entradas de Cálculos'!$D$64:$D$75)</f>
        <v>0.47628387978142084</v>
      </c>
      <c r="N54" s="168">
        <f>SUMPRODUCT('Entradas de Cálculos'!$D$51:$D$62,'Entradas de Cálculos'!$D$64:$D$75)/SUM('Entradas de Cálculos'!$D$64:$D$75)</f>
        <v>0.47628387978142084</v>
      </c>
      <c r="O54" s="168">
        <f>SUMPRODUCT('Entradas de Cálculos'!$D$51:$D$62,'Entradas de Cálculos'!$D$64:$D$75)/SUM('Entradas de Cálculos'!$D$64:$D$75)</f>
        <v>0.47628387978142084</v>
      </c>
      <c r="P54" s="168">
        <f>SUMPRODUCT('Entradas de Cálculos'!$D$51:$D$62,'Entradas de Cálculos'!$D$64:$D$75)/SUM('Entradas de Cálculos'!$D$64:$D$75)</f>
        <v>0.47628387978142084</v>
      </c>
      <c r="Q54" s="168">
        <f>SUMPRODUCT('Entradas de Cálculos'!$D$51:$D$62,'Entradas de Cálculos'!$D$64:$D$75)/SUM('Entradas de Cálculos'!$D$64:$D$75)</f>
        <v>0.47628387978142084</v>
      </c>
      <c r="R54" s="168">
        <f>SUMPRODUCT('Entradas de Cálculos'!$D$51:$D$62,'Entradas de Cálculos'!$D$64:$D$75)/SUM('Entradas de Cálculos'!$D$64:$D$75)</f>
        <v>0.47628387978142084</v>
      </c>
      <c r="S54" s="168">
        <f>SUMPRODUCT('Entradas de Cálculos'!$D$51:$D$62,'Entradas de Cálculos'!$D$64:$D$75)/SUM('Entradas de Cálculos'!$D$64:$D$75)</f>
        <v>0.47628387978142084</v>
      </c>
      <c r="T54" s="168">
        <f>SUMPRODUCT('Entradas de Cálculos'!$D$51:$D$62,'Entradas de Cálculos'!$D$64:$D$75)/SUM('Entradas de Cálculos'!$D$64:$D$75)</f>
        <v>0.47628387978142084</v>
      </c>
      <c r="U54" s="168">
        <f>SUMPRODUCT('Entradas de Cálculos'!$D$51:$D$62,'Entradas de Cálculos'!$D$64:$D$75)/SUM('Entradas de Cálculos'!$D$64:$D$75)</f>
        <v>0.47628387978142084</v>
      </c>
      <c r="V54" s="168">
        <f>SUMPRODUCT('Entradas de Cálculos'!$D$51:$D$62,'Entradas de Cálculos'!$D$64:$D$75)/SUM('Entradas de Cálculos'!$D$64:$D$75)</f>
        <v>0.47628387978142084</v>
      </c>
      <c r="W54" s="168">
        <f>SUMPRODUCT('Entradas de Cálculos'!$D$51:$D$62,'Entradas de Cálculos'!$D$64:$D$75)/SUM('Entradas de Cálculos'!$D$64:$D$75)</f>
        <v>0.47628387978142084</v>
      </c>
    </row>
    <row r="55" spans="1:23" ht="28.5">
      <c r="A55" s="37"/>
      <c r="B55" s="149" t="s">
        <v>252</v>
      </c>
      <c r="C55" s="168">
        <f>(C54*'Entradas de Cálculos'!$D$78)+('Entradas de Cálculos'!$D$84*'Entradas de Cálculos'!$D$81)</f>
        <v>0.31104193989071044</v>
      </c>
      <c r="D55" s="168">
        <f>(D54*'Entradas de Cálculos'!$D$78)+('Entradas de Cálculos'!$D$84*'Entradas de Cálculos'!$D$81)</f>
        <v>0.31104193989071044</v>
      </c>
      <c r="E55" s="168">
        <f>(E54*'Entradas de Cálculos'!$D$78)+('Entradas de Cálculos'!$D$84*'Entradas de Cálculos'!$D$81)</f>
        <v>0.31104193989071044</v>
      </c>
      <c r="F55" s="168">
        <f>(F54*'Entradas de Cálculos'!$D$78)+('Entradas de Cálculos'!$D$84*'Entradas de Cálculos'!$D$81)</f>
        <v>0.31104193989071044</v>
      </c>
      <c r="G55" s="168">
        <f>(G54*'Entradas de Cálculos'!$D$78)+('Entradas de Cálculos'!$D$84*'Entradas de Cálculos'!$D$81)</f>
        <v>0.31104193989071044</v>
      </c>
      <c r="H55" s="168">
        <f>(H54*'Entradas de Cálculos'!$D$78)+('Entradas de Cálculos'!$D$84*'Entradas de Cálculos'!$D$81)</f>
        <v>0.31104193989071044</v>
      </c>
      <c r="I55" s="168">
        <f>(I54*'Entradas de Cálculos'!$D$78)+('Entradas de Cálculos'!$D$84*'Entradas de Cálculos'!$D$81)</f>
        <v>0.31104193989071044</v>
      </c>
      <c r="J55" s="168">
        <f>(J54*'Entradas de Cálculos'!$D$79)+('Entradas de Cálculos'!$D$84*'Entradas de Cálculos'!$D$82)</f>
        <v>0.2284209699453552</v>
      </c>
      <c r="K55" s="168">
        <f>(K54*'Entradas de Cálculos'!$D$79)+('Entradas de Cálculos'!$D$84*'Entradas de Cálculos'!$D$82)</f>
        <v>0.2284209699453552</v>
      </c>
      <c r="L55" s="168">
        <f>(L54*'Entradas de Cálculos'!$D$79)+('Entradas de Cálculos'!$D$84*'Entradas de Cálculos'!$D$82)</f>
        <v>0.2284209699453552</v>
      </c>
      <c r="M55" s="168">
        <f>(M54*'Entradas de Cálculos'!$D$79)+('Entradas de Cálculos'!$D$84*'Entradas de Cálculos'!$D$82)</f>
        <v>0.2284209699453552</v>
      </c>
      <c r="N55" s="168">
        <f>(N54*'Entradas de Cálculos'!$D$79)+('Entradas de Cálculos'!$D$84*'Entradas de Cálculos'!$D$82)</f>
        <v>0.2284209699453552</v>
      </c>
      <c r="O55" s="168">
        <f>(O54*'Entradas de Cálculos'!$D$79)+('Entradas de Cálculos'!$D$84*'Entradas de Cálculos'!$D$82)</f>
        <v>0.2284209699453552</v>
      </c>
      <c r="P55" s="168">
        <f>(P54*'Entradas de Cálculos'!$D$79)+('Entradas de Cálculos'!$D$84*'Entradas de Cálculos'!$D$82)</f>
        <v>0.2284209699453552</v>
      </c>
      <c r="Q55" s="168">
        <f>(Q54*'Entradas de Cálculos'!$D$80)+('Entradas de Cálculos'!$D$84*'Entradas de Cálculos'!$D$83)</f>
        <v>0.2284209699453552</v>
      </c>
      <c r="R55" s="168">
        <f>(R54*'Entradas de Cálculos'!$D$80)+('Entradas de Cálculos'!$D$84*'Entradas de Cálculos'!$D$83)</f>
        <v>0.2284209699453552</v>
      </c>
      <c r="S55" s="168">
        <f>(S54*'Entradas de Cálculos'!$D$80)+('Entradas de Cálculos'!$D$84*'Entradas de Cálculos'!$D$83)</f>
        <v>0.2284209699453552</v>
      </c>
      <c r="T55" s="168">
        <f>(T54*'Entradas de Cálculos'!$D$80)+('Entradas de Cálculos'!$D$84*'Entradas de Cálculos'!$D$83)</f>
        <v>0.2284209699453552</v>
      </c>
      <c r="U55" s="168">
        <f>(U54*'Entradas de Cálculos'!$D$80)+('Entradas de Cálculos'!$D$84*'Entradas de Cálculos'!$D$83)</f>
        <v>0.2284209699453552</v>
      </c>
      <c r="V55" s="168">
        <f>(V54*'Entradas de Cálculos'!$D$80)+('Entradas de Cálculos'!$D$84*'Entradas de Cálculos'!$D$83)</f>
        <v>0.2284209699453552</v>
      </c>
      <c r="W55" s="168">
        <f>(W54*'Entradas de Cálculos'!$D$80)+('Entradas de Cálculos'!$D$84*'Entradas de Cálculos'!$D$83)</f>
        <v>0.2284209699453552</v>
      </c>
    </row>
    <row r="56" spans="1:23" ht="28.5">
      <c r="A56" s="37"/>
      <c r="B56" s="149" t="s">
        <v>251</v>
      </c>
      <c r="C56" s="169">
        <f>C53*C55*'Entradas de Cálculos'!$D$91</f>
        <v>0</v>
      </c>
      <c r="D56" s="169">
        <f>D53*D55*'Entradas de Cálculos'!$D$91</f>
        <v>0</v>
      </c>
      <c r="E56" s="169">
        <f>E53*E55*'Entradas de Cálculos'!$D$91</f>
        <v>0</v>
      </c>
      <c r="F56" s="169">
        <f>F53*F55*'Entradas de Cálculos'!$D$91</f>
        <v>0</v>
      </c>
      <c r="G56" s="169">
        <f>G53*G55*'Entradas de Cálculos'!$D$91</f>
        <v>0</v>
      </c>
      <c r="H56" s="169">
        <f>H53*H55*'Entradas de Cálculos'!$D$91</f>
        <v>0</v>
      </c>
      <c r="I56" s="169">
        <f>I53*I55*'Entradas de Cálculos'!$D$91</f>
        <v>0</v>
      </c>
      <c r="J56" s="169">
        <f>J53*J55*'Entradas de Cálculos'!$D$91</f>
        <v>0</v>
      </c>
      <c r="K56" s="169">
        <f>K53*K55*'Entradas de Cálculos'!$D$91</f>
        <v>0</v>
      </c>
      <c r="L56" s="169">
        <f>L53*L55*'Entradas de Cálculos'!$D$91</f>
        <v>0</v>
      </c>
      <c r="M56" s="169">
        <f>M53*M55*'Entradas de Cálculos'!$D$91</f>
        <v>0</v>
      </c>
      <c r="N56" s="169">
        <f>N53*N55*'Entradas de Cálculos'!$D$91</f>
        <v>0</v>
      </c>
      <c r="O56" s="169">
        <f>O53*O55*'Entradas de Cálculos'!$D$91</f>
        <v>0</v>
      </c>
      <c r="P56" s="169">
        <f>P53*P55*'Entradas de Cálculos'!$D$91</f>
        <v>0</v>
      </c>
      <c r="Q56" s="169">
        <f>Q53*Q55*'Entradas de Cálculos'!$D$91</f>
        <v>0</v>
      </c>
      <c r="R56" s="169">
        <f>R53*R55*'Entradas de Cálculos'!$D$91</f>
        <v>0</v>
      </c>
      <c r="S56" s="169">
        <f>S53*S55*'Entradas de Cálculos'!$D$91</f>
        <v>0</v>
      </c>
      <c r="T56" s="169">
        <f>T53*T55*'Entradas de Cálculos'!$D$91</f>
        <v>0</v>
      </c>
      <c r="U56" s="169">
        <f>U53*U55*'Entradas de Cálculos'!$D$91</f>
        <v>0</v>
      </c>
      <c r="V56" s="169">
        <f>V53*V55*'Entradas de Cálculos'!$D$91</f>
        <v>0</v>
      </c>
      <c r="W56" s="169">
        <f>W53*W55*'Entradas de Cálculos'!$D$91</f>
        <v>0</v>
      </c>
    </row>
    <row r="57" spans="1:23" ht="14.25">
      <c r="A57" s="37"/>
      <c r="B57" s="149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1" thickBot="1">
      <c r="A58" s="376" t="s">
        <v>254</v>
      </c>
      <c r="B58" s="377"/>
      <c r="C58" s="377"/>
      <c r="D58" s="377"/>
      <c r="E58" s="377"/>
      <c r="F58" s="377"/>
      <c r="G58" s="377"/>
      <c r="H58" s="377"/>
      <c r="I58" s="377"/>
      <c r="J58" s="377"/>
      <c r="K58" s="377"/>
      <c r="L58" s="377"/>
      <c r="M58" s="377"/>
      <c r="N58" s="377"/>
      <c r="O58" s="377"/>
      <c r="P58" s="377"/>
      <c r="Q58" s="377"/>
      <c r="R58" s="377"/>
      <c r="S58" s="377"/>
      <c r="T58" s="377"/>
      <c r="U58" s="377"/>
      <c r="V58" s="377"/>
      <c r="W58" s="378"/>
    </row>
    <row r="59" spans="1:23" ht="42.75">
      <c r="A59" s="151"/>
      <c r="B59" s="170" t="s">
        <v>255</v>
      </c>
      <c r="C59" s="167">
        <f>'Modelo de Tecnologia'!C36*'Entradas de Cálculos'!$D$25/'Entradas de Cálculos'!$D$32/'Entradas de Cálculos'!$D$24</f>
        <v>0</v>
      </c>
      <c r="D59" s="167">
        <f>'Modelo de Tecnologia'!D36*'Entradas de Cálculos'!$D$25/'Entradas de Cálculos'!$D$32/'Entradas de Cálculos'!$D$24</f>
        <v>0</v>
      </c>
      <c r="E59" s="167">
        <f>'Modelo de Tecnologia'!E36*'Entradas de Cálculos'!$D$25/'Entradas de Cálculos'!$D$32/'Entradas de Cálculos'!$D$24</f>
        <v>0</v>
      </c>
      <c r="F59" s="167">
        <f>'Modelo de Tecnologia'!F36*'Entradas de Cálculos'!$D$25/'Entradas de Cálculos'!$D$32/'Entradas de Cálculos'!$D$24</f>
        <v>0</v>
      </c>
      <c r="G59" s="167">
        <f>'Modelo de Tecnologia'!G36*'Entradas de Cálculos'!$D$25/'Entradas de Cálculos'!$D$32/'Entradas de Cálculos'!$D$24</f>
        <v>0</v>
      </c>
      <c r="H59" s="167">
        <f>'Modelo de Tecnologia'!H36*'Entradas de Cálculos'!$D$25/'Entradas de Cálculos'!$D$32/'Entradas de Cálculos'!$D$24</f>
        <v>0</v>
      </c>
      <c r="I59" s="167">
        <f>'Modelo de Tecnologia'!I36*'Entradas de Cálculos'!$D$25/'Entradas de Cálculos'!$D$32/'Entradas de Cálculos'!$D$24</f>
        <v>0</v>
      </c>
      <c r="J59" s="167">
        <f>'Modelo de Tecnologia'!J36*'Entradas de Cálculos'!$D$25/'Entradas de Cálculos'!$D$32/'Entradas de Cálculos'!$D$24</f>
        <v>0</v>
      </c>
      <c r="K59" s="167">
        <f>'Modelo de Tecnologia'!K36*'Entradas de Cálculos'!$D$25/'Entradas de Cálculos'!$D$32/'Entradas de Cálculos'!$D$24</f>
        <v>0</v>
      </c>
      <c r="L59" s="167">
        <f>'Modelo de Tecnologia'!L36*'Entradas de Cálculos'!$D$25/'Entradas de Cálculos'!$D$32/'Entradas de Cálculos'!$D$24</f>
        <v>0</v>
      </c>
      <c r="M59" s="167">
        <f>'Modelo de Tecnologia'!M36*'Entradas de Cálculos'!$D$25/'Entradas de Cálculos'!$D$32/'Entradas de Cálculos'!$D$24</f>
        <v>0</v>
      </c>
      <c r="N59" s="167">
        <f>'Modelo de Tecnologia'!N36*'Entradas de Cálculos'!$D$25/'Entradas de Cálculos'!$D$32/'Entradas de Cálculos'!$D$24</f>
        <v>0</v>
      </c>
      <c r="O59" s="167">
        <f>'Modelo de Tecnologia'!O36*'Entradas de Cálculos'!$D$25/'Entradas de Cálculos'!$D$32/'Entradas de Cálculos'!$D$24</f>
        <v>0</v>
      </c>
      <c r="P59" s="167">
        <f>'Modelo de Tecnologia'!P36*'Entradas de Cálculos'!$D$25/'Entradas de Cálculos'!$D$32/'Entradas de Cálculos'!$D$24</f>
        <v>0</v>
      </c>
      <c r="Q59" s="167">
        <f>'Modelo de Tecnologia'!Q36*'Entradas de Cálculos'!$D$25/'Entradas de Cálculos'!$D$32/'Entradas de Cálculos'!$D$24</f>
        <v>0</v>
      </c>
      <c r="R59" s="167">
        <f>'Modelo de Tecnologia'!R36*'Entradas de Cálculos'!$D$25/'Entradas de Cálculos'!$D$32/'Entradas de Cálculos'!$D$24</f>
        <v>0</v>
      </c>
      <c r="S59" s="167">
        <f>'Modelo de Tecnologia'!S36*'Entradas de Cálculos'!$D$25/'Entradas de Cálculos'!$D$32/'Entradas de Cálculos'!$D$24</f>
        <v>0</v>
      </c>
      <c r="T59" s="167">
        <f>'Modelo de Tecnologia'!T36*'Entradas de Cálculos'!$D$25/'Entradas de Cálculos'!$D$32/'Entradas de Cálculos'!$D$24</f>
        <v>0</v>
      </c>
      <c r="U59" s="167">
        <f>'Modelo de Tecnologia'!U36*'Entradas de Cálculos'!$D$25/'Entradas de Cálculos'!$D$32/'Entradas de Cálculos'!$D$24</f>
        <v>0</v>
      </c>
      <c r="V59" s="167">
        <f>'Modelo de Tecnologia'!V36*'Entradas de Cálculos'!$D$25/'Entradas de Cálculos'!$D$32/'Entradas de Cálculos'!$D$24</f>
        <v>0</v>
      </c>
      <c r="W59" s="167">
        <f>'Modelo de Tecnologia'!W36*'Entradas de Cálculos'!$D$25/'Entradas de Cálculos'!$D$32/'Entradas de Cálculos'!$D$24</f>
        <v>0</v>
      </c>
    </row>
    <row r="60" spans="1:23" ht="42.75">
      <c r="A60" s="151"/>
      <c r="B60" s="170" t="s">
        <v>256</v>
      </c>
      <c r="C60" s="167">
        <f>'Modelo de Tecnologia'!C33*'Entradas de Cálculos'!$D$25/'Entradas de Cálculos'!$D$32/'Entradas de Cálculos'!$D$24</f>
        <v>0</v>
      </c>
      <c r="D60" s="167">
        <f>'Modelo de Tecnologia'!D33*'Entradas de Cálculos'!$D$25/'Entradas de Cálculos'!$D$32/'Entradas de Cálculos'!$D$24</f>
        <v>0</v>
      </c>
      <c r="E60" s="167">
        <f>'Modelo de Tecnologia'!E33*'Entradas de Cálculos'!$D$25/'Entradas de Cálculos'!$D$32/'Entradas de Cálculos'!$D$24</f>
        <v>0</v>
      </c>
      <c r="F60" s="167">
        <f>'Modelo de Tecnologia'!F33*'Entradas de Cálculos'!$D$25/'Entradas de Cálculos'!$D$32/'Entradas de Cálculos'!$D$24</f>
        <v>0</v>
      </c>
      <c r="G60" s="167">
        <f>'Modelo de Tecnologia'!G33*'Entradas de Cálculos'!$D$25/'Entradas de Cálculos'!$D$32/'Entradas de Cálculos'!$D$24</f>
        <v>0</v>
      </c>
      <c r="H60" s="167">
        <f>'Modelo de Tecnologia'!H33*'Entradas de Cálculos'!$D$25/'Entradas de Cálculos'!$D$32/'Entradas de Cálculos'!$D$24</f>
        <v>0</v>
      </c>
      <c r="I60" s="167">
        <f>'Modelo de Tecnologia'!I33*'Entradas de Cálculos'!$D$25/'Entradas de Cálculos'!$D$32/'Entradas de Cálculos'!$D$24</f>
        <v>0</v>
      </c>
      <c r="J60" s="167">
        <f>'Modelo de Tecnologia'!J33*'Entradas de Cálculos'!$D$25/'Entradas de Cálculos'!$D$32/'Entradas de Cálculos'!$D$24</f>
        <v>0</v>
      </c>
      <c r="K60" s="167">
        <f>'Modelo de Tecnologia'!K33*'Entradas de Cálculos'!$D$25/'Entradas de Cálculos'!$D$32/'Entradas de Cálculos'!$D$24</f>
        <v>0</v>
      </c>
      <c r="L60" s="167">
        <f>'Modelo de Tecnologia'!L33*'Entradas de Cálculos'!$D$25/'Entradas de Cálculos'!$D$32/'Entradas de Cálculos'!$D$24</f>
        <v>0</v>
      </c>
      <c r="M60" s="167">
        <f>'Modelo de Tecnologia'!M33*'Entradas de Cálculos'!$D$25/'Entradas de Cálculos'!$D$32/'Entradas de Cálculos'!$D$24</f>
        <v>0</v>
      </c>
      <c r="N60" s="167">
        <f>'Modelo de Tecnologia'!N33*'Entradas de Cálculos'!$D$25/'Entradas de Cálculos'!$D$32/'Entradas de Cálculos'!$D$24</f>
        <v>0</v>
      </c>
      <c r="O60" s="167">
        <f>'Modelo de Tecnologia'!O33*'Entradas de Cálculos'!$D$25/'Entradas de Cálculos'!$D$32/'Entradas de Cálculos'!$D$24</f>
        <v>0</v>
      </c>
      <c r="P60" s="167">
        <f>'Modelo de Tecnologia'!P33*'Entradas de Cálculos'!$D$25/'Entradas de Cálculos'!$D$32/'Entradas de Cálculos'!$D$24</f>
        <v>0</v>
      </c>
      <c r="Q60" s="167">
        <f>'Modelo de Tecnologia'!Q33*'Entradas de Cálculos'!$D$25/'Entradas de Cálculos'!$D$32/'Entradas de Cálculos'!$D$24</f>
        <v>0</v>
      </c>
      <c r="R60" s="167">
        <f>'Modelo de Tecnologia'!R33*'Entradas de Cálculos'!$D$25/'Entradas de Cálculos'!$D$32/'Entradas de Cálculos'!$D$24</f>
        <v>0</v>
      </c>
      <c r="S60" s="167">
        <f>'Modelo de Tecnologia'!S33*'Entradas de Cálculos'!$D$25/'Entradas de Cálculos'!$D$32/'Entradas de Cálculos'!$D$24</f>
        <v>0</v>
      </c>
      <c r="T60" s="167">
        <f>'Modelo de Tecnologia'!T33*'Entradas de Cálculos'!$D$25/'Entradas de Cálculos'!$D$32/'Entradas de Cálculos'!$D$24</f>
        <v>0</v>
      </c>
      <c r="U60" s="167">
        <f>'Modelo de Tecnologia'!U33*'Entradas de Cálculos'!$D$25/'Entradas de Cálculos'!$D$32/'Entradas de Cálculos'!$D$24</f>
        <v>0</v>
      </c>
      <c r="V60" s="167">
        <f>'Modelo de Tecnologia'!V33*'Entradas de Cálculos'!$D$25/'Entradas de Cálculos'!$D$32/'Entradas de Cálculos'!$D$24</f>
        <v>0</v>
      </c>
      <c r="W60" s="167">
        <f>'Modelo de Tecnologia'!W33*'Entradas de Cálculos'!$D$25/'Entradas de Cálculos'!$D$32/'Entradas de Cálculos'!$D$24</f>
        <v>0</v>
      </c>
    </row>
    <row r="61" spans="1:23" ht="42.75">
      <c r="A61" s="37"/>
      <c r="B61" s="170" t="s">
        <v>257</v>
      </c>
      <c r="C61" s="167">
        <f>'Modelo de Tecnologia'!C31*(1-'Entradas de Cálculos'!$D$87)*'Entradas de Cálculos'!$D$47*'Entradas de Cálculos'!$D$49*'Entradas de Cálculos'!$D$48</f>
        <v>0</v>
      </c>
      <c r="D61" s="167">
        <f>'Modelo de Tecnologia'!D31*(1-'Entradas de Cálculos'!$D$87)*'Entradas de Cálculos'!$D$47*'Entradas de Cálculos'!$D$49*'Entradas de Cálculos'!$D$48</f>
        <v>0</v>
      </c>
      <c r="E61" s="167">
        <f>'Modelo de Tecnologia'!E31*(1-'Entradas de Cálculos'!$D$87)*'Entradas de Cálculos'!$D$47*'Entradas de Cálculos'!$D$49*'Entradas de Cálculos'!$D$48</f>
        <v>0</v>
      </c>
      <c r="F61" s="167">
        <f>'Modelo de Tecnologia'!F31*(1-'Entradas de Cálculos'!$D$87)*'Entradas de Cálculos'!$D$47*'Entradas de Cálculos'!$D$49*'Entradas de Cálculos'!$D$48</f>
        <v>0</v>
      </c>
      <c r="G61" s="167">
        <f>'Modelo de Tecnologia'!G31*(1-'Entradas de Cálculos'!$D$87)*'Entradas de Cálculos'!$D$47*'Entradas de Cálculos'!$D$49*'Entradas de Cálculos'!$D$48</f>
        <v>0</v>
      </c>
      <c r="H61" s="167">
        <f>'Modelo de Tecnologia'!H31*(1-'Entradas de Cálculos'!$D$87)*'Entradas de Cálculos'!$D$47*'Entradas de Cálculos'!$D$49*'Entradas de Cálculos'!$D$48</f>
        <v>0</v>
      </c>
      <c r="I61" s="167">
        <f>'Modelo de Tecnologia'!I31*(1-'Entradas de Cálculos'!$D$87)*'Entradas de Cálculos'!$D$47*'Entradas de Cálculos'!$D$49*'Entradas de Cálculos'!$D$48</f>
        <v>0</v>
      </c>
      <c r="J61" s="167">
        <f>'Modelo de Tecnologia'!J31*(1-'Entradas de Cálculos'!$D$87)*'Entradas de Cálculos'!$D$47*'Entradas de Cálculos'!$D$49*'Entradas de Cálculos'!$D$48</f>
        <v>0</v>
      </c>
      <c r="K61" s="167">
        <f>'Modelo de Tecnologia'!K31*(1-'Entradas de Cálculos'!$D$87)*'Entradas de Cálculos'!$D$47*'Entradas de Cálculos'!$D$49*'Entradas de Cálculos'!$D$48</f>
        <v>0</v>
      </c>
      <c r="L61" s="167">
        <f>'Modelo de Tecnologia'!L31*(1-'Entradas de Cálculos'!$D$87)*'Entradas de Cálculos'!$D$47*'Entradas de Cálculos'!$D$49*'Entradas de Cálculos'!$D$48</f>
        <v>0</v>
      </c>
      <c r="M61" s="167">
        <f>'Modelo de Tecnologia'!M31*(1-'Entradas de Cálculos'!$D$87)*'Entradas de Cálculos'!$D$47*'Entradas de Cálculos'!$D$49*'Entradas de Cálculos'!$D$48</f>
        <v>0</v>
      </c>
      <c r="N61" s="167">
        <f>'Modelo de Tecnologia'!N31*(1-'Entradas de Cálculos'!$D$87)*'Entradas de Cálculos'!$D$47*'Entradas de Cálculos'!$D$49*'Entradas de Cálculos'!$D$48</f>
        <v>0</v>
      </c>
      <c r="O61" s="167">
        <f>'Modelo de Tecnologia'!O31*(1-'Entradas de Cálculos'!$D$87)*'Entradas de Cálculos'!$D$47*'Entradas de Cálculos'!$D$49*'Entradas de Cálculos'!$D$48</f>
        <v>0</v>
      </c>
      <c r="P61" s="167">
        <f>'Modelo de Tecnologia'!P31*(1-'Entradas de Cálculos'!$D$87)*'Entradas de Cálculos'!$D$47*'Entradas de Cálculos'!$D$49*'Entradas de Cálculos'!$D$48</f>
        <v>0</v>
      </c>
      <c r="Q61" s="167">
        <f>'Modelo de Tecnologia'!Q31*(1-'Entradas de Cálculos'!$D$87)*'Entradas de Cálculos'!$D$47*'Entradas de Cálculos'!$D$49*'Entradas de Cálculos'!$D$48</f>
        <v>0</v>
      </c>
      <c r="R61" s="167">
        <f>'Modelo de Tecnologia'!R31*(1-'Entradas de Cálculos'!$D$87)*'Entradas de Cálculos'!$D$47*'Entradas de Cálculos'!$D$49*'Entradas de Cálculos'!$D$48</f>
        <v>0</v>
      </c>
      <c r="S61" s="167">
        <f>'Modelo de Tecnologia'!S31*(1-'Entradas de Cálculos'!$D$87)*'Entradas de Cálculos'!$D$47*'Entradas de Cálculos'!$D$49*'Entradas de Cálculos'!$D$48</f>
        <v>0</v>
      </c>
      <c r="T61" s="167">
        <f>'Modelo de Tecnologia'!T31*(1-'Entradas de Cálculos'!$D$87)*'Entradas de Cálculos'!$D$47*'Entradas de Cálculos'!$D$49*'Entradas de Cálculos'!$D$48</f>
        <v>0</v>
      </c>
      <c r="U61" s="167">
        <f>'Modelo de Tecnologia'!U31*(1-'Entradas de Cálculos'!$D$87)*'Entradas de Cálculos'!$D$47*'Entradas de Cálculos'!$D$49*'Entradas de Cálculos'!$D$48</f>
        <v>0</v>
      </c>
      <c r="V61" s="167">
        <f>'Modelo de Tecnologia'!V31*(1-'Entradas de Cálculos'!$D$87)*'Entradas de Cálculos'!$D$47*'Entradas de Cálculos'!$D$49*'Entradas de Cálculos'!$D$48</f>
        <v>0</v>
      </c>
      <c r="W61" s="167">
        <f>'Modelo de Tecnologia'!W31*(1-'Entradas de Cálculos'!$D$87)*'Entradas de Cálculos'!$D$47*'Entradas de Cálculos'!$D$49*'Entradas de Cálculos'!$D$48</f>
        <v>0</v>
      </c>
    </row>
    <row r="62" spans="1:23" ht="42.75">
      <c r="A62" s="37"/>
      <c r="B62" s="170" t="s">
        <v>258</v>
      </c>
      <c r="C62" s="167">
        <f>'Modelo de Tecnologia'!C36*'Entradas de Cálculos'!$D$25*(1-'Entradas de Cálculos'!$D$87)*'Entradas de Cálculos'!$D$47*'Entradas de Cálculos'!$D$49*'Entradas de Cálculos'!$D$48</f>
        <v>0</v>
      </c>
      <c r="D62" s="167">
        <f>'Modelo de Tecnologia'!D36*'Entradas de Cálculos'!$D$25*(1-'Entradas de Cálculos'!$D$87)*'Entradas de Cálculos'!$D$47*'Entradas de Cálculos'!$D$49*'Entradas de Cálculos'!$D$48</f>
        <v>0</v>
      </c>
      <c r="E62" s="167">
        <f>'Modelo de Tecnologia'!E36*'Entradas de Cálculos'!$D$25*(1-'Entradas de Cálculos'!$D$87)*'Entradas de Cálculos'!$D$47*'Entradas de Cálculos'!$D$49*'Entradas de Cálculos'!$D$48</f>
        <v>0</v>
      </c>
      <c r="F62" s="167">
        <f>'Modelo de Tecnologia'!F36*'Entradas de Cálculos'!$D$25*(1-'Entradas de Cálculos'!$D$87)*'Entradas de Cálculos'!$D$47*'Entradas de Cálculos'!$D$49*'Entradas de Cálculos'!$D$48</f>
        <v>0</v>
      </c>
      <c r="G62" s="167">
        <f>'Modelo de Tecnologia'!G36*'Entradas de Cálculos'!$D$25*(1-'Entradas de Cálculos'!$D$87)*'Entradas de Cálculos'!$D$47*'Entradas de Cálculos'!$D$49*'Entradas de Cálculos'!$D$48</f>
        <v>0</v>
      </c>
      <c r="H62" s="167">
        <f>'Modelo de Tecnologia'!H36*'Entradas de Cálculos'!$D$25*(1-'Entradas de Cálculos'!$D$87)*'Entradas de Cálculos'!$D$47*'Entradas de Cálculos'!$D$49*'Entradas de Cálculos'!$D$48</f>
        <v>0</v>
      </c>
      <c r="I62" s="167">
        <f>'Modelo de Tecnologia'!I36*'Entradas de Cálculos'!$D$25*(1-'Entradas de Cálculos'!$D$87)*'Entradas de Cálculos'!$D$47*'Entradas de Cálculos'!$D$49*'Entradas de Cálculos'!$D$48</f>
        <v>0</v>
      </c>
      <c r="J62" s="167">
        <f>'Modelo de Tecnologia'!J36*'Entradas de Cálculos'!$D$25*(1-'Entradas de Cálculos'!$D$87)*'Entradas de Cálculos'!$D$47*'Entradas de Cálculos'!$D$49*'Entradas de Cálculos'!$D$48</f>
        <v>0</v>
      </c>
      <c r="K62" s="167">
        <f>'Modelo de Tecnologia'!K36*'Entradas de Cálculos'!$D$25*(1-'Entradas de Cálculos'!$D$87)*'Entradas de Cálculos'!$D$47*'Entradas de Cálculos'!$D$49*'Entradas de Cálculos'!$D$48</f>
        <v>0</v>
      </c>
      <c r="L62" s="167">
        <f>'Modelo de Tecnologia'!L36*'Entradas de Cálculos'!$D$25*(1-'Entradas de Cálculos'!$D$87)*'Entradas de Cálculos'!$D$47*'Entradas de Cálculos'!$D$49*'Entradas de Cálculos'!$D$48</f>
        <v>0</v>
      </c>
      <c r="M62" s="167">
        <f>'Modelo de Tecnologia'!M36*'Entradas de Cálculos'!$D$25*(1-'Entradas de Cálculos'!$D$87)*'Entradas de Cálculos'!$D$47*'Entradas de Cálculos'!$D$49*'Entradas de Cálculos'!$D$48</f>
        <v>0</v>
      </c>
      <c r="N62" s="167">
        <f>'Modelo de Tecnologia'!N36*'Entradas de Cálculos'!$D$25*(1-'Entradas de Cálculos'!$D$87)*'Entradas de Cálculos'!$D$47*'Entradas de Cálculos'!$D$49*'Entradas de Cálculos'!$D$48</f>
        <v>0</v>
      </c>
      <c r="O62" s="167">
        <f>'Modelo de Tecnologia'!O36*'Entradas de Cálculos'!$D$25*(1-'Entradas de Cálculos'!$D$87)*'Entradas de Cálculos'!$D$47*'Entradas de Cálculos'!$D$49*'Entradas de Cálculos'!$D$48</f>
        <v>0</v>
      </c>
      <c r="P62" s="167">
        <f>'Modelo de Tecnologia'!P36*'Entradas de Cálculos'!$D$25*(1-'Entradas de Cálculos'!$D$87)*'Entradas de Cálculos'!$D$47*'Entradas de Cálculos'!$D$49*'Entradas de Cálculos'!$D$48</f>
        <v>0</v>
      </c>
      <c r="Q62" s="167">
        <f>'Modelo de Tecnologia'!Q36*'Entradas de Cálculos'!$D$25*(1-'Entradas de Cálculos'!$D$87)*'Entradas de Cálculos'!$D$47*'Entradas de Cálculos'!$D$49*'Entradas de Cálculos'!$D$48</f>
        <v>0</v>
      </c>
      <c r="R62" s="167">
        <f>'Modelo de Tecnologia'!R36*'Entradas de Cálculos'!$D$25*(1-'Entradas de Cálculos'!$D$87)*'Entradas de Cálculos'!$D$47*'Entradas de Cálculos'!$D$49*'Entradas de Cálculos'!$D$48</f>
        <v>0</v>
      </c>
      <c r="S62" s="167">
        <f>'Modelo de Tecnologia'!S36*'Entradas de Cálculos'!$D$25*(1-'Entradas de Cálculos'!$D$87)*'Entradas de Cálculos'!$D$47*'Entradas de Cálculos'!$D$49*'Entradas de Cálculos'!$D$48</f>
        <v>0</v>
      </c>
      <c r="T62" s="167">
        <f>'Modelo de Tecnologia'!T36*'Entradas de Cálculos'!$D$25*(1-'Entradas de Cálculos'!$D$87)*'Entradas de Cálculos'!$D$47*'Entradas de Cálculos'!$D$49*'Entradas de Cálculos'!$D$48</f>
        <v>0</v>
      </c>
      <c r="U62" s="167">
        <f>'Modelo de Tecnologia'!U36*'Entradas de Cálculos'!$D$25*(1-'Entradas de Cálculos'!$D$87)*'Entradas de Cálculos'!$D$47*'Entradas de Cálculos'!$D$49*'Entradas de Cálculos'!$D$48</f>
        <v>0</v>
      </c>
      <c r="V62" s="167">
        <f>'Modelo de Tecnologia'!V36*'Entradas de Cálculos'!$D$25*(1-'Entradas de Cálculos'!$D$87)*'Entradas de Cálculos'!$D$47*'Entradas de Cálculos'!$D$49*'Entradas de Cálculos'!$D$48</f>
        <v>0</v>
      </c>
      <c r="W62" s="167">
        <f>'Modelo de Tecnologia'!W36*'Entradas de Cálculos'!$D$25*(1-'Entradas de Cálculos'!$D$87)*'Entradas de Cálculos'!$D$47*'Entradas de Cálculos'!$D$49*'Entradas de Cálculos'!$D$48</f>
        <v>0</v>
      </c>
    </row>
    <row r="63" spans="1:23" ht="14.25">
      <c r="A63" s="37"/>
      <c r="B63" s="14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21" thickBot="1">
      <c r="A64" s="376" t="s">
        <v>230</v>
      </c>
      <c r="B64" s="377"/>
      <c r="C64" s="377"/>
      <c r="D64" s="377"/>
      <c r="E64" s="377"/>
      <c r="F64" s="377"/>
      <c r="G64" s="377"/>
      <c r="H64" s="377"/>
      <c r="I64" s="377"/>
      <c r="J64" s="377"/>
      <c r="K64" s="377"/>
      <c r="L64" s="377"/>
      <c r="M64" s="377"/>
      <c r="N64" s="377"/>
      <c r="O64" s="377"/>
      <c r="P64" s="377"/>
      <c r="Q64" s="377"/>
      <c r="R64" s="377"/>
      <c r="S64" s="377"/>
      <c r="T64" s="377"/>
      <c r="U64" s="377"/>
      <c r="V64" s="377"/>
      <c r="W64" s="378"/>
    </row>
    <row r="65" spans="1:23" ht="14.25">
      <c r="A65" s="37"/>
      <c r="B65" s="1" t="s">
        <v>229</v>
      </c>
      <c r="C65" s="167">
        <f>C49-C50-C61</f>
        <v>0</v>
      </c>
      <c r="D65" s="167">
        <f aca="true" t="shared" si="6" ref="D65:W65">D49-D50-D61</f>
        <v>0</v>
      </c>
      <c r="E65" s="167">
        <f t="shared" si="6"/>
        <v>0</v>
      </c>
      <c r="F65" s="167">
        <f t="shared" si="6"/>
        <v>0</v>
      </c>
      <c r="G65" s="167">
        <f t="shared" si="6"/>
        <v>0</v>
      </c>
      <c r="H65" s="167">
        <f t="shared" si="6"/>
        <v>0</v>
      </c>
      <c r="I65" s="167">
        <f t="shared" si="6"/>
        <v>0</v>
      </c>
      <c r="J65" s="167">
        <f t="shared" si="6"/>
        <v>0</v>
      </c>
      <c r="K65" s="167">
        <f t="shared" si="6"/>
        <v>0</v>
      </c>
      <c r="L65" s="167">
        <f t="shared" si="6"/>
        <v>0</v>
      </c>
      <c r="M65" s="167">
        <f t="shared" si="6"/>
        <v>0</v>
      </c>
      <c r="N65" s="167">
        <f t="shared" si="6"/>
        <v>0</v>
      </c>
      <c r="O65" s="167">
        <f t="shared" si="6"/>
        <v>0</v>
      </c>
      <c r="P65" s="167">
        <f t="shared" si="6"/>
        <v>0</v>
      </c>
      <c r="Q65" s="167">
        <f t="shared" si="6"/>
        <v>0</v>
      </c>
      <c r="R65" s="167">
        <f t="shared" si="6"/>
        <v>0</v>
      </c>
      <c r="S65" s="167">
        <f t="shared" si="6"/>
        <v>0</v>
      </c>
      <c r="T65" s="167">
        <f t="shared" si="6"/>
        <v>0</v>
      </c>
      <c r="U65" s="167">
        <f t="shared" si="6"/>
        <v>0</v>
      </c>
      <c r="V65" s="167">
        <f t="shared" si="6"/>
        <v>0</v>
      </c>
      <c r="W65" s="167">
        <f t="shared" si="6"/>
        <v>0</v>
      </c>
    </row>
    <row r="66" spans="1:23" ht="14.25">
      <c r="A66" s="37"/>
      <c r="B66" s="1" t="s">
        <v>132</v>
      </c>
      <c r="C66" s="167">
        <f>C56+C49-C50-C62</f>
        <v>0</v>
      </c>
      <c r="D66" s="167">
        <f aca="true" t="shared" si="7" ref="D66:W66">D56+D49-D50-D62</f>
        <v>0</v>
      </c>
      <c r="E66" s="167">
        <f t="shared" si="7"/>
        <v>0</v>
      </c>
      <c r="F66" s="167">
        <f t="shared" si="7"/>
        <v>0</v>
      </c>
      <c r="G66" s="167">
        <f t="shared" si="7"/>
        <v>0</v>
      </c>
      <c r="H66" s="167">
        <f t="shared" si="7"/>
        <v>0</v>
      </c>
      <c r="I66" s="167">
        <f t="shared" si="7"/>
        <v>0</v>
      </c>
      <c r="J66" s="167">
        <f t="shared" si="7"/>
        <v>0</v>
      </c>
      <c r="K66" s="167">
        <f t="shared" si="7"/>
        <v>0</v>
      </c>
      <c r="L66" s="167">
        <f t="shared" si="7"/>
        <v>0</v>
      </c>
      <c r="M66" s="167">
        <f t="shared" si="7"/>
        <v>0</v>
      </c>
      <c r="N66" s="167">
        <f t="shared" si="7"/>
        <v>0</v>
      </c>
      <c r="O66" s="167">
        <f t="shared" si="7"/>
        <v>0</v>
      </c>
      <c r="P66" s="167">
        <f t="shared" si="7"/>
        <v>0</v>
      </c>
      <c r="Q66" s="167">
        <f t="shared" si="7"/>
        <v>0</v>
      </c>
      <c r="R66" s="167">
        <f t="shared" si="7"/>
        <v>0</v>
      </c>
      <c r="S66" s="167">
        <f t="shared" si="7"/>
        <v>0</v>
      </c>
      <c r="T66" s="167">
        <f t="shared" si="7"/>
        <v>0</v>
      </c>
      <c r="U66" s="167">
        <f t="shared" si="7"/>
        <v>0</v>
      </c>
      <c r="V66" s="167">
        <f t="shared" si="7"/>
        <v>0</v>
      </c>
      <c r="W66" s="167">
        <f t="shared" si="7"/>
        <v>0</v>
      </c>
    </row>
    <row r="67" spans="1:23" ht="15" thickBot="1">
      <c r="A67" s="31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</row>
  </sheetData>
  <sheetProtection password="E9AB" sheet="1"/>
  <mergeCells count="12">
    <mergeCell ref="A4:W4"/>
    <mergeCell ref="A15:W15"/>
    <mergeCell ref="A1:A2"/>
    <mergeCell ref="B1:B2"/>
    <mergeCell ref="C1:W1"/>
    <mergeCell ref="A3:W3"/>
    <mergeCell ref="A26:W26"/>
    <mergeCell ref="A37:W37"/>
    <mergeCell ref="A48:W48"/>
    <mergeCell ref="A64:W64"/>
    <mergeCell ref="A52:W52"/>
    <mergeCell ref="A58:W58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95"/>
  <sheetViews>
    <sheetView showGridLines="0" zoomScale="53" zoomScaleNormal="53" zoomScalePageLayoutView="0" workbookViewId="0" topLeftCell="A1">
      <pane ySplit="2" topLeftCell="A3" activePane="bottomLeft" state="frozen"/>
      <selection pane="topLeft" activeCell="B14" sqref="B14"/>
      <selection pane="bottomLeft" activeCell="J53" sqref="J53"/>
    </sheetView>
  </sheetViews>
  <sheetFormatPr defaultColWidth="9.140625" defaultRowHeight="15"/>
  <cols>
    <col min="1" max="1" width="10.00390625" style="0" customWidth="1"/>
    <col min="2" max="2" width="43.00390625" style="0" bestFit="1" customWidth="1"/>
    <col min="3" max="24" width="12.7109375" style="0" customWidth="1"/>
  </cols>
  <sheetData>
    <row r="1" spans="1:24" ht="14.25">
      <c r="A1" s="371" t="s">
        <v>47</v>
      </c>
      <c r="B1" s="369" t="s">
        <v>98</v>
      </c>
      <c r="C1" s="129"/>
      <c r="D1" s="367" t="s">
        <v>97</v>
      </c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8"/>
    </row>
    <row r="2" spans="1:24" ht="14.25">
      <c r="A2" s="372"/>
      <c r="B2" s="370"/>
      <c r="C2" s="8">
        <v>0</v>
      </c>
      <c r="D2" s="8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8">
        <v>16</v>
      </c>
      <c r="T2" s="8">
        <v>17</v>
      </c>
      <c r="U2" s="8">
        <v>18</v>
      </c>
      <c r="V2" s="8">
        <v>19</v>
      </c>
      <c r="W2" s="8">
        <v>20</v>
      </c>
      <c r="X2" s="12">
        <v>21</v>
      </c>
    </row>
    <row r="3" spans="1:24" ht="21" thickBot="1">
      <c r="A3" s="376" t="s">
        <v>124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8"/>
    </row>
    <row r="4" spans="2:24" ht="14.25">
      <c r="B4" t="s">
        <v>31</v>
      </c>
      <c r="C4" s="176">
        <f>IF('Modelo de Tecnologia'!C33=0,0,IF('Modelo de Tecnologia'!C38&lt;='Entradas de Cálculos'!$C$100,'Modelo de Tecnologia'!C38*'Entradas de Cálculos'!$D$100,IF('Modelo de Tecnologia'!C38&lt;='Entradas de Cálculos'!$C$101,'Modelo de Tecnologia'!C38*'Entradas de Cálculos'!$D$101,IF('Modelo de Tecnologia'!C38&lt;='Entradas de Cálculos'!$C$102,'Modelo de Tecnologia'!C38*'Entradas de Cálculos'!$D$102,IF('Modelo de Tecnologia'!C38&lt;='Entradas de Cálculos'!$C$103,'Modelo de Tecnologia'!C38*'Entradas de Cálculos'!$D$103,'Modelo de Tecnologia'!C38*100)))))</f>
        <v>0</v>
      </c>
      <c r="D4" s="176"/>
      <c r="E4" s="176"/>
      <c r="F4" s="176"/>
      <c r="G4" s="176"/>
      <c r="H4" s="176"/>
      <c r="I4" s="176"/>
      <c r="J4" s="176">
        <f>IF('Modelo de Tecnologia'!J38-'Modelo de Tecnologia'!I38=0,0,IF(('Modelo de Tecnologia'!J38-'Modelo de Tecnologia'!I38)&lt;='Entradas de Cálculos'!$C$100,('Modelo de Tecnologia'!J38-'Modelo de Tecnologia'!I38)*'Entradas de Cálculos'!$D$100,IF(('Modelo de Tecnologia'!J38-'Modelo de Tecnologia'!I38)&lt;='Entradas de Cálculos'!$C$101,('Modelo de Tecnologia'!J38-'Modelo de Tecnologia'!I38)*'Entradas de Cálculos'!$D$101,IF(('Modelo de Tecnologia'!J38-'Modelo de Tecnologia'!I38)&lt;='Entradas de Cálculos'!$C$102,('Modelo de Tecnologia'!J38-'Modelo de Tecnologia'!I38)*'Entradas de Cálculos'!$D$102,IF(('Modelo de Tecnologia'!J38-'Modelo de Tecnologia'!I38)&lt;='Entradas de Cálculos'!$C$103,('Modelo de Tecnologia'!J38-'Modelo de Tecnologia'!I38)*'Entradas de Cálculos'!$D$103,('Modelo de Tecnologia'!J38-'Modelo de Tecnologia'!I38)*100)))))*POWER(1+'Entradas de Cálculos'!$D$141,7)</f>
        <v>0</v>
      </c>
      <c r="K4" s="176"/>
      <c r="L4" s="176"/>
      <c r="M4" s="176"/>
      <c r="N4" s="176"/>
      <c r="O4" s="176"/>
      <c r="P4" s="176"/>
      <c r="Q4" s="176">
        <f>IF('Modelo de Tecnologia'!Q38-'Modelo de Tecnologia'!P38=0,0,IF(('Modelo de Tecnologia'!Q38-'Modelo de Tecnologia'!P38)&lt;='Entradas de Cálculos'!$C$100,('Modelo de Tecnologia'!Q38-'Modelo de Tecnologia'!P38)*'Entradas de Cálculos'!$D$100,IF(('Modelo de Tecnologia'!Q38-'Modelo de Tecnologia'!P38)&lt;='Entradas de Cálculos'!$C$101,('Modelo de Tecnologia'!Q38-'Modelo de Tecnologia'!P38)*'Entradas de Cálculos'!$D$101,IF(('Modelo de Tecnologia'!Q38-'Modelo de Tecnologia'!P38)&lt;='Entradas de Cálculos'!$C$102,('Modelo de Tecnologia'!Q38-'Modelo de Tecnologia'!P38)*'Entradas de Cálculos'!$D$102,IF(('Modelo de Tecnologia'!Q38-'Modelo de Tecnologia'!P38)&lt;='Entradas de Cálculos'!$C$103,('Modelo de Tecnologia'!Q38-'Modelo de Tecnologia'!P38)*'Entradas de Cálculos'!$D$103,('Modelo de Tecnologia'!Q38-'Modelo de Tecnologia'!P38)*100)))))*POWER(1+'Entradas de Cálculos'!$D$141,7)</f>
        <v>0</v>
      </c>
      <c r="R4" s="176"/>
      <c r="S4" s="176"/>
      <c r="T4" s="176"/>
      <c r="U4" s="176"/>
      <c r="V4" s="176"/>
      <c r="W4" s="176"/>
      <c r="X4" s="176"/>
    </row>
    <row r="5" spans="2:24" ht="14.25">
      <c r="B5" t="s">
        <v>125</v>
      </c>
      <c r="C5" s="176">
        <f>IF('Modelo de Tecnologia'!C41=0,0,'Modelo de Tecnologia'!C41*2690.5-19663)</f>
        <v>0</v>
      </c>
      <c r="D5" s="176">
        <f>IF('Modelo de Tecnologia'!D41&gt;'Modelo de Tecnologia'!C41,('Modelo de Tecnologia'!D41-'Modelo de Tecnologia'!C41)*2690.5-19663,0)*POWER(1+'Entradas de Cálculos'!$D$141,'Modelo Financeiro'!D2)</f>
        <v>0</v>
      </c>
      <c r="E5" s="176">
        <f>IF('Modelo de Tecnologia'!E41&gt;'Modelo de Tecnologia'!D41,('Modelo de Tecnologia'!E41-'Modelo de Tecnologia'!D41)*2690.5-19663,0)*POWER(1+'Entradas de Cálculos'!$D$141,'Modelo Financeiro'!E2)</f>
        <v>0</v>
      </c>
      <c r="F5" s="176">
        <f>IF('Modelo de Tecnologia'!F41&gt;'Modelo de Tecnologia'!E41,('Modelo de Tecnologia'!F41-'Modelo de Tecnologia'!E41)*2690.5-19663,0)*POWER(1+'Entradas de Cálculos'!$D$141,'Modelo Financeiro'!F2)</f>
        <v>0</v>
      </c>
      <c r="G5" s="176">
        <f>IF('Modelo de Tecnologia'!G41&gt;'Modelo de Tecnologia'!F41,('Modelo de Tecnologia'!G41-'Modelo de Tecnologia'!F41)*2690.5-19663,0)*POWER(1+'Entradas de Cálculos'!$D$141,'Modelo Financeiro'!G2)</f>
        <v>0</v>
      </c>
      <c r="H5" s="176">
        <f>IF('Modelo de Tecnologia'!H41&gt;'Modelo de Tecnologia'!G41,('Modelo de Tecnologia'!H41-'Modelo de Tecnologia'!G41)*2690.5-19663,0)*POWER(1+'Entradas de Cálculos'!$D$141,'Modelo Financeiro'!H2)</f>
        <v>0</v>
      </c>
      <c r="I5" s="176">
        <f>IF('Modelo de Tecnologia'!I41&gt;'Modelo de Tecnologia'!H41,('Modelo de Tecnologia'!I41-'Modelo de Tecnologia'!H41)*2690.5-19663,0)*POWER(1+'Entradas de Cálculos'!$D$141,'Modelo Financeiro'!I2)</f>
        <v>0</v>
      </c>
      <c r="J5" s="176">
        <f>IF('Modelo de Tecnologia'!J41&gt;'Modelo de Tecnologia'!I41,('Modelo de Tecnologia'!J41-'Modelo de Tecnologia'!I41)*2690.5-19663,0)*POWER(1+'Entradas de Cálculos'!$D$141,'Modelo Financeiro'!J2)</f>
        <v>0</v>
      </c>
      <c r="K5" s="176">
        <f>IF('Modelo de Tecnologia'!K41&gt;'Modelo de Tecnologia'!J41,('Modelo de Tecnologia'!K41-'Modelo de Tecnologia'!J41)*2690.5-19663,0)*POWER(1+'Entradas de Cálculos'!$D$141,'Modelo Financeiro'!K2)</f>
        <v>0</v>
      </c>
      <c r="L5" s="176">
        <f>IF('Modelo de Tecnologia'!L41&gt;'Modelo de Tecnologia'!K41,('Modelo de Tecnologia'!L41-'Modelo de Tecnologia'!K41)*2690.5-19663,0)*POWER(1+'Entradas de Cálculos'!$D$141,'Modelo Financeiro'!L2)</f>
        <v>0</v>
      </c>
      <c r="M5" s="176">
        <f>IF('Modelo de Tecnologia'!M41&gt;'Modelo de Tecnologia'!L41,('Modelo de Tecnologia'!M41-'Modelo de Tecnologia'!L41)*2690.5-19663,0)*POWER(1+'Entradas de Cálculos'!$D$141,'Modelo Financeiro'!M2)</f>
        <v>0</v>
      </c>
      <c r="N5" s="176">
        <f>IF('Modelo de Tecnologia'!N41&gt;'Modelo de Tecnologia'!M41,('Modelo de Tecnologia'!N41-'Modelo de Tecnologia'!M41)*2690.5-19663,0)*POWER(1+'Entradas de Cálculos'!$D$141,'Modelo Financeiro'!N2)</f>
        <v>0</v>
      </c>
      <c r="O5" s="176">
        <f>IF('Modelo de Tecnologia'!O41&gt;'Modelo de Tecnologia'!N41,('Modelo de Tecnologia'!O41-'Modelo de Tecnologia'!N41)*2690.5-19663,0)*POWER(1+'Entradas de Cálculos'!$D$141,'Modelo Financeiro'!O2)</f>
        <v>0</v>
      </c>
      <c r="P5" s="176">
        <f>IF('Modelo de Tecnologia'!P41&gt;'Modelo de Tecnologia'!O41,('Modelo de Tecnologia'!P41-'Modelo de Tecnologia'!O41)*2690.5-19663,0)*POWER(1+'Entradas de Cálculos'!$D$141,'Modelo Financeiro'!P2)</f>
        <v>0</v>
      </c>
      <c r="Q5" s="176">
        <f>IF('Modelo de Tecnologia'!Q41&gt;'Modelo de Tecnologia'!P41,('Modelo de Tecnologia'!Q41-'Modelo de Tecnologia'!P41)*2690.5-19663,0)*POWER(1+'Entradas de Cálculos'!$D$141,'Modelo Financeiro'!Q2)</f>
        <v>0</v>
      </c>
      <c r="R5" s="176">
        <f>IF('Modelo de Tecnologia'!R41&gt;'Modelo de Tecnologia'!Q41,('Modelo de Tecnologia'!R41-'Modelo de Tecnologia'!Q41)*2690.5-19663,0)*POWER(1+'Entradas de Cálculos'!$D$141,'Modelo Financeiro'!R2)</f>
        <v>0</v>
      </c>
      <c r="S5" s="176">
        <f>IF('Modelo de Tecnologia'!S41&gt;'Modelo de Tecnologia'!R41,('Modelo de Tecnologia'!S41-'Modelo de Tecnologia'!R41)*2690.5-19663,0)*POWER(1+'Entradas de Cálculos'!$D$141,'Modelo Financeiro'!S2)</f>
        <v>0</v>
      </c>
      <c r="T5" s="176">
        <f>IF('Modelo de Tecnologia'!T41&gt;'Modelo de Tecnologia'!S41,('Modelo de Tecnologia'!T41-'Modelo de Tecnologia'!S41)*2690.5-19663,0)*POWER(1+'Entradas de Cálculos'!$D$141,'Modelo Financeiro'!T2)</f>
        <v>0</v>
      </c>
      <c r="U5" s="176">
        <f>IF('Modelo de Tecnologia'!U41&gt;'Modelo de Tecnologia'!T41,('Modelo de Tecnologia'!U41-'Modelo de Tecnologia'!T41)*2690.5-19663,0)*POWER(1+'Entradas de Cálculos'!$D$141,'Modelo Financeiro'!U2)</f>
        <v>0</v>
      </c>
      <c r="V5" s="176">
        <f>IF('Modelo de Tecnologia'!V41&gt;'Modelo de Tecnologia'!U41,('Modelo de Tecnologia'!V41-'Modelo de Tecnologia'!U41)*2690.5-19663,0)*POWER(1+'Entradas de Cálculos'!$D$141,'Modelo Financeiro'!V2)</f>
        <v>0</v>
      </c>
      <c r="W5" s="176">
        <f>IF('Modelo de Tecnologia'!W41&gt;'Modelo de Tecnologia'!V41,('Modelo de Tecnologia'!W41-'Modelo de Tecnologia'!V41)*2690.5-19663,0)*POWER(1+'Entradas de Cálculos'!$D$141,'Modelo Financeiro'!W2)</f>
        <v>0</v>
      </c>
      <c r="X5" s="176">
        <f>IF('Modelo de Tecnologia'!X41&gt;'Modelo de Tecnologia'!W41,('Modelo de Tecnologia'!X41-'Modelo de Tecnologia'!W41)*2690.5-19663,0)*POWER(1+'Entradas de Cálculos'!$D$141,'Modelo Financeiro'!X2)</f>
        <v>0</v>
      </c>
    </row>
    <row r="6" spans="2:24" ht="14.25">
      <c r="B6" t="s">
        <v>126</v>
      </c>
      <c r="C6" s="176">
        <f>IF('Modelo de Tecnologia'!C43=0,0,'Modelo de Tecnologia'!C43*421.75+3443.95)</f>
        <v>0</v>
      </c>
      <c r="D6" s="176">
        <f>IF('Modelo de Tecnologia'!D43&gt;'Modelo de Tecnologia'!C43,('Modelo de Tecnologia'!D43-'Modelo de Tecnologia'!C43)*421.75+344395,0)*POWER(1+'Entradas de Cálculos'!$D$141,'Modelo Financeiro'!D2)</f>
        <v>0</v>
      </c>
      <c r="E6" s="176">
        <f>IF('Modelo de Tecnologia'!E43&gt;'Modelo de Tecnologia'!D43,('Modelo de Tecnologia'!E43-'Modelo de Tecnologia'!D43)*'Entradas de Cálculos'!$D$122,0)*POWER(1+'Entradas de Cálculos'!$D$141,'Modelo Financeiro'!E2)</f>
        <v>0</v>
      </c>
      <c r="F6" s="176">
        <f>IF('Modelo de Tecnologia'!F43&gt;'Modelo de Tecnologia'!E43,('Modelo de Tecnologia'!F43-'Modelo de Tecnologia'!E43)*'Entradas de Cálculos'!$D$122,0)*POWER(1+'Entradas de Cálculos'!$D$141,'Modelo Financeiro'!F2)</f>
        <v>0</v>
      </c>
      <c r="G6" s="176">
        <f>IF('Modelo de Tecnologia'!G43&gt;'Modelo de Tecnologia'!F43,('Modelo de Tecnologia'!G43-'Modelo de Tecnologia'!F43)*'Entradas de Cálculos'!$D$122,0)*POWER(1+'Entradas de Cálculos'!$D$141,'Modelo Financeiro'!G2)</f>
        <v>0</v>
      </c>
      <c r="H6" s="176">
        <f>IF('Modelo de Tecnologia'!H43&gt;'Modelo de Tecnologia'!G43,('Modelo de Tecnologia'!H43-'Modelo de Tecnologia'!G43)*'Entradas de Cálculos'!$D$122,0)*POWER(1+'Entradas de Cálculos'!$D$141,'Modelo Financeiro'!H2)</f>
        <v>0</v>
      </c>
      <c r="I6" s="176">
        <f>IF('Modelo de Tecnologia'!I43&gt;'Modelo de Tecnologia'!H43,('Modelo de Tecnologia'!I43-'Modelo de Tecnologia'!H43)*'Entradas de Cálculos'!$D$122,0)*POWER(1+'Entradas de Cálculos'!$D$141,'Modelo Financeiro'!I2)</f>
        <v>0</v>
      </c>
      <c r="J6" s="176">
        <f>IF('Modelo de Tecnologia'!J43&gt;'Modelo de Tecnologia'!I43,('Modelo de Tecnologia'!J43-'Modelo de Tecnologia'!I43)*'Entradas de Cálculos'!$D$122,0)*POWER(1+'Entradas de Cálculos'!$D$141,'Modelo Financeiro'!J2)</f>
        <v>0</v>
      </c>
      <c r="K6" s="176">
        <f>IF('Modelo de Tecnologia'!K43&gt;'Modelo de Tecnologia'!J43,('Modelo de Tecnologia'!K43-'Modelo de Tecnologia'!J43)*'Entradas de Cálculos'!$D$122,0)*POWER(1+'Entradas de Cálculos'!$D$141,'Modelo Financeiro'!K2)</f>
        <v>0</v>
      </c>
      <c r="L6" s="176">
        <f>IF('Modelo de Tecnologia'!L43&gt;'Modelo de Tecnologia'!K43,('Modelo de Tecnologia'!L43-'Modelo de Tecnologia'!K43)*'Entradas de Cálculos'!$D$122,0)*POWER(1+'Entradas de Cálculos'!$D$141,'Modelo Financeiro'!L2)</f>
        <v>0</v>
      </c>
      <c r="M6" s="176">
        <f>IF('Modelo de Tecnologia'!M43&gt;'Modelo de Tecnologia'!L43,('Modelo de Tecnologia'!M43-'Modelo de Tecnologia'!L43)*'Entradas de Cálculos'!$D$122,0)*POWER(1+'Entradas de Cálculos'!$D$141,'Modelo Financeiro'!M2)</f>
        <v>0</v>
      </c>
      <c r="N6" s="176">
        <f>IF('Modelo de Tecnologia'!N43&gt;'Modelo de Tecnologia'!M43,('Modelo de Tecnologia'!N43-'Modelo de Tecnologia'!M43)*'Entradas de Cálculos'!$D$122,0)*POWER(1+'Entradas de Cálculos'!$D$141,'Modelo Financeiro'!N2)</f>
        <v>0</v>
      </c>
      <c r="O6" s="176">
        <f>IF('Modelo de Tecnologia'!O43&gt;'Modelo de Tecnologia'!N43,('Modelo de Tecnologia'!O43-'Modelo de Tecnologia'!N43)*'Entradas de Cálculos'!$D$122,0)*POWER(1+'Entradas de Cálculos'!$D$141,'Modelo Financeiro'!O2)</f>
        <v>0</v>
      </c>
      <c r="P6" s="176">
        <f>IF('Modelo de Tecnologia'!P43&gt;'Modelo de Tecnologia'!O43,('Modelo de Tecnologia'!P43-'Modelo de Tecnologia'!O43)*'Entradas de Cálculos'!$D$122,0)*POWER(1+'Entradas de Cálculos'!$D$141,'Modelo Financeiro'!P2)</f>
        <v>0</v>
      </c>
      <c r="Q6" s="176">
        <f>IF('Modelo de Tecnologia'!Q43&gt;'Modelo de Tecnologia'!P43,('Modelo de Tecnologia'!Q43-'Modelo de Tecnologia'!P43)*'Entradas de Cálculos'!$D$122,0)*POWER(1+'Entradas de Cálculos'!$D$141,'Modelo Financeiro'!Q2)</f>
        <v>0</v>
      </c>
      <c r="R6" s="176">
        <f>IF('Modelo de Tecnologia'!R43&gt;'Modelo de Tecnologia'!Q43,('Modelo de Tecnologia'!R43-'Modelo de Tecnologia'!Q43)*'Entradas de Cálculos'!$D$122,0)*POWER(1+'Entradas de Cálculos'!$D$141,'Modelo Financeiro'!R2)</f>
        <v>0</v>
      </c>
      <c r="S6" s="176">
        <f>IF('Modelo de Tecnologia'!S43&gt;'Modelo de Tecnologia'!R43,('Modelo de Tecnologia'!S43-'Modelo de Tecnologia'!R43)*'Entradas de Cálculos'!$D$122,0)*POWER(1+'Entradas de Cálculos'!$D$141,'Modelo Financeiro'!S2)</f>
        <v>0</v>
      </c>
      <c r="T6" s="176">
        <f>IF('Modelo de Tecnologia'!T43&gt;'Modelo de Tecnologia'!S43,('Modelo de Tecnologia'!T43-'Modelo de Tecnologia'!S43)*'Entradas de Cálculos'!$D$122,0)*POWER(1+'Entradas de Cálculos'!$D$141,'Modelo Financeiro'!T2)</f>
        <v>0</v>
      </c>
      <c r="U6" s="176">
        <f>IF('Modelo de Tecnologia'!U43&gt;'Modelo de Tecnologia'!T43,('Modelo de Tecnologia'!U43-'Modelo de Tecnologia'!T43)*'Entradas de Cálculos'!$D$122,0)*POWER(1+'Entradas de Cálculos'!$D$141,'Modelo Financeiro'!U2)</f>
        <v>0</v>
      </c>
      <c r="V6" s="176">
        <f>IF('Modelo de Tecnologia'!V43&gt;'Modelo de Tecnologia'!U43,('Modelo de Tecnologia'!V43-'Modelo de Tecnologia'!U43)*'Entradas de Cálculos'!$D$122,0)*POWER(1+'Entradas de Cálculos'!$D$141,'Modelo Financeiro'!V2)</f>
        <v>0</v>
      </c>
      <c r="W6" s="176">
        <f>IF('Modelo de Tecnologia'!W43&gt;'Modelo de Tecnologia'!V43,('Modelo de Tecnologia'!W43-'Modelo de Tecnologia'!V43)*'Entradas de Cálculos'!$D$122,0)*POWER(1+'Entradas de Cálculos'!$D$141,'Modelo Financeiro'!W2)</f>
        <v>0</v>
      </c>
      <c r="X6" s="176">
        <f>IF('Modelo de Tecnologia'!X43&gt;'Modelo de Tecnologia'!W43,('Modelo de Tecnologia'!X43-'Modelo de Tecnologia'!W43)*'Entradas de Cálculos'!$D$122,0)*POWER(1+'Entradas de Cálculos'!$D$141,'Modelo Financeiro'!X2)</f>
        <v>0</v>
      </c>
    </row>
    <row r="8" spans="1:24" ht="21" thickBot="1">
      <c r="A8" s="376" t="s">
        <v>127</v>
      </c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8"/>
    </row>
    <row r="9" spans="2:24" ht="14.25">
      <c r="B9" t="s">
        <v>128</v>
      </c>
      <c r="D9" s="176">
        <f>('Modelo de Tecnologia'!C34-'Modelo de Tecnologia'!C35)*'Entrada de Dados do Usuário'!$C$68*POWER(1+'Entradas de Cálculos'!$D$141,'Modelo Financeiro'!D2)</f>
        <v>0</v>
      </c>
      <c r="E9" s="176">
        <f>('Modelo de Tecnologia'!D34-'Modelo de Tecnologia'!D35)*'Entrada de Dados do Usuário'!$C$68*POWER(1+'Entradas de Cálculos'!$D$141,'Modelo Financeiro'!E2)</f>
        <v>0</v>
      </c>
      <c r="F9" s="176">
        <f>('Modelo de Tecnologia'!E34-'Modelo de Tecnologia'!E35)*'Entrada de Dados do Usuário'!$C$68*POWER(1+'Entradas de Cálculos'!$D$141,'Modelo Financeiro'!F2)</f>
        <v>0</v>
      </c>
      <c r="G9" s="176">
        <f>('Modelo de Tecnologia'!F34-'Modelo de Tecnologia'!F35)*'Entrada de Dados do Usuário'!$C$68*POWER(1+'Entradas de Cálculos'!$D$141,'Modelo Financeiro'!G2)</f>
        <v>0</v>
      </c>
      <c r="H9" s="176">
        <f>('Modelo de Tecnologia'!G34-'Modelo de Tecnologia'!G35)*'Entrada de Dados do Usuário'!$C$68*POWER(1+'Entradas de Cálculos'!$D$141,'Modelo Financeiro'!H2)</f>
        <v>0</v>
      </c>
      <c r="I9" s="176">
        <f>('Modelo de Tecnologia'!H34-'Modelo de Tecnologia'!H35)*'Entrada de Dados do Usuário'!$C$68*POWER(1+'Entradas de Cálculos'!$D$141,'Modelo Financeiro'!I2)</f>
        <v>0</v>
      </c>
      <c r="J9" s="176">
        <f>('Modelo de Tecnologia'!I34-'Modelo de Tecnologia'!I35)*'Entrada de Dados do Usuário'!$C$68*POWER(1+'Entradas de Cálculos'!$D$141,'Modelo Financeiro'!J2)</f>
        <v>0</v>
      </c>
      <c r="K9" s="176">
        <f>('Modelo de Tecnologia'!J34-'Modelo de Tecnologia'!J35)*'Entrada de Dados do Usuário'!$C$68*POWER(1+'Entradas de Cálculos'!$D$141,'Modelo Financeiro'!K2)</f>
        <v>0</v>
      </c>
      <c r="L9" s="176">
        <f>('Modelo de Tecnologia'!K34-'Modelo de Tecnologia'!K35)*'Entrada de Dados do Usuário'!$C$68*POWER(1+'Entradas de Cálculos'!$D$141,'Modelo Financeiro'!L2)</f>
        <v>0</v>
      </c>
      <c r="M9" s="176">
        <f>('Modelo de Tecnologia'!L34-'Modelo de Tecnologia'!L35)*'Entrada de Dados do Usuário'!$C$68*POWER(1+'Entradas de Cálculos'!$D$141,'Modelo Financeiro'!M2)</f>
        <v>0</v>
      </c>
      <c r="N9" s="176">
        <f>('Modelo de Tecnologia'!M34-'Modelo de Tecnologia'!M35)*'Entrada de Dados do Usuário'!$C$68*POWER(1+'Entradas de Cálculos'!$D$141,'Modelo Financeiro'!N2)</f>
        <v>0</v>
      </c>
      <c r="O9" s="176">
        <f>('Modelo de Tecnologia'!N34-'Modelo de Tecnologia'!N35)*'Entrada de Dados do Usuário'!$C$68*POWER(1+'Entradas de Cálculos'!$D$141,'Modelo Financeiro'!O2)</f>
        <v>0</v>
      </c>
      <c r="P9" s="176">
        <f>('Modelo de Tecnologia'!O34-'Modelo de Tecnologia'!O35)*'Entrada de Dados do Usuário'!$C$68*POWER(1+'Entradas de Cálculos'!$D$141,'Modelo Financeiro'!P2)</f>
        <v>0</v>
      </c>
      <c r="Q9" s="176">
        <f>('Modelo de Tecnologia'!P34-'Modelo de Tecnologia'!P35)*'Entrada de Dados do Usuário'!$C$68*POWER(1+'Entradas de Cálculos'!$D$141,'Modelo Financeiro'!Q2)</f>
        <v>0</v>
      </c>
      <c r="R9" s="176">
        <f>('Modelo de Tecnologia'!Q34-'Modelo de Tecnologia'!Q35)*'Entrada de Dados do Usuário'!$C$68*POWER(1+'Entradas de Cálculos'!$D$141,'Modelo Financeiro'!R2)</f>
        <v>0</v>
      </c>
      <c r="S9" s="176">
        <f>('Modelo de Tecnologia'!R34-'Modelo de Tecnologia'!R35)*'Entrada de Dados do Usuário'!$C$68*POWER(1+'Entradas de Cálculos'!$D$141,'Modelo Financeiro'!S2)</f>
        <v>0</v>
      </c>
      <c r="T9" s="176">
        <f>('Modelo de Tecnologia'!S34-'Modelo de Tecnologia'!S35)*'Entrada de Dados do Usuário'!$C$68*POWER(1+'Entradas de Cálculos'!$D$141,'Modelo Financeiro'!T2)</f>
        <v>0</v>
      </c>
      <c r="U9" s="176">
        <f>('Modelo de Tecnologia'!T34-'Modelo de Tecnologia'!T35)*'Entrada de Dados do Usuário'!$C$68*POWER(1+'Entradas de Cálculos'!$D$141,'Modelo Financeiro'!U2)</f>
        <v>0</v>
      </c>
      <c r="V9" s="176">
        <f>('Modelo de Tecnologia'!U34-'Modelo de Tecnologia'!U35)*'Entrada de Dados do Usuário'!$C$68*POWER(1+'Entradas de Cálculos'!$D$141,'Modelo Financeiro'!V2)</f>
        <v>0</v>
      </c>
      <c r="W9" s="176">
        <f>('Modelo de Tecnologia'!V34-'Modelo de Tecnologia'!V35)*'Entrada de Dados do Usuário'!$C$68*POWER(1+'Entradas de Cálculos'!$D$141,'Modelo Financeiro'!W2)</f>
        <v>0</v>
      </c>
      <c r="X9" s="176">
        <f>('Modelo de Tecnologia'!W34-'Modelo de Tecnologia'!W35)*'Entrada de Dados do Usuário'!$C$68*POWER(1+'Entradas de Cálculos'!$D$141,'Modelo Financeiro'!X2)</f>
        <v>0</v>
      </c>
    </row>
    <row r="13" spans="1:24" ht="21" thickBot="1">
      <c r="A13" s="376" t="s">
        <v>133</v>
      </c>
      <c r="B13" s="377"/>
      <c r="C13" s="377"/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7"/>
      <c r="V13" s="377"/>
      <c r="W13" s="377"/>
      <c r="X13" s="378"/>
    </row>
    <row r="14" spans="2:24" ht="14.25">
      <c r="B14" t="s">
        <v>129</v>
      </c>
      <c r="C14" s="176"/>
      <c r="D14" s="176">
        <f>SUM($C4:D4)*'Entradas de Cálculos'!$D124*POWER(1+'Entradas de Cálculos'!$D$141,'Modelo Financeiro'!D$2)</f>
        <v>0</v>
      </c>
      <c r="E14" s="176">
        <f>SUM($C4:E4)*'Entradas de Cálculos'!$D124*POWER(1+'Entradas de Cálculos'!$D$141,'Modelo Financeiro'!E$2)</f>
        <v>0</v>
      </c>
      <c r="F14" s="176">
        <f>SUM($C4:F4)*'Entradas de Cálculos'!$D124*POWER(1+'Entradas de Cálculos'!$D$141,'Modelo Financeiro'!F$2)</f>
        <v>0</v>
      </c>
      <c r="G14" s="176">
        <f>SUM($C4:G4)*'Entradas de Cálculos'!$D124*POWER(1+'Entradas de Cálculos'!$D$141,'Modelo Financeiro'!G$2)</f>
        <v>0</v>
      </c>
      <c r="H14" s="176">
        <f>SUM($C4:H4)*'Entradas de Cálculos'!$D124*POWER(1+'Entradas de Cálculos'!$D$141,'Modelo Financeiro'!H$2)</f>
        <v>0</v>
      </c>
      <c r="I14" s="176">
        <f>SUM($C4:I4)*'Entradas de Cálculos'!$D124*POWER(1+'Entradas de Cálculos'!$D$141,'Modelo Financeiro'!I$2)</f>
        <v>0</v>
      </c>
      <c r="J14" s="176">
        <f>SUM($C4:J4)*'Entradas de Cálculos'!$D124*POWER(1+'Entradas de Cálculos'!$D$141,'Modelo Financeiro'!J$2)</f>
        <v>0</v>
      </c>
      <c r="K14" s="176">
        <f>SUM($C4:K4)*'Entradas de Cálculos'!$D124*POWER(1+'Entradas de Cálculos'!$D$141,'Modelo Financeiro'!K$2)</f>
        <v>0</v>
      </c>
      <c r="L14" s="176">
        <f>SUM($C4:L4)*'Entradas de Cálculos'!$D124*POWER(1+'Entradas de Cálculos'!$D$141,'Modelo Financeiro'!L$2)</f>
        <v>0</v>
      </c>
      <c r="M14" s="176">
        <f>SUM($C4:M4)*'Entradas de Cálculos'!$D124*POWER(1+'Entradas de Cálculos'!$D$141,'Modelo Financeiro'!M$2)</f>
        <v>0</v>
      </c>
      <c r="N14" s="176">
        <f>SUM($C4:N4)*'Entradas de Cálculos'!$D124*POWER(1+'Entradas de Cálculos'!$D$141,'Modelo Financeiro'!N$2)</f>
        <v>0</v>
      </c>
      <c r="O14" s="176">
        <f>SUM($C4:O4)*'Entradas de Cálculos'!$D124*POWER(1+'Entradas de Cálculos'!$D$141,'Modelo Financeiro'!O$2)</f>
        <v>0</v>
      </c>
      <c r="P14" s="176">
        <f>SUM($C4:P4)*'Entradas de Cálculos'!$D124*POWER(1+'Entradas de Cálculos'!$D$141,'Modelo Financeiro'!P$2)</f>
        <v>0</v>
      </c>
      <c r="Q14" s="176">
        <f>SUM($C4:Q4)*'Entradas de Cálculos'!$D124*POWER(1+'Entradas de Cálculos'!$D$141,'Modelo Financeiro'!Q$2)</f>
        <v>0</v>
      </c>
      <c r="R14" s="176">
        <f>SUM($C4:R4)*'Entradas de Cálculos'!$D124*POWER(1+'Entradas de Cálculos'!$D$141,'Modelo Financeiro'!R$2)</f>
        <v>0</v>
      </c>
      <c r="S14" s="176">
        <f>SUM($C4:S4)*'Entradas de Cálculos'!$D124*POWER(1+'Entradas de Cálculos'!$D$141,'Modelo Financeiro'!S$2)</f>
        <v>0</v>
      </c>
      <c r="T14" s="176">
        <f>SUM($C4:T4)*'Entradas de Cálculos'!$D124*POWER(1+'Entradas de Cálculos'!$D$141,'Modelo Financeiro'!T$2)</f>
        <v>0</v>
      </c>
      <c r="U14" s="176">
        <f>SUM($C4:U4)*'Entradas de Cálculos'!$D124*POWER(1+'Entradas de Cálculos'!$D$141,'Modelo Financeiro'!U$2)</f>
        <v>0</v>
      </c>
      <c r="V14" s="176">
        <f>SUM($C4:V4)*'Entradas de Cálculos'!$D124*POWER(1+'Entradas de Cálculos'!$D$141,'Modelo Financeiro'!V$2)</f>
        <v>0</v>
      </c>
      <c r="W14" s="176">
        <f>SUM($C4:W4)*'Entradas de Cálculos'!$D124*POWER(1+'Entradas de Cálculos'!$D$141,'Modelo Financeiro'!W$2)</f>
        <v>0</v>
      </c>
      <c r="X14" s="176">
        <f>SUM($C4:X4)*'Entradas de Cálculos'!$D124*POWER(1+'Entradas de Cálculos'!$D$141,'Modelo Financeiro'!X$2)</f>
        <v>0</v>
      </c>
    </row>
    <row r="15" spans="2:24" ht="14.25">
      <c r="B15" t="s">
        <v>130</v>
      </c>
      <c r="C15" s="176"/>
      <c r="D15" s="176">
        <f>SUM($C5:D5)*'Entradas de Cálculos'!$D125*POWER(1+'Entradas de Cálculos'!$D$141,'Modelo Financeiro'!D$2)</f>
        <v>0</v>
      </c>
      <c r="E15" s="176">
        <f>SUM($C5:E5)*'Entradas de Cálculos'!$D125*POWER(1+'Entradas de Cálculos'!$D$141,'Modelo Financeiro'!E$2)</f>
        <v>0</v>
      </c>
      <c r="F15" s="176">
        <f>SUM($C5:F5)*'Entradas de Cálculos'!$D125*POWER(1+'Entradas de Cálculos'!$D$141,'Modelo Financeiro'!F$2)</f>
        <v>0</v>
      </c>
      <c r="G15" s="176">
        <f>SUM($C5:G5)*'Entradas de Cálculos'!$D125*POWER(1+'Entradas de Cálculos'!$D$141,'Modelo Financeiro'!G$2)</f>
        <v>0</v>
      </c>
      <c r="H15" s="176">
        <f>SUM($C5:H5)*'Entradas de Cálculos'!$D125*POWER(1+'Entradas de Cálculos'!$D$141,'Modelo Financeiro'!H$2)</f>
        <v>0</v>
      </c>
      <c r="I15" s="176">
        <f>SUM($C5:I5)*'Entradas de Cálculos'!$D125*POWER(1+'Entradas de Cálculos'!$D$141,'Modelo Financeiro'!I$2)</f>
        <v>0</v>
      </c>
      <c r="J15" s="176">
        <f>SUM($C5:J5)*'Entradas de Cálculos'!$D125*POWER(1+'Entradas de Cálculos'!$D$141,'Modelo Financeiro'!J$2)</f>
        <v>0</v>
      </c>
      <c r="K15" s="176">
        <f>SUM($C5:K5)*'Entradas de Cálculos'!$D125*POWER(1+'Entradas de Cálculos'!$D$141,'Modelo Financeiro'!K$2)</f>
        <v>0</v>
      </c>
      <c r="L15" s="176">
        <f>SUM($C5:L5)*'Entradas de Cálculos'!$D125*POWER(1+'Entradas de Cálculos'!$D$141,'Modelo Financeiro'!L$2)</f>
        <v>0</v>
      </c>
      <c r="M15" s="176">
        <f>SUM($C5:M5)*'Entradas de Cálculos'!$D125*POWER(1+'Entradas de Cálculos'!$D$141,'Modelo Financeiro'!M$2)</f>
        <v>0</v>
      </c>
      <c r="N15" s="176">
        <f>SUM($C5:N5)*'Entradas de Cálculos'!$D125*POWER(1+'Entradas de Cálculos'!$D$141,'Modelo Financeiro'!N$2)</f>
        <v>0</v>
      </c>
      <c r="O15" s="176">
        <f>SUM($C5:O5)*'Entradas de Cálculos'!$D125*POWER(1+'Entradas de Cálculos'!$D$141,'Modelo Financeiro'!O$2)</f>
        <v>0</v>
      </c>
      <c r="P15" s="176">
        <f>SUM($C5:P5)*'Entradas de Cálculos'!$D125*POWER(1+'Entradas de Cálculos'!$D$141,'Modelo Financeiro'!P$2)</f>
        <v>0</v>
      </c>
      <c r="Q15" s="176">
        <f>SUM($C5:Q5)*'Entradas de Cálculos'!$D125*POWER(1+'Entradas de Cálculos'!$D$141,'Modelo Financeiro'!Q$2)</f>
        <v>0</v>
      </c>
      <c r="R15" s="176">
        <f>SUM($C5:R5)*'Entradas de Cálculos'!$D125*POWER(1+'Entradas de Cálculos'!$D$141,'Modelo Financeiro'!R$2)</f>
        <v>0</v>
      </c>
      <c r="S15" s="176">
        <f>SUM($C5:S5)*'Entradas de Cálculos'!$D125*POWER(1+'Entradas de Cálculos'!$D$141,'Modelo Financeiro'!S$2)</f>
        <v>0</v>
      </c>
      <c r="T15" s="176">
        <f>SUM($C5:T5)*'Entradas de Cálculos'!$D125*POWER(1+'Entradas de Cálculos'!$D$141,'Modelo Financeiro'!T$2)</f>
        <v>0</v>
      </c>
      <c r="U15" s="176">
        <f>SUM($C5:U5)*'Entradas de Cálculos'!$D125*POWER(1+'Entradas de Cálculos'!$D$141,'Modelo Financeiro'!U$2)</f>
        <v>0</v>
      </c>
      <c r="V15" s="176">
        <f>SUM($C5:V5)*'Entradas de Cálculos'!$D125*POWER(1+'Entradas de Cálculos'!$D$141,'Modelo Financeiro'!V$2)</f>
        <v>0</v>
      </c>
      <c r="W15" s="176">
        <f>SUM($C5:W5)*'Entradas de Cálculos'!$D125*POWER(1+'Entradas de Cálculos'!$D$141,'Modelo Financeiro'!W$2)</f>
        <v>0</v>
      </c>
      <c r="X15" s="176">
        <f>SUM($C5:X5)*'Entradas de Cálculos'!$D125*POWER(1+'Entradas de Cálculos'!$D$141,'Modelo Financeiro'!X$2)</f>
        <v>0</v>
      </c>
    </row>
    <row r="16" spans="2:24" ht="14.25">
      <c r="B16" t="s">
        <v>126</v>
      </c>
      <c r="D16" s="176">
        <f>SUM($C6:D6)*'Entradas de Cálculos'!$D126*POWER(1+'Entradas de Cálculos'!$D$141,'Modelo Financeiro'!D$2)</f>
        <v>0</v>
      </c>
      <c r="E16" s="176">
        <f>SUM($C6:E6)*'Entradas de Cálculos'!$D126*POWER(1+'Entradas de Cálculos'!$D$141,'Modelo Financeiro'!E$2)</f>
        <v>0</v>
      </c>
      <c r="F16" s="176">
        <f>SUM($C6:F6)*'Entradas de Cálculos'!$D126*POWER(1+'Entradas de Cálculos'!$D$141,'Modelo Financeiro'!F$2)</f>
        <v>0</v>
      </c>
      <c r="G16" s="176">
        <f>SUM($C6:G6)*'Entradas de Cálculos'!$D126*POWER(1+'Entradas de Cálculos'!$D$141,'Modelo Financeiro'!G$2)</f>
        <v>0</v>
      </c>
      <c r="H16" s="176">
        <f>SUM($C6:H6)*'Entradas de Cálculos'!$D126*POWER(1+'Entradas de Cálculos'!$D$141,'Modelo Financeiro'!H$2)</f>
        <v>0</v>
      </c>
      <c r="I16" s="176">
        <f>SUM($C6:I6)*'Entradas de Cálculos'!$D126*POWER(1+'Entradas de Cálculos'!$D$141,'Modelo Financeiro'!I$2)</f>
        <v>0</v>
      </c>
      <c r="J16" s="176">
        <f>SUM($C6:J6)*'Entradas de Cálculos'!$D126*POWER(1+'Entradas de Cálculos'!$D$141,'Modelo Financeiro'!J$2)</f>
        <v>0</v>
      </c>
      <c r="K16" s="176">
        <f>SUM($C6:K6)*'Entradas de Cálculos'!$D126*POWER(1+'Entradas de Cálculos'!$D$141,'Modelo Financeiro'!K$2)</f>
        <v>0</v>
      </c>
      <c r="L16" s="176">
        <f>SUM($C6:L6)*'Entradas de Cálculos'!$D126*POWER(1+'Entradas de Cálculos'!$D$141,'Modelo Financeiro'!L$2)</f>
        <v>0</v>
      </c>
      <c r="M16" s="176">
        <f>SUM($C6:M6)*'Entradas de Cálculos'!$D126*POWER(1+'Entradas de Cálculos'!$D$141,'Modelo Financeiro'!M$2)</f>
        <v>0</v>
      </c>
      <c r="N16" s="176">
        <f>SUM($C6:N6)*'Entradas de Cálculos'!$D126*POWER(1+'Entradas de Cálculos'!$D$141,'Modelo Financeiro'!N$2)</f>
        <v>0</v>
      </c>
      <c r="O16" s="176">
        <f>SUM($C6:O6)*'Entradas de Cálculos'!$D126*POWER(1+'Entradas de Cálculos'!$D$141,'Modelo Financeiro'!O$2)</f>
        <v>0</v>
      </c>
      <c r="P16" s="176">
        <f>SUM($C6:P6)*'Entradas de Cálculos'!$D126*POWER(1+'Entradas de Cálculos'!$D$141,'Modelo Financeiro'!P$2)</f>
        <v>0</v>
      </c>
      <c r="Q16" s="176">
        <f>SUM($C6:Q6)*'Entradas de Cálculos'!$D126*POWER(1+'Entradas de Cálculos'!$D$141,'Modelo Financeiro'!Q$2)</f>
        <v>0</v>
      </c>
      <c r="R16" s="176">
        <f>SUM($C6:R6)*'Entradas de Cálculos'!$D126*POWER(1+'Entradas de Cálculos'!$D$141,'Modelo Financeiro'!R$2)</f>
        <v>0</v>
      </c>
      <c r="S16" s="176">
        <f>SUM($C6:S6)*'Entradas de Cálculos'!$D126*POWER(1+'Entradas de Cálculos'!$D$141,'Modelo Financeiro'!S$2)</f>
        <v>0</v>
      </c>
      <c r="T16" s="176">
        <f>SUM($C6:T6)*'Entradas de Cálculos'!$D126*POWER(1+'Entradas de Cálculos'!$D$141,'Modelo Financeiro'!T$2)</f>
        <v>0</v>
      </c>
      <c r="U16" s="176">
        <f>SUM($C6:U6)*'Entradas de Cálculos'!$D126*POWER(1+'Entradas de Cálculos'!$D$141,'Modelo Financeiro'!U$2)</f>
        <v>0</v>
      </c>
      <c r="V16" s="176">
        <f>SUM($C6:V6)*'Entradas de Cálculos'!$D126*POWER(1+'Entradas de Cálculos'!$D$141,'Modelo Financeiro'!V$2)</f>
        <v>0</v>
      </c>
      <c r="W16" s="176">
        <f>SUM($C6:W6)*'Entradas de Cálculos'!$D126*POWER(1+'Entradas de Cálculos'!$D$141,'Modelo Financeiro'!W$2)</f>
        <v>0</v>
      </c>
      <c r="X16" s="176">
        <f>SUM($C6:X6)*'Entradas de Cálculos'!$D126*POWER(1+'Entradas de Cálculos'!$D$141,'Modelo Financeiro'!X$2)</f>
        <v>0</v>
      </c>
    </row>
    <row r="17" spans="2:24" ht="14.25">
      <c r="B17" t="s">
        <v>131</v>
      </c>
      <c r="D17" s="176">
        <f>'Entradas de Cálculos'!$D$97*POWER(1+'Entradas de Cálculos'!$D$141,'Modelo Financeiro'!D2)*'Modelo de Tecnologia'!C29</f>
        <v>0</v>
      </c>
      <c r="E17" s="176">
        <f>'Entradas de Cálculos'!$D$97*POWER(1+'Entradas de Cálculos'!$D$141,'Modelo Financeiro'!E2)*'Modelo de Tecnologia'!D29</f>
        <v>0</v>
      </c>
      <c r="F17" s="176">
        <f>'Entradas de Cálculos'!$D$97*POWER(1+'Entradas de Cálculos'!$D$141,'Modelo Financeiro'!F2)*'Modelo de Tecnologia'!E29</f>
        <v>0</v>
      </c>
      <c r="G17" s="176">
        <f>'Entradas de Cálculos'!$D$97*POWER(1+'Entradas de Cálculos'!$D$141,'Modelo Financeiro'!G2)*'Modelo de Tecnologia'!F29</f>
        <v>0</v>
      </c>
      <c r="H17" s="176">
        <f>'Entradas de Cálculos'!$D$97*POWER(1+'Entradas de Cálculos'!$D$141,'Modelo Financeiro'!H2)*'Modelo de Tecnologia'!G29</f>
        <v>0</v>
      </c>
      <c r="I17" s="176">
        <f>'Entradas de Cálculos'!$D$97*POWER(1+'Entradas de Cálculos'!$D$141,'Modelo Financeiro'!I2)*'Modelo de Tecnologia'!H29</f>
        <v>0</v>
      </c>
      <c r="J17" s="176">
        <f>'Entradas de Cálculos'!$D$97*POWER(1+'Entradas de Cálculos'!$D$141,'Modelo Financeiro'!J2)*'Modelo de Tecnologia'!I29</f>
        <v>0</v>
      </c>
      <c r="K17" s="176">
        <f>'Entradas de Cálculos'!$D$97*POWER(1+'Entradas de Cálculos'!$D$141,'Modelo Financeiro'!K2)*'Modelo de Tecnologia'!J29</f>
        <v>0</v>
      </c>
      <c r="L17" s="176">
        <f>'Entradas de Cálculos'!$D$97*POWER(1+'Entradas de Cálculos'!$D$141,'Modelo Financeiro'!L2)*'Modelo de Tecnologia'!K29</f>
        <v>0</v>
      </c>
      <c r="M17" s="176">
        <f>'Entradas de Cálculos'!$D$97*POWER(1+'Entradas de Cálculos'!$D$141,'Modelo Financeiro'!M2)*'Modelo de Tecnologia'!L29</f>
        <v>0</v>
      </c>
      <c r="N17" s="176">
        <f>'Entradas de Cálculos'!$D$97*POWER(1+'Entradas de Cálculos'!$D$141,'Modelo Financeiro'!N2)*'Modelo de Tecnologia'!M29</f>
        <v>0</v>
      </c>
      <c r="O17" s="176">
        <f>'Entradas de Cálculos'!$D$97*POWER(1+'Entradas de Cálculos'!$D$141,'Modelo Financeiro'!O2)*'Modelo de Tecnologia'!N29</f>
        <v>0</v>
      </c>
      <c r="P17" s="176">
        <f>'Entradas de Cálculos'!$D$97*POWER(1+'Entradas de Cálculos'!$D$141,'Modelo Financeiro'!P2)*'Modelo de Tecnologia'!O29</f>
        <v>0</v>
      </c>
      <c r="Q17" s="176">
        <f>'Entradas de Cálculos'!$D$97*POWER(1+'Entradas de Cálculos'!$D$141,'Modelo Financeiro'!Q2)*'Modelo de Tecnologia'!P29</f>
        <v>0</v>
      </c>
      <c r="R17" s="176">
        <f>'Entradas de Cálculos'!$D$97*POWER(1+'Entradas de Cálculos'!$D$141,'Modelo Financeiro'!R2)*'Modelo de Tecnologia'!Q29</f>
        <v>0</v>
      </c>
      <c r="S17" s="176">
        <f>'Entradas de Cálculos'!$D$97*POWER(1+'Entradas de Cálculos'!$D$141,'Modelo Financeiro'!S2)*'Modelo de Tecnologia'!R29</f>
        <v>0</v>
      </c>
      <c r="T17" s="176">
        <f>'Entradas de Cálculos'!$D$97*POWER(1+'Entradas de Cálculos'!$D$141,'Modelo Financeiro'!T2)*'Modelo de Tecnologia'!S29</f>
        <v>0</v>
      </c>
      <c r="U17" s="176">
        <f>'Entradas de Cálculos'!$D$97*POWER(1+'Entradas de Cálculos'!$D$141,'Modelo Financeiro'!U2)*'Modelo de Tecnologia'!T29</f>
        <v>0</v>
      </c>
      <c r="V17" s="176">
        <f>'Entradas de Cálculos'!$D$97*POWER(1+'Entradas de Cálculos'!$D$141,'Modelo Financeiro'!V2)*'Modelo de Tecnologia'!U29</f>
        <v>0</v>
      </c>
      <c r="W17" s="176">
        <f>'Entradas de Cálculos'!$D$97*POWER(1+'Entradas de Cálculos'!$D$141,'Modelo Financeiro'!W2)*'Modelo de Tecnologia'!V29</f>
        <v>0</v>
      </c>
      <c r="X17" s="176">
        <f>'Entradas de Cálculos'!$D$97*POWER(1+'Entradas de Cálculos'!$D$141,'Modelo Financeiro'!X2)*'Modelo de Tecnologia'!W29</f>
        <v>0</v>
      </c>
    </row>
    <row r="21" spans="1:24" ht="21" thickBot="1">
      <c r="A21" s="376" t="s">
        <v>370</v>
      </c>
      <c r="B21" s="377"/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8"/>
    </row>
    <row r="22" spans="2:24" ht="14.25">
      <c r="B22" t="s">
        <v>132</v>
      </c>
      <c r="D22" s="176">
        <f>'Modelo de CR'!C66*'Entradas de Cálculos'!$D$139*POWER(1+'Entradas de Cálculos'!$D$141,'Modelo Financeiro'!D2)</f>
        <v>0</v>
      </c>
      <c r="E22" s="176">
        <f>'Modelo de CR'!D66*'Entradas de Cálculos'!$D$139*POWER(1+'Entradas de Cálculos'!$D$141,'Modelo Financeiro'!E2)</f>
        <v>0</v>
      </c>
      <c r="F22" s="176">
        <f>'Modelo de CR'!E66*'Entradas de Cálculos'!$D$139*POWER(1+'Entradas de Cálculos'!$D$141,'Modelo Financeiro'!F2)</f>
        <v>0</v>
      </c>
      <c r="G22" s="176">
        <f>'Modelo de CR'!F66*'Entradas de Cálculos'!$D$139*POWER(1+'Entradas de Cálculos'!$D$141,'Modelo Financeiro'!G2)</f>
        <v>0</v>
      </c>
      <c r="H22" s="176">
        <f>'Modelo de CR'!G66*'Entradas de Cálculos'!$D$139*POWER(1+'Entradas de Cálculos'!$D$141,'Modelo Financeiro'!H2)</f>
        <v>0</v>
      </c>
      <c r="I22" s="176">
        <f>'Modelo de CR'!H66*'Entradas de Cálculos'!$D$139*POWER(1+'Entradas de Cálculos'!$D$141,'Modelo Financeiro'!I2)</f>
        <v>0</v>
      </c>
      <c r="J22" s="176">
        <f>'Modelo de CR'!I66*'Entradas de Cálculos'!$D$139*POWER(1+'Entradas de Cálculos'!$D$141,'Modelo Financeiro'!J2)</f>
        <v>0</v>
      </c>
      <c r="K22" s="176">
        <f>'Modelo de CR'!J66*'Entradas de Cálculos'!$D$139*POWER(1+'Entradas de Cálculos'!$D$141,'Modelo Financeiro'!K2)</f>
        <v>0</v>
      </c>
      <c r="L22" s="176">
        <f>'Modelo de CR'!K66*'Entradas de Cálculos'!$D$139*POWER(1+'Entradas de Cálculos'!$D$141,'Modelo Financeiro'!L2)</f>
        <v>0</v>
      </c>
      <c r="M22" s="176">
        <f>'Modelo de CR'!L66*'Entradas de Cálculos'!$D$139*POWER(1+'Entradas de Cálculos'!$D$141,'Modelo Financeiro'!M2)</f>
        <v>0</v>
      </c>
      <c r="N22" s="176">
        <f>'Modelo de CR'!M66*'Entradas de Cálculos'!$D$139*POWER(1+'Entradas de Cálculos'!$D$141,'Modelo Financeiro'!N2)</f>
        <v>0</v>
      </c>
      <c r="O22" s="176">
        <f>'Modelo de CR'!N66*'Entradas de Cálculos'!$D$139*POWER(1+'Entradas de Cálculos'!$D$141,'Modelo Financeiro'!O2)</f>
        <v>0</v>
      </c>
      <c r="P22" s="176">
        <f>'Modelo de CR'!O66*'Entradas de Cálculos'!$D$139*POWER(1+'Entradas de Cálculos'!$D$141,'Modelo Financeiro'!P2)</f>
        <v>0</v>
      </c>
      <c r="Q22" s="176">
        <f>'Modelo de CR'!P66*'Entradas de Cálculos'!$D$139*POWER(1+'Entradas de Cálculos'!$D$141,'Modelo Financeiro'!Q2)</f>
        <v>0</v>
      </c>
      <c r="R22" s="176">
        <f>'Modelo de CR'!Q66*'Entradas de Cálculos'!$D$139*POWER(1+'Entradas de Cálculos'!$D$141,'Modelo Financeiro'!R2)</f>
        <v>0</v>
      </c>
      <c r="S22" s="176">
        <f>'Modelo de CR'!R66*'Entradas de Cálculos'!$D$139*POWER(1+'Entradas de Cálculos'!$D$141,'Modelo Financeiro'!S2)</f>
        <v>0</v>
      </c>
      <c r="T22" s="176">
        <f>'Modelo de CR'!S66*'Entradas de Cálculos'!$D$139*POWER(1+'Entradas de Cálculos'!$D$141,'Modelo Financeiro'!T2)</f>
        <v>0</v>
      </c>
      <c r="U22" s="176">
        <f>'Modelo de CR'!T66*'Entradas de Cálculos'!$D$139*POWER(1+'Entradas de Cálculos'!$D$141,'Modelo Financeiro'!U2)</f>
        <v>0</v>
      </c>
      <c r="V22" s="176">
        <f>'Modelo de CR'!U66*'Entradas de Cálculos'!$D$139*POWER(1+'Entradas de Cálculos'!$D$141,'Modelo Financeiro'!V2)</f>
        <v>0</v>
      </c>
      <c r="W22" s="176">
        <f>'Modelo de CR'!V66*'Entradas de Cálculos'!$D$139*POWER(1+'Entradas de Cálculos'!$D$141,'Modelo Financeiro'!W2)</f>
        <v>0</v>
      </c>
      <c r="X22" s="176">
        <f>'Modelo de CR'!W66*'Entradas de Cálculos'!$D$139*POWER(1+'Entradas de Cálculos'!$D$141,'Modelo Financeiro'!X2)</f>
        <v>0</v>
      </c>
    </row>
    <row r="25" spans="1:24" ht="21" thickBot="1">
      <c r="A25" s="376" t="s">
        <v>371</v>
      </c>
      <c r="B25" s="377"/>
      <c r="C25" s="377"/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378"/>
    </row>
    <row r="26" spans="2:3" ht="14.25">
      <c r="B26" t="s">
        <v>373</v>
      </c>
      <c r="C26" s="178">
        <f>IF('Modelo de Tecnologia'!C30=0,0,'Entradas de Cálculos'!D136+'Entradas de Cálculos'!D137)</f>
        <v>0</v>
      </c>
    </row>
    <row r="27" spans="2:24" ht="14.25">
      <c r="B27" t="s">
        <v>372</v>
      </c>
      <c r="D27">
        <f>IF('Modelo de Tecnologia'!C30=0,0,'Entradas de Cálculos'!$D$138*(1+'Entradas de Cálculos'!$D$141))</f>
        <v>0</v>
      </c>
      <c r="E27">
        <f>D27*(1+'Entradas de Cálculos'!$D$141)</f>
        <v>0</v>
      </c>
      <c r="F27" s="176">
        <f>E27*(1+'Entradas de Cálculos'!$D$141)</f>
        <v>0</v>
      </c>
      <c r="G27" s="176">
        <f>F27*(1+'Entradas de Cálculos'!$D$141)</f>
        <v>0</v>
      </c>
      <c r="H27" s="176">
        <f>G27*(1+'Entradas de Cálculos'!$D$141)</f>
        <v>0</v>
      </c>
      <c r="I27" s="176">
        <f>H27*(1+'Entradas de Cálculos'!$D$141)</f>
        <v>0</v>
      </c>
      <c r="J27" s="176">
        <f>I27*(1+'Entradas de Cálculos'!$D$141)</f>
        <v>0</v>
      </c>
      <c r="K27" s="176">
        <f>J27*(1+'Entradas de Cálculos'!$D$141)</f>
        <v>0</v>
      </c>
      <c r="L27" s="176">
        <f>K27*(1+'Entradas de Cálculos'!$D$141)</f>
        <v>0</v>
      </c>
      <c r="M27" s="176">
        <f>L27*(1+'Entradas de Cálculos'!$D$141)</f>
        <v>0</v>
      </c>
      <c r="N27" s="176">
        <f>M27*(1+'Entradas de Cálculos'!$D$141)</f>
        <v>0</v>
      </c>
      <c r="O27" s="176">
        <f>N27*(1+'Entradas de Cálculos'!$D$141)</f>
        <v>0</v>
      </c>
      <c r="P27" s="176">
        <f>O27*(1+'Entradas de Cálculos'!$D$141)</f>
        <v>0</v>
      </c>
      <c r="Q27" s="176">
        <f>P27*(1+'Entradas de Cálculos'!$D$141)</f>
        <v>0</v>
      </c>
      <c r="R27" s="176">
        <f>Q27*(1+'Entradas de Cálculos'!$D$141)</f>
        <v>0</v>
      </c>
      <c r="S27" s="176">
        <f>R27*(1+'Entradas de Cálculos'!$D$141)</f>
        <v>0</v>
      </c>
      <c r="T27" s="176">
        <f>S27*(1+'Entradas de Cálculos'!$D$141)</f>
        <v>0</v>
      </c>
      <c r="U27" s="176">
        <f>T27*(1+'Entradas de Cálculos'!$D$141)</f>
        <v>0</v>
      </c>
      <c r="V27" s="176">
        <f>U27*(1+'Entradas de Cálculos'!$D$141)</f>
        <v>0</v>
      </c>
      <c r="W27" s="176">
        <f>V27*(1+'Entradas de Cálculos'!$D$141)</f>
        <v>0</v>
      </c>
      <c r="X27" s="176">
        <f>W27*(1+'Entradas de Cálculos'!$D$141)</f>
        <v>0</v>
      </c>
    </row>
    <row r="30" spans="1:24" ht="21" thickBot="1">
      <c r="A30" s="376" t="s">
        <v>123</v>
      </c>
      <c r="B30" s="377"/>
      <c r="C30" s="377"/>
      <c r="D30" s="377"/>
      <c r="E30" s="377"/>
      <c r="F30" s="377"/>
      <c r="G30" s="377"/>
      <c r="H30" s="377"/>
      <c r="I30" s="377"/>
      <c r="J30" s="377"/>
      <c r="K30" s="377"/>
      <c r="L30" s="377"/>
      <c r="M30" s="377"/>
      <c r="N30" s="377"/>
      <c r="O30" s="377"/>
      <c r="P30" s="377"/>
      <c r="Q30" s="377"/>
      <c r="R30" s="377"/>
      <c r="S30" s="377"/>
      <c r="T30" s="377"/>
      <c r="U30" s="377"/>
      <c r="V30" s="377"/>
      <c r="W30" s="377"/>
      <c r="X30" s="378"/>
    </row>
    <row r="31" spans="2:24" ht="14.25">
      <c r="B31" t="s">
        <v>121</v>
      </c>
      <c r="C31" s="176">
        <f>SUM(C4:C6)</f>
        <v>0</v>
      </c>
      <c r="D31" s="176">
        <f aca="true" t="shared" si="0" ref="D31:X31">SUM(D4:D6)</f>
        <v>0</v>
      </c>
      <c r="E31" s="176">
        <f t="shared" si="0"/>
        <v>0</v>
      </c>
      <c r="F31" s="176">
        <f t="shared" si="0"/>
        <v>0</v>
      </c>
      <c r="G31" s="176">
        <f t="shared" si="0"/>
        <v>0</v>
      </c>
      <c r="H31" s="176">
        <f t="shared" si="0"/>
        <v>0</v>
      </c>
      <c r="I31" s="176">
        <f t="shared" si="0"/>
        <v>0</v>
      </c>
      <c r="J31" s="176">
        <f t="shared" si="0"/>
        <v>0</v>
      </c>
      <c r="K31" s="176">
        <f t="shared" si="0"/>
        <v>0</v>
      </c>
      <c r="L31" s="176">
        <f t="shared" si="0"/>
        <v>0</v>
      </c>
      <c r="M31" s="176">
        <f t="shared" si="0"/>
        <v>0</v>
      </c>
      <c r="N31" s="176">
        <f t="shared" si="0"/>
        <v>0</v>
      </c>
      <c r="O31" s="176">
        <f t="shared" si="0"/>
        <v>0</v>
      </c>
      <c r="P31" s="176">
        <f t="shared" si="0"/>
        <v>0</v>
      </c>
      <c r="Q31" s="176">
        <f t="shared" si="0"/>
        <v>0</v>
      </c>
      <c r="R31" s="176">
        <f t="shared" si="0"/>
        <v>0</v>
      </c>
      <c r="S31" s="176">
        <f t="shared" si="0"/>
        <v>0</v>
      </c>
      <c r="T31" s="176">
        <f t="shared" si="0"/>
        <v>0</v>
      </c>
      <c r="U31" s="176">
        <f t="shared" si="0"/>
        <v>0</v>
      </c>
      <c r="V31" s="176">
        <f t="shared" si="0"/>
        <v>0</v>
      </c>
      <c r="W31" s="176">
        <f t="shared" si="0"/>
        <v>0</v>
      </c>
      <c r="X31" s="176">
        <f t="shared" si="0"/>
        <v>0</v>
      </c>
    </row>
    <row r="32" spans="2:24" ht="14.25">
      <c r="B32" t="s">
        <v>122</v>
      </c>
      <c r="C32" s="176">
        <f>SUM(C9:C11)</f>
        <v>0</v>
      </c>
      <c r="D32" s="176">
        <f aca="true" t="shared" si="1" ref="D32:X32">SUM(D9:D11)</f>
        <v>0</v>
      </c>
      <c r="E32" s="176">
        <f t="shared" si="1"/>
        <v>0</v>
      </c>
      <c r="F32" s="176">
        <f t="shared" si="1"/>
        <v>0</v>
      </c>
      <c r="G32" s="176">
        <f t="shared" si="1"/>
        <v>0</v>
      </c>
      <c r="H32" s="176">
        <f t="shared" si="1"/>
        <v>0</v>
      </c>
      <c r="I32" s="176">
        <f t="shared" si="1"/>
        <v>0</v>
      </c>
      <c r="J32" s="176">
        <f t="shared" si="1"/>
        <v>0</v>
      </c>
      <c r="K32" s="176">
        <f t="shared" si="1"/>
        <v>0</v>
      </c>
      <c r="L32" s="176">
        <f t="shared" si="1"/>
        <v>0</v>
      </c>
      <c r="M32" s="176">
        <f t="shared" si="1"/>
        <v>0</v>
      </c>
      <c r="N32" s="176">
        <f t="shared" si="1"/>
        <v>0</v>
      </c>
      <c r="O32" s="176">
        <f t="shared" si="1"/>
        <v>0</v>
      </c>
      <c r="P32" s="176">
        <f t="shared" si="1"/>
        <v>0</v>
      </c>
      <c r="Q32" s="176">
        <f t="shared" si="1"/>
        <v>0</v>
      </c>
      <c r="R32" s="176">
        <f t="shared" si="1"/>
        <v>0</v>
      </c>
      <c r="S32" s="176">
        <f t="shared" si="1"/>
        <v>0</v>
      </c>
      <c r="T32" s="176">
        <f t="shared" si="1"/>
        <v>0</v>
      </c>
      <c r="U32" s="176">
        <f t="shared" si="1"/>
        <v>0</v>
      </c>
      <c r="V32" s="176">
        <f t="shared" si="1"/>
        <v>0</v>
      </c>
      <c r="W32" s="176">
        <f t="shared" si="1"/>
        <v>0</v>
      </c>
      <c r="X32" s="176">
        <f t="shared" si="1"/>
        <v>0</v>
      </c>
    </row>
    <row r="33" spans="2:24" ht="14.25">
      <c r="B33" t="s">
        <v>378</v>
      </c>
      <c r="C33" s="176">
        <f>SUM(C22:C23)</f>
        <v>0</v>
      </c>
      <c r="D33" s="176">
        <f aca="true" t="shared" si="2" ref="D33:X33">SUM(D22:D23)</f>
        <v>0</v>
      </c>
      <c r="E33" s="176">
        <f t="shared" si="2"/>
        <v>0</v>
      </c>
      <c r="F33" s="176">
        <f t="shared" si="2"/>
        <v>0</v>
      </c>
      <c r="G33" s="176">
        <f t="shared" si="2"/>
        <v>0</v>
      </c>
      <c r="H33" s="176">
        <f t="shared" si="2"/>
        <v>0</v>
      </c>
      <c r="I33" s="176">
        <f t="shared" si="2"/>
        <v>0</v>
      </c>
      <c r="J33" s="176">
        <f t="shared" si="2"/>
        <v>0</v>
      </c>
      <c r="K33" s="176">
        <f t="shared" si="2"/>
        <v>0</v>
      </c>
      <c r="L33" s="176">
        <f t="shared" si="2"/>
        <v>0</v>
      </c>
      <c r="M33" s="176">
        <f t="shared" si="2"/>
        <v>0</v>
      </c>
      <c r="N33" s="176">
        <f t="shared" si="2"/>
        <v>0</v>
      </c>
      <c r="O33" s="176">
        <f t="shared" si="2"/>
        <v>0</v>
      </c>
      <c r="P33" s="176">
        <f t="shared" si="2"/>
        <v>0</v>
      </c>
      <c r="Q33" s="176">
        <f t="shared" si="2"/>
        <v>0</v>
      </c>
      <c r="R33" s="176">
        <f t="shared" si="2"/>
        <v>0</v>
      </c>
      <c r="S33" s="176">
        <f t="shared" si="2"/>
        <v>0</v>
      </c>
      <c r="T33" s="176">
        <f t="shared" si="2"/>
        <v>0</v>
      </c>
      <c r="U33" s="176">
        <f t="shared" si="2"/>
        <v>0</v>
      </c>
      <c r="V33" s="176">
        <f t="shared" si="2"/>
        <v>0</v>
      </c>
      <c r="W33" s="176">
        <f t="shared" si="2"/>
        <v>0</v>
      </c>
      <c r="X33" s="176">
        <f t="shared" si="2"/>
        <v>0</v>
      </c>
    </row>
    <row r="34" spans="2:24" ht="14.25">
      <c r="B34" t="s">
        <v>134</v>
      </c>
      <c r="C34" s="176">
        <f>SUM(C14:C17)</f>
        <v>0</v>
      </c>
      <c r="D34" s="176">
        <f aca="true" t="shared" si="3" ref="D34:X34">SUM(D14:D17)</f>
        <v>0</v>
      </c>
      <c r="E34" s="176">
        <f t="shared" si="3"/>
        <v>0</v>
      </c>
      <c r="F34" s="176">
        <f t="shared" si="3"/>
        <v>0</v>
      </c>
      <c r="G34" s="176">
        <f t="shared" si="3"/>
        <v>0</v>
      </c>
      <c r="H34" s="176">
        <f t="shared" si="3"/>
        <v>0</v>
      </c>
      <c r="I34" s="176">
        <f t="shared" si="3"/>
        <v>0</v>
      </c>
      <c r="J34" s="176">
        <f t="shared" si="3"/>
        <v>0</v>
      </c>
      <c r="K34" s="176">
        <f t="shared" si="3"/>
        <v>0</v>
      </c>
      <c r="L34" s="176">
        <f t="shared" si="3"/>
        <v>0</v>
      </c>
      <c r="M34" s="176">
        <f t="shared" si="3"/>
        <v>0</v>
      </c>
      <c r="N34" s="176">
        <f t="shared" si="3"/>
        <v>0</v>
      </c>
      <c r="O34" s="176">
        <f t="shared" si="3"/>
        <v>0</v>
      </c>
      <c r="P34" s="176">
        <f t="shared" si="3"/>
        <v>0</v>
      </c>
      <c r="Q34" s="176">
        <f t="shared" si="3"/>
        <v>0</v>
      </c>
      <c r="R34" s="176">
        <f t="shared" si="3"/>
        <v>0</v>
      </c>
      <c r="S34" s="176">
        <f t="shared" si="3"/>
        <v>0</v>
      </c>
      <c r="T34" s="176">
        <f t="shared" si="3"/>
        <v>0</v>
      </c>
      <c r="U34" s="176">
        <f t="shared" si="3"/>
        <v>0</v>
      </c>
      <c r="V34" s="176">
        <f t="shared" si="3"/>
        <v>0</v>
      </c>
      <c r="W34" s="176">
        <f t="shared" si="3"/>
        <v>0</v>
      </c>
      <c r="X34" s="176">
        <f t="shared" si="3"/>
        <v>0</v>
      </c>
    </row>
    <row r="35" spans="2:24" ht="14.25">
      <c r="B35" t="s">
        <v>374</v>
      </c>
      <c r="C35" s="178">
        <f>SUM(C26:C27)</f>
        <v>0</v>
      </c>
      <c r="D35" s="178">
        <f aca="true" t="shared" si="4" ref="D35:X35">SUM(D26:D27)</f>
        <v>0</v>
      </c>
      <c r="E35" s="178">
        <f t="shared" si="4"/>
        <v>0</v>
      </c>
      <c r="F35" s="178">
        <f t="shared" si="4"/>
        <v>0</v>
      </c>
      <c r="G35" s="178">
        <f t="shared" si="4"/>
        <v>0</v>
      </c>
      <c r="H35" s="178">
        <f t="shared" si="4"/>
        <v>0</v>
      </c>
      <c r="I35" s="178">
        <f t="shared" si="4"/>
        <v>0</v>
      </c>
      <c r="J35" s="178">
        <f t="shared" si="4"/>
        <v>0</v>
      </c>
      <c r="K35" s="178">
        <f t="shared" si="4"/>
        <v>0</v>
      </c>
      <c r="L35" s="178">
        <f t="shared" si="4"/>
        <v>0</v>
      </c>
      <c r="M35" s="178">
        <f t="shared" si="4"/>
        <v>0</v>
      </c>
      <c r="N35" s="178">
        <f t="shared" si="4"/>
        <v>0</v>
      </c>
      <c r="O35" s="178">
        <f t="shared" si="4"/>
        <v>0</v>
      </c>
      <c r="P35" s="178">
        <f t="shared" si="4"/>
        <v>0</v>
      </c>
      <c r="Q35" s="178">
        <f t="shared" si="4"/>
        <v>0</v>
      </c>
      <c r="R35" s="178">
        <f t="shared" si="4"/>
        <v>0</v>
      </c>
      <c r="S35" s="178">
        <f t="shared" si="4"/>
        <v>0</v>
      </c>
      <c r="T35" s="178">
        <f t="shared" si="4"/>
        <v>0</v>
      </c>
      <c r="U35" s="178">
        <f t="shared" si="4"/>
        <v>0</v>
      </c>
      <c r="V35" s="178">
        <f t="shared" si="4"/>
        <v>0</v>
      </c>
      <c r="W35" s="178">
        <f t="shared" si="4"/>
        <v>0</v>
      </c>
      <c r="X35" s="178">
        <f t="shared" si="4"/>
        <v>0</v>
      </c>
    </row>
    <row r="37" spans="1:24" ht="21" thickBot="1">
      <c r="A37" s="376" t="s">
        <v>135</v>
      </c>
      <c r="B37" s="377"/>
      <c r="C37" s="377"/>
      <c r="D37" s="377"/>
      <c r="E37" s="377"/>
      <c r="F37" s="377"/>
      <c r="G37" s="377"/>
      <c r="H37" s="377"/>
      <c r="I37" s="377"/>
      <c r="J37" s="377"/>
      <c r="K37" s="377"/>
      <c r="L37" s="377"/>
      <c r="M37" s="377"/>
      <c r="N37" s="377"/>
      <c r="O37" s="377"/>
      <c r="P37" s="377"/>
      <c r="Q37" s="377"/>
      <c r="R37" s="377"/>
      <c r="S37" s="377"/>
      <c r="T37" s="377"/>
      <c r="U37" s="377"/>
      <c r="V37" s="377"/>
      <c r="W37" s="377"/>
      <c r="X37" s="378"/>
    </row>
    <row r="38" spans="2:24" ht="14.25">
      <c r="B38" t="s">
        <v>120</v>
      </c>
      <c r="C38" s="176">
        <f>C31*(1-'Entrada de Dados do Usuário'!$C$92)</f>
        <v>0</v>
      </c>
      <c r="D38" s="176">
        <f>D31*(1-'Entrada de Dados do Usuário'!$C$92)</f>
        <v>0</v>
      </c>
      <c r="E38" s="176">
        <f>E31*(1-'Entrada de Dados do Usuário'!$C$92)</f>
        <v>0</v>
      </c>
      <c r="F38" s="176">
        <f>F31*(1-'Entrada de Dados do Usuário'!$C$92)</f>
        <v>0</v>
      </c>
      <c r="G38" s="176">
        <f>G31*(1-'Entrada de Dados do Usuário'!$C$92)</f>
        <v>0</v>
      </c>
      <c r="H38" s="176">
        <f>H31*(1-'Entrada de Dados do Usuário'!$C$92)</f>
        <v>0</v>
      </c>
      <c r="I38" s="176">
        <f>I31*(1-'Entrada de Dados do Usuário'!$C$92)</f>
        <v>0</v>
      </c>
      <c r="J38" s="176">
        <f>J31*(1-'Entrada de Dados do Usuário'!$C$92)</f>
        <v>0</v>
      </c>
      <c r="K38" s="176">
        <f>K31*(1-'Entrada de Dados do Usuário'!$C$92)</f>
        <v>0</v>
      </c>
      <c r="L38" s="176">
        <f>L31*(1-'Entrada de Dados do Usuário'!$C$92)</f>
        <v>0</v>
      </c>
      <c r="M38" s="176">
        <f>M31*(1-'Entrada de Dados do Usuário'!$C$92)</f>
        <v>0</v>
      </c>
      <c r="N38" s="176">
        <f>N31*(1-'Entrada de Dados do Usuário'!$C$92)</f>
        <v>0</v>
      </c>
      <c r="O38" s="176">
        <f>O31*(1-'Entrada de Dados do Usuário'!$C$92)</f>
        <v>0</v>
      </c>
      <c r="P38" s="176">
        <f>P31*(1-'Entrada de Dados do Usuário'!$C$92)</f>
        <v>0</v>
      </c>
      <c r="Q38" s="176">
        <f>Q31*(1-'Entrada de Dados do Usuário'!$C$92)</f>
        <v>0</v>
      </c>
      <c r="R38" s="176">
        <f>R31*(1-'Entrada de Dados do Usuário'!$C$92)</f>
        <v>0</v>
      </c>
      <c r="S38" s="176">
        <f>S31*(1-'Entrada de Dados do Usuário'!$C$92)</f>
        <v>0</v>
      </c>
      <c r="T38" s="176">
        <f>T31*(1-'Entrada de Dados do Usuário'!$C$92)</f>
        <v>0</v>
      </c>
      <c r="U38" s="176">
        <f>U31*(1-'Entrada de Dados do Usuário'!$C$92)</f>
        <v>0</v>
      </c>
      <c r="V38" s="176">
        <f>V31*(1-'Entrada de Dados do Usuário'!$C$92)</f>
        <v>0</v>
      </c>
      <c r="W38" s="176">
        <f>W31*(1-'Entrada de Dados do Usuário'!$C$92)</f>
        <v>0</v>
      </c>
      <c r="X38" s="176">
        <f>X31*(1-'Entrada de Dados do Usuário'!$C$92)</f>
        <v>0</v>
      </c>
    </row>
    <row r="39" spans="2:24" ht="14.25">
      <c r="B39" t="s">
        <v>136</v>
      </c>
      <c r="C39" s="176">
        <f>IF(C2-$C$2&gt;('Entradas de Cálculos'!$D$131-1),0,PMT('Entradas de Cálculos'!$D$132,'Entradas de Cálculos'!$D$131,-$C$38))</f>
        <v>0</v>
      </c>
      <c r="D39" s="176">
        <f>IF(D2-$C$2&gt;('Entradas de Cálculos'!$D$131-1),0,PMT('Entradas de Cálculos'!$D$132,'Entradas de Cálculos'!$D$131,-$C$38))</f>
        <v>0</v>
      </c>
      <c r="E39" s="176">
        <f>IF(E2-$C$2&gt;('Entradas de Cálculos'!$D$131-1),0,PMT('Entradas de Cálculos'!$D$132,'Entradas de Cálculos'!$D$131,-$C$38))</f>
        <v>0</v>
      </c>
      <c r="F39" s="176">
        <f>IF(F2-$C$2&gt;('Entradas de Cálculos'!$D$131-1),0,PMT('Entradas de Cálculos'!$D$132,'Entradas de Cálculos'!$D$131,-$C$38))</f>
        <v>0</v>
      </c>
      <c r="G39" s="176">
        <f>IF(G2-$C$2&gt;('Entradas de Cálculos'!$D$131-1),0,PMT('Entradas de Cálculos'!$D$132,'Entradas de Cálculos'!$D$131,-$C$38))</f>
        <v>0</v>
      </c>
      <c r="H39" s="176">
        <f>IF(H2-$C$2&gt;('Entradas de Cálculos'!$D$131-1),0,PMT('Entradas de Cálculos'!$D$132,'Entradas de Cálculos'!$D$131,-$C$38))</f>
        <v>0</v>
      </c>
      <c r="I39" s="176">
        <f>IF(I2-$C$2&gt;('Entradas de Cálculos'!$D$131-1),0,PMT('Entradas de Cálculos'!$D$132,'Entradas de Cálculos'!$D$131,-$C$38))</f>
        <v>0</v>
      </c>
      <c r="J39" s="176">
        <f>IF(J2-$C$2&gt;('Entradas de Cálculos'!$D$131-1),0,PMT('Entradas de Cálculos'!$D$132,'Entradas de Cálculos'!$D$131,-$C$38))</f>
        <v>0</v>
      </c>
      <c r="K39" s="176">
        <f>IF(K2-$C$2&gt;('Entradas de Cálculos'!$D$131-1),0,PMT('Entradas de Cálculos'!$D$132,'Entradas de Cálculos'!$D$131,-$C$38))</f>
        <v>0</v>
      </c>
      <c r="L39" s="176">
        <f>IF(L2-$C$2&gt;('Entradas de Cálculos'!$D$131-1),0,PMT('Entradas de Cálculos'!$D$132,'Entradas de Cálculos'!$D$131,-$C$38))</f>
        <v>0</v>
      </c>
      <c r="M39" s="176">
        <f>IF(M2-$C$2&gt;('Entradas de Cálculos'!$D$131-1),0,PMT('Entradas de Cálculos'!$D$132,'Entradas de Cálculos'!$D$131,-$C$38))</f>
        <v>0</v>
      </c>
      <c r="N39" s="176">
        <f>IF(N2-$C$2&gt;('Entradas de Cálculos'!$D$131-1),0,PMT('Entradas de Cálculos'!$D$132,'Entradas de Cálculos'!$D$131,-$C$38))</f>
        <v>0</v>
      </c>
      <c r="O39" s="176">
        <f>IF(O2-$C$2&gt;('Entradas de Cálculos'!$D$131-1),0,PMT('Entradas de Cálculos'!$D$132,'Entradas de Cálculos'!$D$131,-$C$38))</f>
        <v>0</v>
      </c>
      <c r="P39" s="176">
        <f>IF(P2-$C$2&gt;('Entradas de Cálculos'!$D$131-1),0,PMT('Entradas de Cálculos'!$D$132,'Entradas de Cálculos'!$D$131,-$C$38))</f>
        <v>0</v>
      </c>
      <c r="Q39" s="176">
        <f>IF(Q2-$C$2&gt;('Entradas de Cálculos'!$D$131-1),0,PMT('Entradas de Cálculos'!$D$132,'Entradas de Cálculos'!$D$131,-$C$38))</f>
        <v>0</v>
      </c>
      <c r="R39" s="176">
        <f>IF(R2-$C$2&gt;('Entradas de Cálculos'!$D$131-1),0,PMT('Entradas de Cálculos'!$D$132,'Entradas de Cálculos'!$D$131,-$C$38))</f>
        <v>0</v>
      </c>
      <c r="S39" s="176">
        <f>IF(S2-$C$2&gt;('Entradas de Cálculos'!$D$131-1),0,PMT('Entradas de Cálculos'!$D$132,'Entradas de Cálculos'!$D$131,-$C$38))</f>
        <v>0</v>
      </c>
      <c r="T39" s="176">
        <f>IF(T2-$C$2&gt;('Entradas de Cálculos'!$D$131-1),0,PMT('Entradas de Cálculos'!$D$132,'Entradas de Cálculos'!$D$131,-$C$38))</f>
        <v>0</v>
      </c>
      <c r="U39" s="176">
        <f>IF(U2-$C$2&gt;('Entradas de Cálculos'!$D$131-1),0,PMT('Entradas de Cálculos'!$D$132,'Entradas de Cálculos'!$D$131,-$C$38))</f>
        <v>0</v>
      </c>
      <c r="V39" s="176">
        <f>IF(V2-$C$2&gt;('Entradas de Cálculos'!$D$131-1),0,PMT('Entradas de Cálculos'!$D$132,'Entradas de Cálculos'!$D$131,-$C$38))</f>
        <v>0</v>
      </c>
      <c r="W39" s="176">
        <f>IF(W2-$C$2&gt;('Entradas de Cálculos'!$D$131-1),0,PMT('Entradas de Cálculos'!$D$132,'Entradas de Cálculos'!$D$131,-$C$38))</f>
        <v>0</v>
      </c>
      <c r="X39" s="176">
        <f>IF(X2-$C$2&gt;('Entradas de Cálculos'!$D$131-1),0,PMT('Entradas de Cálculos'!$D$132,'Entradas de Cálculos'!$D$131,-$C$38))</f>
        <v>0</v>
      </c>
    </row>
    <row r="40" spans="2:24" ht="14.25">
      <c r="B40" t="s">
        <v>136</v>
      </c>
      <c r="C40" s="176"/>
      <c r="D40" s="176">
        <f>IF(D2-$D$2&gt;('Entradas de Cálculos'!$D$131-1),0,PMT('Entradas de Cálculos'!$D$132,'Entradas de Cálculos'!$D$131,-$D$38))</f>
        <v>0</v>
      </c>
      <c r="E40" s="176">
        <f>IF(E2-$D$2&gt;('Entradas de Cálculos'!$D$131-1),0,PMT('Entradas de Cálculos'!$D$132,'Entradas de Cálculos'!$D$131,-$D$38))</f>
        <v>0</v>
      </c>
      <c r="F40" s="176">
        <f>IF(F2-$D$2&gt;('Entradas de Cálculos'!$D$131-1),0,PMT('Entradas de Cálculos'!$D$132,'Entradas de Cálculos'!$D$131,-$D$38))</f>
        <v>0</v>
      </c>
      <c r="G40" s="176">
        <f>IF(G2-$D$2&gt;('Entradas de Cálculos'!$D$131-1),0,PMT('Entradas de Cálculos'!$D$132,'Entradas de Cálculos'!$D$131,-$D$38))</f>
        <v>0</v>
      </c>
      <c r="H40" s="176">
        <f>IF(H2-$D$2&gt;('Entradas de Cálculos'!$D$131-1),0,PMT('Entradas de Cálculos'!$D$132,'Entradas de Cálculos'!$D$131,-$D$38))</f>
        <v>0</v>
      </c>
      <c r="I40" s="176">
        <f>IF(I2-$D$2&gt;('Entradas de Cálculos'!$D$131-1),0,PMT('Entradas de Cálculos'!$D$132,'Entradas de Cálculos'!$D$131,-$D$38))</f>
        <v>0</v>
      </c>
      <c r="J40" s="176">
        <f>IF(J2-$D$2&gt;('Entradas de Cálculos'!$D$131-1),0,PMT('Entradas de Cálculos'!$D$132,'Entradas de Cálculos'!$D$131,-$D$38))</f>
        <v>0</v>
      </c>
      <c r="K40" s="176">
        <f>IF(K2-$D$2&gt;('Entradas de Cálculos'!$D$131-1),0,PMT('Entradas de Cálculos'!$D$132,'Entradas de Cálculos'!$D$131,-$D$38))</f>
        <v>0</v>
      </c>
      <c r="L40" s="176">
        <f>IF(L2-$D$2&gt;('Entradas de Cálculos'!$D$131-1),0,PMT('Entradas de Cálculos'!$D$132,'Entradas de Cálculos'!$D$131,-$D$38))</f>
        <v>0</v>
      </c>
      <c r="M40" s="176">
        <f>IF(M2-$D$2&gt;('Entradas de Cálculos'!$D$131-1),0,PMT('Entradas de Cálculos'!$D$132,'Entradas de Cálculos'!$D$131,-$D$38))</f>
        <v>0</v>
      </c>
      <c r="N40" s="176">
        <f>IF(N2-$D$2&gt;('Entradas de Cálculos'!$D$131-1),0,PMT('Entradas de Cálculos'!$D$132,'Entradas de Cálculos'!$D$131,-$D$38))</f>
        <v>0</v>
      </c>
      <c r="O40" s="176">
        <f>IF(O2-$D$2&gt;('Entradas de Cálculos'!$D$131-1),0,PMT('Entradas de Cálculos'!$D$132,'Entradas de Cálculos'!$D$131,-$D$38))</f>
        <v>0</v>
      </c>
      <c r="P40" s="176">
        <f>IF(P2-$D$2&gt;('Entradas de Cálculos'!$D$131-1),0,PMT('Entradas de Cálculos'!$D$132,'Entradas de Cálculos'!$D$131,-$D$38))</f>
        <v>0</v>
      </c>
      <c r="Q40" s="176">
        <f>IF(Q2-$D$2&gt;('Entradas de Cálculos'!$D$131-1),0,PMT('Entradas de Cálculos'!$D$132,'Entradas de Cálculos'!$D$131,-$D$38))</f>
        <v>0</v>
      </c>
      <c r="R40" s="176">
        <f>IF(R2-$D$2&gt;('Entradas de Cálculos'!$D$131-1),0,PMT('Entradas de Cálculos'!$D$132,'Entradas de Cálculos'!$D$131,-$D$38))</f>
        <v>0</v>
      </c>
      <c r="S40" s="176">
        <f>IF(S2-$D$2&gt;('Entradas de Cálculos'!$D$131-1),0,PMT('Entradas de Cálculos'!$D$132,'Entradas de Cálculos'!$D$131,-$D$38))</f>
        <v>0</v>
      </c>
      <c r="T40" s="176">
        <f>IF(T2-$D$2&gt;('Entradas de Cálculos'!$D$131-1),0,PMT('Entradas de Cálculos'!$D$132,'Entradas de Cálculos'!$D$131,-$D$38))</f>
        <v>0</v>
      </c>
      <c r="U40" s="176">
        <f>IF(U2-$D$2&gt;('Entradas de Cálculos'!$D$131-1),0,PMT('Entradas de Cálculos'!$D$132,'Entradas de Cálculos'!$D$131,-$D$38))</f>
        <v>0</v>
      </c>
      <c r="V40" s="176">
        <f>IF(V2-$D$2&gt;('Entradas de Cálculos'!$D$131-1),0,PMT('Entradas de Cálculos'!$D$132,'Entradas de Cálculos'!$D$131,-$D$38))</f>
        <v>0</v>
      </c>
      <c r="W40" s="176">
        <f>IF(W2-$D$2&gt;('Entradas de Cálculos'!$D$131-1),0,PMT('Entradas de Cálculos'!$D$132,'Entradas de Cálculos'!$D$131,-$D$38))</f>
        <v>0</v>
      </c>
      <c r="X40" s="176">
        <f>IF(X2-$D$2&gt;('Entradas de Cálculos'!$D$131-1),0,PMT('Entradas de Cálculos'!$D$132,'Entradas de Cálculos'!$D$131,-$D$38))</f>
        <v>0</v>
      </c>
    </row>
    <row r="41" spans="2:24" ht="14.25">
      <c r="B41" t="s">
        <v>136</v>
      </c>
      <c r="C41" s="176"/>
      <c r="D41" s="176"/>
      <c r="E41" s="176">
        <f>IF(E2-$E$2&gt;('Entradas de Cálculos'!$D$131-1),0,PMT('Entradas de Cálculos'!$D$132,'Entradas de Cálculos'!$D$131,-$E$38))</f>
        <v>0</v>
      </c>
      <c r="F41" s="176">
        <f>IF(F2-$E$2&gt;('Entradas de Cálculos'!$D$131-1),0,PMT('Entradas de Cálculos'!$D$132,'Entradas de Cálculos'!$D$131,-$E$38))</f>
        <v>0</v>
      </c>
      <c r="G41" s="176">
        <f>IF(G2-$E$2&gt;('Entradas de Cálculos'!$D$131-1),0,PMT('Entradas de Cálculos'!$D$132,'Entradas de Cálculos'!$D$131,-$E$38))</f>
        <v>0</v>
      </c>
      <c r="H41" s="176">
        <f>IF(H2-$E$2&gt;('Entradas de Cálculos'!$D$131-1),0,PMT('Entradas de Cálculos'!$D$132,'Entradas de Cálculos'!$D$131,-$E$38))</f>
        <v>0</v>
      </c>
      <c r="I41" s="176">
        <f>IF(I2-$E$2&gt;('Entradas de Cálculos'!$D$131-1),0,PMT('Entradas de Cálculos'!$D$132,'Entradas de Cálculos'!$D$131,-$E$38))</f>
        <v>0</v>
      </c>
      <c r="J41" s="176">
        <f>IF(J2-$E$2&gt;('Entradas de Cálculos'!$D$131-1),0,PMT('Entradas de Cálculos'!$D$132,'Entradas de Cálculos'!$D$131,-$E$38))</f>
        <v>0</v>
      </c>
      <c r="K41" s="176">
        <f>IF(K2-$E$2&gt;('Entradas de Cálculos'!$D$131-1),0,PMT('Entradas de Cálculos'!$D$132,'Entradas de Cálculos'!$D$131,-$E$38))</f>
        <v>0</v>
      </c>
      <c r="L41" s="176">
        <f>IF(L2-$E$2&gt;('Entradas de Cálculos'!$D$131-1),0,PMT('Entradas de Cálculos'!$D$132,'Entradas de Cálculos'!$D$131,-$E$38))</f>
        <v>0</v>
      </c>
      <c r="M41" s="176">
        <f>IF(M2-$E$2&gt;('Entradas de Cálculos'!$D$131-1),0,PMT('Entradas de Cálculos'!$D$132,'Entradas de Cálculos'!$D$131,-$E$38))</f>
        <v>0</v>
      </c>
      <c r="N41" s="176">
        <f>IF(N2-$E$2&gt;('Entradas de Cálculos'!$D$131-1),0,PMT('Entradas de Cálculos'!$D$132,'Entradas de Cálculos'!$D$131,-$E$38))</f>
        <v>0</v>
      </c>
      <c r="O41" s="176">
        <f>IF(O2-$E$2&gt;('Entradas de Cálculos'!$D$131-1),0,PMT('Entradas de Cálculos'!$D$132,'Entradas de Cálculos'!$D$131,-$E$38))</f>
        <v>0</v>
      </c>
      <c r="P41" s="176">
        <f>IF(P2-$E$2&gt;('Entradas de Cálculos'!$D$131-1),0,PMT('Entradas de Cálculos'!$D$132,'Entradas de Cálculos'!$D$131,-$E$38))</f>
        <v>0</v>
      </c>
      <c r="Q41" s="176">
        <f>IF(Q2-$E$2&gt;('Entradas de Cálculos'!$D$131-1),0,PMT('Entradas de Cálculos'!$D$132,'Entradas de Cálculos'!$D$131,-$E$38))</f>
        <v>0</v>
      </c>
      <c r="R41" s="176">
        <f>IF(R2-$E$2&gt;('Entradas de Cálculos'!$D$131-1),0,PMT('Entradas de Cálculos'!$D$132,'Entradas de Cálculos'!$D$131,-$E$38))</f>
        <v>0</v>
      </c>
      <c r="S41" s="176">
        <f>IF(S2-$E$2&gt;('Entradas de Cálculos'!$D$131-1),0,PMT('Entradas de Cálculos'!$D$132,'Entradas de Cálculos'!$D$131,-$E$38))</f>
        <v>0</v>
      </c>
      <c r="T41" s="176">
        <f>IF(T2-$E$2&gt;('Entradas de Cálculos'!$D$131-1),0,PMT('Entradas de Cálculos'!$D$132,'Entradas de Cálculos'!$D$131,-$E$38))</f>
        <v>0</v>
      </c>
      <c r="U41" s="176">
        <f>IF(U2-$E$2&gt;('Entradas de Cálculos'!$D$131-1),0,PMT('Entradas de Cálculos'!$D$132,'Entradas de Cálculos'!$D$131,-$E$38))</f>
        <v>0</v>
      </c>
      <c r="V41" s="176">
        <f>IF(V2-$E$2&gt;('Entradas de Cálculos'!$D$131-1),0,PMT('Entradas de Cálculos'!$D$132,'Entradas de Cálculos'!$D$131,-$E$38))</f>
        <v>0</v>
      </c>
      <c r="W41" s="176">
        <f>IF(W2-$E$2&gt;('Entradas de Cálculos'!$D$131-1),0,PMT('Entradas de Cálculos'!$D$132,'Entradas de Cálculos'!$D$131,-$E$38))</f>
        <v>0</v>
      </c>
      <c r="X41" s="176">
        <f>IF(X2-$E$2&gt;('Entradas de Cálculos'!$D$131-1),0,PMT('Entradas de Cálculos'!$D$132,'Entradas de Cálculos'!$D$131,-$E$38))</f>
        <v>0</v>
      </c>
    </row>
    <row r="42" spans="2:24" ht="14.25">
      <c r="B42" t="s">
        <v>136</v>
      </c>
      <c r="C42" s="176"/>
      <c r="D42" s="176"/>
      <c r="E42" s="176"/>
      <c r="F42" s="176">
        <f>IF(F2-$F$2&gt;('Entradas de Cálculos'!$D$131-1),0,PMT('Entradas de Cálculos'!$D$132,'Entradas de Cálculos'!$D$131,-$F$38))</f>
        <v>0</v>
      </c>
      <c r="G42" s="176">
        <f>IF(G2-$F$2&gt;('Entradas de Cálculos'!$D$131-1),0,PMT('Entradas de Cálculos'!$D$132,'Entradas de Cálculos'!$D$131,-$F$38))</f>
        <v>0</v>
      </c>
      <c r="H42" s="176">
        <f>IF(H2-$F$2&gt;('Entradas de Cálculos'!$D$131-1),0,PMT('Entradas de Cálculos'!$D$132,'Entradas de Cálculos'!$D$131,-$F$38))</f>
        <v>0</v>
      </c>
      <c r="I42" s="176">
        <f>IF(I2-$F$2&gt;('Entradas de Cálculos'!$D$131-1),0,PMT('Entradas de Cálculos'!$D$132,'Entradas de Cálculos'!$D$131,-$F$38))</f>
        <v>0</v>
      </c>
      <c r="J42" s="176">
        <f>IF(J2-$F$2&gt;('Entradas de Cálculos'!$D$131-1),0,PMT('Entradas de Cálculos'!$D$132,'Entradas de Cálculos'!$D$131,-$F$38))</f>
        <v>0</v>
      </c>
      <c r="K42" s="176">
        <f>IF(K2-$F$2&gt;('Entradas de Cálculos'!$D$131-1),0,PMT('Entradas de Cálculos'!$D$132,'Entradas de Cálculos'!$D$131,-$F$38))</f>
        <v>0</v>
      </c>
      <c r="L42" s="176">
        <f>IF(L2-$F$2&gt;('Entradas de Cálculos'!$D$131-1),0,PMT('Entradas de Cálculos'!$D$132,'Entradas de Cálculos'!$D$131,-$F$38))</f>
        <v>0</v>
      </c>
      <c r="M42" s="176">
        <f>IF(M2-$F$2&gt;('Entradas de Cálculos'!$D$131-1),0,PMT('Entradas de Cálculos'!$D$132,'Entradas de Cálculos'!$D$131,-$F$38))</f>
        <v>0</v>
      </c>
      <c r="N42" s="176">
        <f>IF(N2-$F$2&gt;('Entradas de Cálculos'!$D$131-1),0,PMT('Entradas de Cálculos'!$D$132,'Entradas de Cálculos'!$D$131,-$F$38))</f>
        <v>0</v>
      </c>
      <c r="O42" s="176">
        <f>IF(O2-$F$2&gt;('Entradas de Cálculos'!$D$131-1),0,PMT('Entradas de Cálculos'!$D$132,'Entradas de Cálculos'!$D$131,-$F$38))</f>
        <v>0</v>
      </c>
      <c r="P42" s="176">
        <f>IF(P2-$F$2&gt;('Entradas de Cálculos'!$D$131-1),0,PMT('Entradas de Cálculos'!$D$132,'Entradas de Cálculos'!$D$131,-$F$38))</f>
        <v>0</v>
      </c>
      <c r="Q42" s="176">
        <f>IF(Q2-$F$2&gt;('Entradas de Cálculos'!$D$131-1),0,PMT('Entradas de Cálculos'!$D$132,'Entradas de Cálculos'!$D$131,-$F$38))</f>
        <v>0</v>
      </c>
      <c r="R42" s="176">
        <f>IF(R2-$F$2&gt;('Entradas de Cálculos'!$D$131-1),0,PMT('Entradas de Cálculos'!$D$132,'Entradas de Cálculos'!$D$131,-$F$38))</f>
        <v>0</v>
      </c>
      <c r="S42" s="176">
        <f>IF(S2-$F$2&gt;('Entradas de Cálculos'!$D$131-1),0,PMT('Entradas de Cálculos'!$D$132,'Entradas de Cálculos'!$D$131,-$F$38))</f>
        <v>0</v>
      </c>
      <c r="T42" s="176">
        <f>IF(T2-$F$2&gt;('Entradas de Cálculos'!$D$131-1),0,PMT('Entradas de Cálculos'!$D$132,'Entradas de Cálculos'!$D$131,-$F$38))</f>
        <v>0</v>
      </c>
      <c r="U42" s="176">
        <f>IF(U2-$F$2&gt;('Entradas de Cálculos'!$D$131-1),0,PMT('Entradas de Cálculos'!$D$132,'Entradas de Cálculos'!$D$131,-$F$38))</f>
        <v>0</v>
      </c>
      <c r="V42" s="176">
        <f>IF(V2-$F$2&gt;('Entradas de Cálculos'!$D$131-1),0,PMT('Entradas de Cálculos'!$D$132,'Entradas de Cálculos'!$D$131,-$F$38))</f>
        <v>0</v>
      </c>
      <c r="W42" s="176">
        <f>IF(W2-$F$2&gt;('Entradas de Cálculos'!$D$131-1),0,PMT('Entradas de Cálculos'!$D$132,'Entradas de Cálculos'!$D$131,-$F$38))</f>
        <v>0</v>
      </c>
      <c r="X42" s="176">
        <f>IF(X2-$F$2&gt;('Entradas de Cálculos'!$D$131-1),0,PMT('Entradas de Cálculos'!$D$132,'Entradas de Cálculos'!$D$131,-$F$38))</f>
        <v>0</v>
      </c>
    </row>
    <row r="43" spans="2:24" ht="14.25">
      <c r="B43" t="s">
        <v>136</v>
      </c>
      <c r="C43" s="176"/>
      <c r="D43" s="176"/>
      <c r="E43" s="176"/>
      <c r="F43" s="176"/>
      <c r="G43" s="176">
        <f>IF(G2-$G$2&gt;('Entradas de Cálculos'!$D$131-1),0,PMT('Entradas de Cálculos'!$D$132,'Entradas de Cálculos'!$D$131,-$G$38))</f>
        <v>0</v>
      </c>
      <c r="H43" s="176">
        <f>IF(H2-$G$2&gt;('Entradas de Cálculos'!$D$131-1),0,PMT('Entradas de Cálculos'!$D$132,'Entradas de Cálculos'!$D$131,-$G$38))</f>
        <v>0</v>
      </c>
      <c r="I43" s="176">
        <f>IF(I2-$G$2&gt;('Entradas de Cálculos'!$D$131-1),0,PMT('Entradas de Cálculos'!$D$132,'Entradas de Cálculos'!$D$131,-$G$38))</f>
        <v>0</v>
      </c>
      <c r="J43" s="176">
        <f>IF(J2-$G$2&gt;('Entradas de Cálculos'!$D$131-1),0,PMT('Entradas de Cálculos'!$D$132,'Entradas de Cálculos'!$D$131,-$G$38))</f>
        <v>0</v>
      </c>
      <c r="K43" s="176">
        <f>IF(K2-$G$2&gt;('Entradas de Cálculos'!$D$131-1),0,PMT('Entradas de Cálculos'!$D$132,'Entradas de Cálculos'!$D$131,-$G$38))</f>
        <v>0</v>
      </c>
      <c r="L43" s="176">
        <f>IF(L2-$G$2&gt;('Entradas de Cálculos'!$D$131-1),0,PMT('Entradas de Cálculos'!$D$132,'Entradas de Cálculos'!$D$131,-$G$38))</f>
        <v>0</v>
      </c>
      <c r="M43" s="176">
        <f>IF(M2-$G$2&gt;('Entradas de Cálculos'!$D$131-1),0,PMT('Entradas de Cálculos'!$D$132,'Entradas de Cálculos'!$D$131,-$G$38))</f>
        <v>0</v>
      </c>
      <c r="N43" s="176">
        <f>IF(N2-$G$2&gt;('Entradas de Cálculos'!$D$131-1),0,PMT('Entradas de Cálculos'!$D$132,'Entradas de Cálculos'!$D$131,-$G$38))</f>
        <v>0</v>
      </c>
      <c r="O43" s="176">
        <f>IF(O2-$G$2&gt;('Entradas de Cálculos'!$D$131-1),0,PMT('Entradas de Cálculos'!$D$132,'Entradas de Cálculos'!$D$131,-$G$38))</f>
        <v>0</v>
      </c>
      <c r="P43" s="176">
        <f>IF(P2-$G$2&gt;('Entradas de Cálculos'!$D$131-1),0,PMT('Entradas de Cálculos'!$D$132,'Entradas de Cálculos'!$D$131,-$G$38))</f>
        <v>0</v>
      </c>
      <c r="Q43" s="176">
        <f>IF(Q2-$G$2&gt;('Entradas de Cálculos'!$D$131-1),0,PMT('Entradas de Cálculos'!$D$132,'Entradas de Cálculos'!$D$131,-$G$38))</f>
        <v>0</v>
      </c>
      <c r="R43" s="176">
        <f>IF(R2-$G$2&gt;('Entradas de Cálculos'!$D$131-1),0,PMT('Entradas de Cálculos'!$D$132,'Entradas de Cálculos'!$D$131,-$G$38))</f>
        <v>0</v>
      </c>
      <c r="S43" s="176">
        <f>IF(S2-$G$2&gt;('Entradas de Cálculos'!$D$131-1),0,PMT('Entradas de Cálculos'!$D$132,'Entradas de Cálculos'!$D$131,-$G$38))</f>
        <v>0</v>
      </c>
      <c r="T43" s="176">
        <f>IF(T2-$G$2&gt;('Entradas de Cálculos'!$D$131-1),0,PMT('Entradas de Cálculos'!$D$132,'Entradas de Cálculos'!$D$131,-$G$38))</f>
        <v>0</v>
      </c>
      <c r="U43" s="176">
        <f>IF(U2-$G$2&gt;('Entradas de Cálculos'!$D$131-1),0,PMT('Entradas de Cálculos'!$D$132,'Entradas de Cálculos'!$D$131,-$G$38))</f>
        <v>0</v>
      </c>
      <c r="V43" s="176">
        <f>IF(V2-$G$2&gt;('Entradas de Cálculos'!$D$131-1),0,PMT('Entradas de Cálculos'!$D$132,'Entradas de Cálculos'!$D$131,-$G$38))</f>
        <v>0</v>
      </c>
      <c r="W43" s="176">
        <f>IF(W2-$G$2&gt;('Entradas de Cálculos'!$D$131-1),0,PMT('Entradas de Cálculos'!$D$132,'Entradas de Cálculos'!$D$131,-$G$38))</f>
        <v>0</v>
      </c>
      <c r="X43" s="176">
        <f>IF(X2-$G$2&gt;('Entradas de Cálculos'!$D$131-1),0,PMT('Entradas de Cálculos'!$D$132,'Entradas de Cálculos'!$D$131,-$G$38))</f>
        <v>0</v>
      </c>
    </row>
    <row r="44" spans="2:24" ht="14.25">
      <c r="B44" t="s">
        <v>136</v>
      </c>
      <c r="C44" s="176"/>
      <c r="D44" s="176"/>
      <c r="E44" s="176"/>
      <c r="F44" s="176"/>
      <c r="G44" s="176"/>
      <c r="H44" s="176">
        <f>IF(H2-$H$2&gt;('Entradas de Cálculos'!$D$131-1),0,PMT('Entradas de Cálculos'!$D$132,'Entradas de Cálculos'!$D$131,-$H$38))</f>
        <v>0</v>
      </c>
      <c r="I44" s="176">
        <f>IF(I2-$H$2&gt;('Entradas de Cálculos'!$D$131-1),0,PMT('Entradas de Cálculos'!$D$132,'Entradas de Cálculos'!$D$131,-$H$38))</f>
        <v>0</v>
      </c>
      <c r="J44" s="176">
        <f>IF(J2-$H$2&gt;('Entradas de Cálculos'!$D$131-1),0,PMT('Entradas de Cálculos'!$D$132,'Entradas de Cálculos'!$D$131,-$H$38))</f>
        <v>0</v>
      </c>
      <c r="K44" s="176">
        <f>IF(K2-$H$2&gt;('Entradas de Cálculos'!$D$131-1),0,PMT('Entradas de Cálculos'!$D$132,'Entradas de Cálculos'!$D$131,-$H$38))</f>
        <v>0</v>
      </c>
      <c r="L44" s="176">
        <f>IF(L2-$H$2&gt;('Entradas de Cálculos'!$D$131-1),0,PMT('Entradas de Cálculos'!$D$132,'Entradas de Cálculos'!$D$131,-$H$38))</f>
        <v>0</v>
      </c>
      <c r="M44" s="176">
        <f>IF(M2-$H$2&gt;('Entradas de Cálculos'!$D$131-1),0,PMT('Entradas de Cálculos'!$D$132,'Entradas de Cálculos'!$D$131,-$H$38))</f>
        <v>0</v>
      </c>
      <c r="N44" s="176">
        <f>IF(N2-$H$2&gt;('Entradas de Cálculos'!$D$131-1),0,PMT('Entradas de Cálculos'!$D$132,'Entradas de Cálculos'!$D$131,-$H$38))</f>
        <v>0</v>
      </c>
      <c r="O44" s="176">
        <f>IF(O2-$H$2&gt;('Entradas de Cálculos'!$D$131-1),0,PMT('Entradas de Cálculos'!$D$132,'Entradas de Cálculos'!$D$131,-$H$38))</f>
        <v>0</v>
      </c>
      <c r="P44" s="176">
        <f>IF(P2-$H$2&gt;('Entradas de Cálculos'!$D$131-1),0,PMT('Entradas de Cálculos'!$D$132,'Entradas de Cálculos'!$D$131,-$H$38))</f>
        <v>0</v>
      </c>
      <c r="Q44" s="176">
        <f>IF(Q2-$H$2&gt;('Entradas de Cálculos'!$D$131-1),0,PMT('Entradas de Cálculos'!$D$132,'Entradas de Cálculos'!$D$131,-$H$38))</f>
        <v>0</v>
      </c>
      <c r="R44" s="176">
        <f>IF(R2-$H$2&gt;('Entradas de Cálculos'!$D$131-1),0,PMT('Entradas de Cálculos'!$D$132,'Entradas de Cálculos'!$D$131,-$H$38))</f>
        <v>0</v>
      </c>
      <c r="S44" s="176">
        <f>IF(S2-$H$2&gt;('Entradas de Cálculos'!$D$131-1),0,PMT('Entradas de Cálculos'!$D$132,'Entradas de Cálculos'!$D$131,-$H$38))</f>
        <v>0</v>
      </c>
      <c r="T44" s="176">
        <f>IF(T2-$H$2&gt;('Entradas de Cálculos'!$D$131-1),0,PMT('Entradas de Cálculos'!$D$132,'Entradas de Cálculos'!$D$131,-$H$38))</f>
        <v>0</v>
      </c>
      <c r="U44" s="176">
        <f>IF(U2-$H$2&gt;('Entradas de Cálculos'!$D$131-1),0,PMT('Entradas de Cálculos'!$D$132,'Entradas de Cálculos'!$D$131,-$H$38))</f>
        <v>0</v>
      </c>
      <c r="V44" s="176">
        <f>IF(V2-$H$2&gt;('Entradas de Cálculos'!$D$131-1),0,PMT('Entradas de Cálculos'!$D$132,'Entradas de Cálculos'!$D$131,-$H$38))</f>
        <v>0</v>
      </c>
      <c r="W44" s="176">
        <f>IF(W2-$H$2&gt;('Entradas de Cálculos'!$D$131-1),0,PMT('Entradas de Cálculos'!$D$132,'Entradas de Cálculos'!$D$131,-$H$38))</f>
        <v>0</v>
      </c>
      <c r="X44" s="176">
        <f>IF(X2-$H$2&gt;('Entradas de Cálculos'!$D$131-1),0,PMT('Entradas de Cálculos'!$D$132,'Entradas de Cálculos'!$D$131,-$H$38))</f>
        <v>0</v>
      </c>
    </row>
    <row r="45" spans="2:24" ht="14.25">
      <c r="B45" t="s">
        <v>136</v>
      </c>
      <c r="C45" s="176"/>
      <c r="D45" s="176"/>
      <c r="E45" s="176"/>
      <c r="F45" s="176"/>
      <c r="G45" s="176"/>
      <c r="H45" s="176"/>
      <c r="I45" s="176">
        <f>IF(I2-$I$2&gt;('Entradas de Cálculos'!$D$131-1),0,PMT('Entradas de Cálculos'!$D$132,'Entradas de Cálculos'!$D$131,-$I$38))</f>
        <v>0</v>
      </c>
      <c r="J45" s="176">
        <f>IF(J2-$I$2&gt;('Entradas de Cálculos'!$D$131-1),0,PMT('Entradas de Cálculos'!$D$132,'Entradas de Cálculos'!$D$131,-$I$38))</f>
        <v>0</v>
      </c>
      <c r="K45" s="176">
        <f>IF(K2-$I$2&gt;('Entradas de Cálculos'!$D$131-1),0,PMT('Entradas de Cálculos'!$D$132,'Entradas de Cálculos'!$D$131,-$I$38))</f>
        <v>0</v>
      </c>
      <c r="L45" s="176">
        <f>IF(L2-$I$2&gt;('Entradas de Cálculos'!$D$131-1),0,PMT('Entradas de Cálculos'!$D$132,'Entradas de Cálculos'!$D$131,-$I$38))</f>
        <v>0</v>
      </c>
      <c r="M45" s="176">
        <f>IF(M2-$I$2&gt;('Entradas de Cálculos'!$D$131-1),0,PMT('Entradas de Cálculos'!$D$132,'Entradas de Cálculos'!$D$131,-$I$38))</f>
        <v>0</v>
      </c>
      <c r="N45" s="176">
        <f>IF(N2-$I$2&gt;('Entradas de Cálculos'!$D$131-1),0,PMT('Entradas de Cálculos'!$D$132,'Entradas de Cálculos'!$D$131,-$I$38))</f>
        <v>0</v>
      </c>
      <c r="O45" s="176">
        <f>IF(O2-$I$2&gt;('Entradas de Cálculos'!$D$131-1),0,PMT('Entradas de Cálculos'!$D$132,'Entradas de Cálculos'!$D$131,-$I$38))</f>
        <v>0</v>
      </c>
      <c r="P45" s="176">
        <f>IF(P2-$I$2&gt;('Entradas de Cálculos'!$D$131-1),0,PMT('Entradas de Cálculos'!$D$132,'Entradas de Cálculos'!$D$131,-$I$38))</f>
        <v>0</v>
      </c>
      <c r="Q45" s="176">
        <f>IF(Q2-$I$2&gt;('Entradas de Cálculos'!$D$131-1),0,PMT('Entradas de Cálculos'!$D$132,'Entradas de Cálculos'!$D$131,-$I$38))</f>
        <v>0</v>
      </c>
      <c r="R45" s="176">
        <f>IF(R2-$I$2&gt;('Entradas de Cálculos'!$D$131-1),0,PMT('Entradas de Cálculos'!$D$132,'Entradas de Cálculos'!$D$131,-$I$38))</f>
        <v>0</v>
      </c>
      <c r="S45" s="176">
        <f>IF(S2-$I$2&gt;('Entradas de Cálculos'!$D$131-1),0,PMT('Entradas de Cálculos'!$D$132,'Entradas de Cálculos'!$D$131,-$I$38))</f>
        <v>0</v>
      </c>
      <c r="T45" s="176">
        <f>IF(T2-$I$2&gt;('Entradas de Cálculos'!$D$131-1),0,PMT('Entradas de Cálculos'!$D$132,'Entradas de Cálculos'!$D$131,-$I$38))</f>
        <v>0</v>
      </c>
      <c r="U45" s="176">
        <f>IF(U2-$I$2&gt;('Entradas de Cálculos'!$D$131-1),0,PMT('Entradas de Cálculos'!$D$132,'Entradas de Cálculos'!$D$131,-$I$38))</f>
        <v>0</v>
      </c>
      <c r="V45" s="176">
        <f>IF(V2-$I$2&gt;('Entradas de Cálculos'!$D$131-1),0,PMT('Entradas de Cálculos'!$D$132,'Entradas de Cálculos'!$D$131,-$I$38))</f>
        <v>0</v>
      </c>
      <c r="W45" s="176">
        <f>IF(W2-$I$2&gt;('Entradas de Cálculos'!$D$131-1),0,PMT('Entradas de Cálculos'!$D$132,'Entradas de Cálculos'!$D$131,-$I$38))</f>
        <v>0</v>
      </c>
      <c r="X45" s="176">
        <f>IF(X2-$I$2&gt;('Entradas de Cálculos'!$D$131-1),0,PMT('Entradas de Cálculos'!$D$132,'Entradas de Cálculos'!$D$131,-$I$38))</f>
        <v>0</v>
      </c>
    </row>
    <row r="46" spans="2:24" ht="14.25">
      <c r="B46" t="s">
        <v>136</v>
      </c>
      <c r="C46" s="176"/>
      <c r="D46" s="176"/>
      <c r="E46" s="176"/>
      <c r="F46" s="176"/>
      <c r="G46" s="176"/>
      <c r="H46" s="176"/>
      <c r="I46" s="176"/>
      <c r="J46" s="176">
        <f>IF(J2-$J$2&gt;('Entradas de Cálculos'!$D$131-1),0,PMT('Entradas de Cálculos'!$D$132,'Entradas de Cálculos'!$D$131,-$J$38))</f>
        <v>0</v>
      </c>
      <c r="K46" s="176">
        <f>IF(K2-$J$2&gt;('Entradas de Cálculos'!$D$131-1),0,PMT('Entradas de Cálculos'!$D$132,'Entradas de Cálculos'!$D$131,-$J$38))</f>
        <v>0</v>
      </c>
      <c r="L46" s="176">
        <f>IF(L2-$J$2&gt;('Entradas de Cálculos'!$D$131-1),0,PMT('Entradas de Cálculos'!$D$132,'Entradas de Cálculos'!$D$131,-$J$38))</f>
        <v>0</v>
      </c>
      <c r="M46" s="176">
        <f>IF(M2-$J$2&gt;('Entradas de Cálculos'!$D$131-1),0,PMT('Entradas de Cálculos'!$D$132,'Entradas de Cálculos'!$D$131,-$J$38))</f>
        <v>0</v>
      </c>
      <c r="N46" s="176">
        <f>IF(N2-$J$2&gt;('Entradas de Cálculos'!$D$131-1),0,PMT('Entradas de Cálculos'!$D$132,'Entradas de Cálculos'!$D$131,-$J$38))</f>
        <v>0</v>
      </c>
      <c r="O46" s="176">
        <f>IF(O2-$J$2&gt;('Entradas de Cálculos'!$D$131-1),0,PMT('Entradas de Cálculos'!$D$132,'Entradas de Cálculos'!$D$131,-$J$38))</f>
        <v>0</v>
      </c>
      <c r="P46" s="176">
        <f>IF(P2-$J$2&gt;('Entradas de Cálculos'!$D$131-1),0,PMT('Entradas de Cálculos'!$D$132,'Entradas de Cálculos'!$D$131,-$J$38))</f>
        <v>0</v>
      </c>
      <c r="Q46" s="176">
        <f>IF(Q2-$J$2&gt;('Entradas de Cálculos'!$D$131-1),0,PMT('Entradas de Cálculos'!$D$132,'Entradas de Cálculos'!$D$131,-$J$38))</f>
        <v>0</v>
      </c>
      <c r="R46" s="176">
        <f>IF(R2-$J$2&gt;('Entradas de Cálculos'!$D$131-1),0,PMT('Entradas de Cálculos'!$D$132,'Entradas de Cálculos'!$D$131,-$J$38))</f>
        <v>0</v>
      </c>
      <c r="S46" s="176">
        <f>IF(S2-$J$2&gt;('Entradas de Cálculos'!$D$131-1),0,PMT('Entradas de Cálculos'!$D$132,'Entradas de Cálculos'!$D$131,-$J$38))</f>
        <v>0</v>
      </c>
      <c r="T46" s="176">
        <f>IF(T2-$J$2&gt;('Entradas de Cálculos'!$D$131-1),0,PMT('Entradas de Cálculos'!$D$132,'Entradas de Cálculos'!$D$131,-$J$38))</f>
        <v>0</v>
      </c>
      <c r="U46" s="176">
        <f>IF(U2-$J$2&gt;('Entradas de Cálculos'!$D$131-1),0,PMT('Entradas de Cálculos'!$D$132,'Entradas de Cálculos'!$D$131,-$J$38))</f>
        <v>0</v>
      </c>
      <c r="V46" s="176">
        <f>IF(V2-$J$2&gt;('Entradas de Cálculos'!$D$131-1),0,PMT('Entradas de Cálculos'!$D$132,'Entradas de Cálculos'!$D$131,-$J$38))</f>
        <v>0</v>
      </c>
      <c r="W46" s="176">
        <f>IF(W2-$J$2&gt;('Entradas de Cálculos'!$D$131-1),0,PMT('Entradas de Cálculos'!$D$132,'Entradas de Cálculos'!$D$131,-$J$38))</f>
        <v>0</v>
      </c>
      <c r="X46" s="176">
        <f>IF(X2-$J$2&gt;('Entradas de Cálculos'!$D$131-1),0,PMT('Entradas de Cálculos'!$D$132,'Entradas de Cálculos'!$D$131,-$J$38))</f>
        <v>0</v>
      </c>
    </row>
    <row r="47" spans="2:24" ht="14.25">
      <c r="B47" t="s">
        <v>136</v>
      </c>
      <c r="C47" s="176"/>
      <c r="D47" s="176"/>
      <c r="E47" s="176"/>
      <c r="F47" s="176"/>
      <c r="G47" s="176"/>
      <c r="H47" s="176"/>
      <c r="I47" s="176"/>
      <c r="J47" s="176"/>
      <c r="K47" s="176">
        <f>IF(K2-$K$2&gt;('Entradas de Cálculos'!$D$131-1),0,PMT('Entradas de Cálculos'!$D$132,'Entradas de Cálculos'!$D$131,-$K$38))</f>
        <v>0</v>
      </c>
      <c r="L47" s="176">
        <f>IF(L2-$K$2&gt;('Entradas de Cálculos'!$D$131-1),0,PMT('Entradas de Cálculos'!$D$132,'Entradas de Cálculos'!$D$131,-$K$38))</f>
        <v>0</v>
      </c>
      <c r="M47" s="176">
        <f>IF(M2-$K$2&gt;('Entradas de Cálculos'!$D$131-1),0,PMT('Entradas de Cálculos'!$D$132,'Entradas de Cálculos'!$D$131,-$K$38))</f>
        <v>0</v>
      </c>
      <c r="N47" s="176">
        <f>IF(N2-$K$2&gt;('Entradas de Cálculos'!$D$131-1),0,PMT('Entradas de Cálculos'!$D$132,'Entradas de Cálculos'!$D$131,-$K$38))</f>
        <v>0</v>
      </c>
      <c r="O47" s="176">
        <f>IF(O2-$K$2&gt;('Entradas de Cálculos'!$D$131-1),0,PMT('Entradas de Cálculos'!$D$132,'Entradas de Cálculos'!$D$131,-$K$38))</f>
        <v>0</v>
      </c>
      <c r="P47" s="176">
        <f>IF(P2-$K$2&gt;('Entradas de Cálculos'!$D$131-1),0,PMT('Entradas de Cálculos'!$D$132,'Entradas de Cálculos'!$D$131,-$K$38))</f>
        <v>0</v>
      </c>
      <c r="Q47" s="176">
        <f>IF(Q2-$K$2&gt;('Entradas de Cálculos'!$D$131-1),0,PMT('Entradas de Cálculos'!$D$132,'Entradas de Cálculos'!$D$131,-$K$38))</f>
        <v>0</v>
      </c>
      <c r="R47" s="176">
        <f>IF(R2-$K$2&gt;('Entradas de Cálculos'!$D$131-1),0,PMT('Entradas de Cálculos'!$D$132,'Entradas de Cálculos'!$D$131,-$K$38))</f>
        <v>0</v>
      </c>
      <c r="S47" s="176">
        <f>IF(S2-$K$2&gt;('Entradas de Cálculos'!$D$131-1),0,PMT('Entradas de Cálculos'!$D$132,'Entradas de Cálculos'!$D$131,-$K$38))</f>
        <v>0</v>
      </c>
      <c r="T47" s="176">
        <f>IF(T2-$K$2&gt;('Entradas de Cálculos'!$D$131-1),0,PMT('Entradas de Cálculos'!$D$132,'Entradas de Cálculos'!$D$131,-$K$38))</f>
        <v>0</v>
      </c>
      <c r="U47" s="176">
        <f>IF(U2-$K$2&gt;('Entradas de Cálculos'!$D$131-1),0,PMT('Entradas de Cálculos'!$D$132,'Entradas de Cálculos'!$D$131,-$K$38))</f>
        <v>0</v>
      </c>
      <c r="V47" s="176">
        <f>IF(V2-$K$2&gt;('Entradas de Cálculos'!$D$131-1),0,PMT('Entradas de Cálculos'!$D$132,'Entradas de Cálculos'!$D$131,-$K$38))</f>
        <v>0</v>
      </c>
      <c r="W47" s="176">
        <f>IF(W2-$K$2&gt;('Entradas de Cálculos'!$D$131-1),0,PMT('Entradas de Cálculos'!$D$132,'Entradas de Cálculos'!$D$131,-$K$38))</f>
        <v>0</v>
      </c>
      <c r="X47" s="176">
        <f>IF(X2-$K$2&gt;('Entradas de Cálculos'!$D$131-1),0,PMT('Entradas de Cálculos'!$D$132,'Entradas de Cálculos'!$D$131,-$K$38))</f>
        <v>0</v>
      </c>
    </row>
    <row r="48" spans="2:24" ht="14.25">
      <c r="B48" t="s">
        <v>136</v>
      </c>
      <c r="C48" s="176"/>
      <c r="D48" s="176"/>
      <c r="E48" s="176"/>
      <c r="F48" s="176"/>
      <c r="G48" s="176"/>
      <c r="H48" s="176"/>
      <c r="I48" s="176"/>
      <c r="J48" s="176"/>
      <c r="K48" s="176"/>
      <c r="L48" s="176">
        <f>IF(L2-$L$2&gt;('Entradas de Cálculos'!$D$131-1),0,PMT('Entradas de Cálculos'!$D$132,'Entradas de Cálculos'!$D$131,-$L$38))</f>
        <v>0</v>
      </c>
      <c r="M48" s="176">
        <f>IF(M2-$L$2&gt;('Entradas de Cálculos'!$D$131-1),0,PMT('Entradas de Cálculos'!$D$132,'Entradas de Cálculos'!$D$131,-$L$38))</f>
        <v>0</v>
      </c>
      <c r="N48" s="176">
        <f>IF(N2-$L$2&gt;('Entradas de Cálculos'!$D$131-1),0,PMT('Entradas de Cálculos'!$D$132,'Entradas de Cálculos'!$D$131,-$L$38))</f>
        <v>0</v>
      </c>
      <c r="O48" s="176">
        <f>IF(O2-$L$2&gt;('Entradas de Cálculos'!$D$131-1),0,PMT('Entradas de Cálculos'!$D$132,'Entradas de Cálculos'!$D$131,-$L$38))</f>
        <v>0</v>
      </c>
      <c r="P48" s="176">
        <f>IF(P2-$L$2&gt;('Entradas de Cálculos'!$D$131-1),0,PMT('Entradas de Cálculos'!$D$132,'Entradas de Cálculos'!$D$131,-$L$38))</f>
        <v>0</v>
      </c>
      <c r="Q48" s="176">
        <f>IF(Q2-$L$2&gt;('Entradas de Cálculos'!$D$131-1),0,PMT('Entradas de Cálculos'!$D$132,'Entradas de Cálculos'!$D$131,-$L$38))</f>
        <v>0</v>
      </c>
      <c r="R48" s="176">
        <f>IF(R2-$L$2&gt;('Entradas de Cálculos'!$D$131-1),0,PMT('Entradas de Cálculos'!$D$132,'Entradas de Cálculos'!$D$131,-$L$38))</f>
        <v>0</v>
      </c>
      <c r="S48" s="176">
        <f>IF(S2-$L$2&gt;('Entradas de Cálculos'!$D$131-1),0,PMT('Entradas de Cálculos'!$D$132,'Entradas de Cálculos'!$D$131,-$L$38))</f>
        <v>0</v>
      </c>
      <c r="T48" s="176">
        <f>IF(T2-$L$2&gt;('Entradas de Cálculos'!$D$131-1),0,PMT('Entradas de Cálculos'!$D$132,'Entradas de Cálculos'!$D$131,-$L$38))</f>
        <v>0</v>
      </c>
      <c r="U48" s="176">
        <f>IF(U2-$L$2&gt;('Entradas de Cálculos'!$D$131-1),0,PMT('Entradas de Cálculos'!$D$132,'Entradas de Cálculos'!$D$131,-$L$38))</f>
        <v>0</v>
      </c>
      <c r="V48" s="176">
        <f>IF(V2-$L$2&gt;('Entradas de Cálculos'!$D$131-1),0,PMT('Entradas de Cálculos'!$D$132,'Entradas de Cálculos'!$D$131,-$L$38))</f>
        <v>0</v>
      </c>
      <c r="W48" s="176">
        <f>IF(W2-$L$2&gt;('Entradas de Cálculos'!$D$131-1),0,PMT('Entradas de Cálculos'!$D$132,'Entradas de Cálculos'!$D$131,-$L$38))</f>
        <v>0</v>
      </c>
      <c r="X48" s="176">
        <f>IF(X2-$L$2&gt;('Entradas de Cálculos'!$D$131-1),0,PMT('Entradas de Cálculos'!$D$132,'Entradas de Cálculos'!$D$131,-$L$38))</f>
        <v>0</v>
      </c>
    </row>
    <row r="49" spans="2:24" ht="14.25">
      <c r="B49" t="s">
        <v>136</v>
      </c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>
        <f>IF(M2-$M$2&gt;('Entradas de Cálculos'!$D$131-1),0,PMT('Entradas de Cálculos'!$D$132,'Entradas de Cálculos'!$D$131,-$M$38))</f>
        <v>0</v>
      </c>
      <c r="N49" s="176">
        <f>IF(N2-$M$2&gt;('Entradas de Cálculos'!$D$131-1),0,PMT('Entradas de Cálculos'!$D$132,'Entradas de Cálculos'!$D$131,-$M$38))</f>
        <v>0</v>
      </c>
      <c r="O49" s="176">
        <f>IF(O2-$M$2&gt;('Entradas de Cálculos'!$D$131-1),0,PMT('Entradas de Cálculos'!$D$132,'Entradas de Cálculos'!$D$131,-$M$38))</f>
        <v>0</v>
      </c>
      <c r="P49" s="176">
        <f>IF(P2-$M$2&gt;('Entradas de Cálculos'!$D$131-1),0,PMT('Entradas de Cálculos'!$D$132,'Entradas de Cálculos'!$D$131,-$M$38))</f>
        <v>0</v>
      </c>
      <c r="Q49" s="176">
        <f>IF(Q2-$M$2&gt;('Entradas de Cálculos'!$D$131-1),0,PMT('Entradas de Cálculos'!$D$132,'Entradas de Cálculos'!$D$131,-$M$38))</f>
        <v>0</v>
      </c>
      <c r="R49" s="176">
        <f>IF(R2-$M$2&gt;('Entradas de Cálculos'!$D$131-1),0,PMT('Entradas de Cálculos'!$D$132,'Entradas de Cálculos'!$D$131,-$M$38))</f>
        <v>0</v>
      </c>
      <c r="S49" s="176">
        <f>IF(S2-$M$2&gt;('Entradas de Cálculos'!$D$131-1),0,PMT('Entradas de Cálculos'!$D$132,'Entradas de Cálculos'!$D$131,-$M$38))</f>
        <v>0</v>
      </c>
      <c r="T49" s="176">
        <f>IF(T2-$M$2&gt;('Entradas de Cálculos'!$D$131-1),0,PMT('Entradas de Cálculos'!$D$132,'Entradas de Cálculos'!$D$131,-$M$38))</f>
        <v>0</v>
      </c>
      <c r="U49" s="176">
        <f>IF(U2-$M$2&gt;('Entradas de Cálculos'!$D$131-1),0,PMT('Entradas de Cálculos'!$D$132,'Entradas de Cálculos'!$D$131,-$M$38))</f>
        <v>0</v>
      </c>
      <c r="V49" s="176">
        <f>IF(V2-$M$2&gt;('Entradas de Cálculos'!$D$131-1),0,PMT('Entradas de Cálculos'!$D$132,'Entradas de Cálculos'!$D$131,-$M$38))</f>
        <v>0</v>
      </c>
      <c r="W49" s="176">
        <f>IF(W2-$M$2&gt;('Entradas de Cálculos'!$D$131-1),0,PMT('Entradas de Cálculos'!$D$132,'Entradas de Cálculos'!$D$131,-$M$38))</f>
        <v>0</v>
      </c>
      <c r="X49" s="176">
        <f>IF(X2-$M$2&gt;('Entradas de Cálculos'!$D$131-1),0,PMT('Entradas de Cálculos'!$D$132,'Entradas de Cálculos'!$D$131,-$M$38))</f>
        <v>0</v>
      </c>
    </row>
    <row r="50" spans="2:24" ht="14.25">
      <c r="B50" t="s">
        <v>136</v>
      </c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>
        <f>IF(N2-$N$2&gt;('Entradas de Cálculos'!$D$131-1),0,PMT('Entradas de Cálculos'!$D$132,'Entradas de Cálculos'!$D$131,-$N$38))</f>
        <v>0</v>
      </c>
      <c r="O50" s="176">
        <f>IF(O2-$N$2&gt;('Entradas de Cálculos'!$D$131-1),0,PMT('Entradas de Cálculos'!$D$132,'Entradas de Cálculos'!$D$131,-$N$38))</f>
        <v>0</v>
      </c>
      <c r="P50" s="176">
        <f>IF(P2-$N$2&gt;('Entradas de Cálculos'!$D$131-1),0,PMT('Entradas de Cálculos'!$D$132,'Entradas de Cálculos'!$D$131,-$N$38))</f>
        <v>0</v>
      </c>
      <c r="Q50" s="176">
        <f>IF(Q2-$N$2&gt;('Entradas de Cálculos'!$D$131-1),0,PMT('Entradas de Cálculos'!$D$132,'Entradas de Cálculos'!$D$131,-$N$38))</f>
        <v>0</v>
      </c>
      <c r="R50" s="176">
        <f>IF(R2-$N$2&gt;('Entradas de Cálculos'!$D$131-1),0,PMT('Entradas de Cálculos'!$D$132,'Entradas de Cálculos'!$D$131,-$N$38))</f>
        <v>0</v>
      </c>
      <c r="S50" s="176">
        <f>IF(S2-$N$2&gt;('Entradas de Cálculos'!$D$131-1),0,PMT('Entradas de Cálculos'!$D$132,'Entradas de Cálculos'!$D$131,-$N$38))</f>
        <v>0</v>
      </c>
      <c r="T50" s="176">
        <f>IF(T2-$N$2&gt;('Entradas de Cálculos'!$D$131-1),0,PMT('Entradas de Cálculos'!$D$132,'Entradas de Cálculos'!$D$131,-$N$38))</f>
        <v>0</v>
      </c>
      <c r="U50" s="176">
        <f>IF(U2-$N$2&gt;('Entradas de Cálculos'!$D$131-1),0,PMT('Entradas de Cálculos'!$D$132,'Entradas de Cálculos'!$D$131,-$N$38))</f>
        <v>0</v>
      </c>
      <c r="V50" s="176">
        <f>IF(V2-$N$2&gt;('Entradas de Cálculos'!$D$131-1),0,PMT('Entradas de Cálculos'!$D$132,'Entradas de Cálculos'!$D$131,-$N$38))</f>
        <v>0</v>
      </c>
      <c r="W50" s="176">
        <f>IF(W2-$N$2&gt;('Entradas de Cálculos'!$D$131-1),0,PMT('Entradas de Cálculos'!$D$132,'Entradas de Cálculos'!$D$131,-$N$38))</f>
        <v>0</v>
      </c>
      <c r="X50" s="176">
        <f>IF(X2-$N$2&gt;('Entradas de Cálculos'!$D$131-1),0,PMT('Entradas de Cálculos'!$D$132,'Entradas de Cálculos'!$D$131,-$N$38))</f>
        <v>0</v>
      </c>
    </row>
    <row r="51" spans="2:24" ht="14.25">
      <c r="B51" t="s">
        <v>136</v>
      </c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>
        <f>IF(O2-$O$2&gt;('Entradas de Cálculos'!$D$131-1),0,PMT('Entradas de Cálculos'!$D$132,'Entradas de Cálculos'!$D$131,-$O$38))</f>
        <v>0</v>
      </c>
      <c r="P51" s="176">
        <f>IF(P2-$O$2&gt;('Entradas de Cálculos'!$D$131-1),0,PMT('Entradas de Cálculos'!$D$132,'Entradas de Cálculos'!$D$131,-$O$38))</f>
        <v>0</v>
      </c>
      <c r="Q51" s="176">
        <f>IF(Q2-$O$2&gt;('Entradas de Cálculos'!$D$131-1),0,PMT('Entradas de Cálculos'!$D$132,'Entradas de Cálculos'!$D$131,-$O$38))</f>
        <v>0</v>
      </c>
      <c r="R51" s="176">
        <f>IF(R2-$O$2&gt;('Entradas de Cálculos'!$D$131-1),0,PMT('Entradas de Cálculos'!$D$132,'Entradas de Cálculos'!$D$131,-$O$38))</f>
        <v>0</v>
      </c>
      <c r="S51" s="176">
        <f>IF(S2-$O$2&gt;('Entradas de Cálculos'!$D$131-1),0,PMT('Entradas de Cálculos'!$D$132,'Entradas de Cálculos'!$D$131,-$O$38))</f>
        <v>0</v>
      </c>
      <c r="T51" s="176">
        <f>IF(T2-$O$2&gt;('Entradas de Cálculos'!$D$131-1),0,PMT('Entradas de Cálculos'!$D$132,'Entradas de Cálculos'!$D$131,-$O$38))</f>
        <v>0</v>
      </c>
      <c r="U51" s="176">
        <f>IF(U2-$O$2&gt;('Entradas de Cálculos'!$D$131-1),0,PMT('Entradas de Cálculos'!$D$132,'Entradas de Cálculos'!$D$131,-$O$38))</f>
        <v>0</v>
      </c>
      <c r="V51" s="176">
        <f>IF(V2-$O$2&gt;('Entradas de Cálculos'!$D$131-1),0,PMT('Entradas de Cálculos'!$D$132,'Entradas de Cálculos'!$D$131,-$O$38))</f>
        <v>0</v>
      </c>
      <c r="W51" s="176">
        <f>IF(W2-$O$2&gt;('Entradas de Cálculos'!$D$131-1),0,PMT('Entradas de Cálculos'!$D$132,'Entradas de Cálculos'!$D$131,-$O$38))</f>
        <v>0</v>
      </c>
      <c r="X51" s="176">
        <f>IF(X2-$O$2&gt;('Entradas de Cálculos'!$D$131-1),0,PMT('Entradas de Cálculos'!$D$132,'Entradas de Cálculos'!$D$131,-$O$38))</f>
        <v>0</v>
      </c>
    </row>
    <row r="52" spans="2:24" ht="14.25">
      <c r="B52" t="s">
        <v>136</v>
      </c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>
        <f>IF(P2-$P$2&gt;('Entradas de Cálculos'!$D$131-1),0,PMT('Entradas de Cálculos'!$D$132,'Entradas de Cálculos'!$D$131,-$P$38))</f>
        <v>0</v>
      </c>
      <c r="Q52" s="176">
        <f>IF(Q2-$P$2&gt;('Entradas de Cálculos'!$D$131-1),0,PMT('Entradas de Cálculos'!$D$132,'Entradas de Cálculos'!$D$131,-$P$38))</f>
        <v>0</v>
      </c>
      <c r="R52" s="176">
        <f>IF(R2-$P$2&gt;('Entradas de Cálculos'!$D$131-1),0,PMT('Entradas de Cálculos'!$D$132,'Entradas de Cálculos'!$D$131,-$P$38))</f>
        <v>0</v>
      </c>
      <c r="S52" s="176">
        <f>IF(S2-$P$2&gt;('Entradas de Cálculos'!$D$131-1),0,PMT('Entradas de Cálculos'!$D$132,'Entradas de Cálculos'!$D$131,-$P$38))</f>
        <v>0</v>
      </c>
      <c r="T52" s="176">
        <f>IF(T2-$P$2&gt;('Entradas de Cálculos'!$D$131-1),0,PMT('Entradas de Cálculos'!$D$132,'Entradas de Cálculos'!$D$131,-$P$38))</f>
        <v>0</v>
      </c>
      <c r="U52" s="176">
        <f>IF(U2-$P$2&gt;('Entradas de Cálculos'!$D$131-1),0,PMT('Entradas de Cálculos'!$D$132,'Entradas de Cálculos'!$D$131,-$P$38))</f>
        <v>0</v>
      </c>
      <c r="V52" s="176">
        <f>IF(V2-$P$2&gt;('Entradas de Cálculos'!$D$131-1),0,PMT('Entradas de Cálculos'!$D$132,'Entradas de Cálculos'!$D$131,-$P$38))</f>
        <v>0</v>
      </c>
      <c r="W52" s="176">
        <f>IF(W2-$P$2&gt;('Entradas de Cálculos'!$D$131-1),0,PMT('Entradas de Cálculos'!$D$132,'Entradas de Cálculos'!$D$131,-$P$38))</f>
        <v>0</v>
      </c>
      <c r="X52" s="176">
        <f>IF(X2-$P$2&gt;('Entradas de Cálculos'!$D$131-1),0,PMT('Entradas de Cálculos'!$D$132,'Entradas de Cálculos'!$D$131,-$P$38))</f>
        <v>0</v>
      </c>
    </row>
    <row r="53" spans="2:24" ht="14.25">
      <c r="B53" t="s">
        <v>136</v>
      </c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>
        <f>IF(Q2-$Q$2&gt;('Entradas de Cálculos'!$D$131-1),0,PMT('Entradas de Cálculos'!$D$132,'Entradas de Cálculos'!$D$131,-$Q$38))</f>
        <v>0</v>
      </c>
      <c r="R53" s="176">
        <f>IF(R2-$Q$2&gt;('Entradas de Cálculos'!$D$131-1),0,PMT('Entradas de Cálculos'!$D$132,'Entradas de Cálculos'!$D$131,-$Q$38))</f>
        <v>0</v>
      </c>
      <c r="S53" s="176">
        <f>IF(S2-$Q$2&gt;('Entradas de Cálculos'!$D$131-1),0,PMT('Entradas de Cálculos'!$D$132,'Entradas de Cálculos'!$D$131,-$Q$38))</f>
        <v>0</v>
      </c>
      <c r="T53" s="176">
        <f>IF(T2-$Q$2&gt;('Entradas de Cálculos'!$D$131-1),0,PMT('Entradas de Cálculos'!$D$132,'Entradas de Cálculos'!$D$131,-$Q$38))</f>
        <v>0</v>
      </c>
      <c r="U53" s="176">
        <f>IF(U2-$Q$2&gt;('Entradas de Cálculos'!$D$131-1),0,PMT('Entradas de Cálculos'!$D$132,'Entradas de Cálculos'!$D$131,-$Q$38))</f>
        <v>0</v>
      </c>
      <c r="V53" s="176">
        <f>IF(V2-$Q$2&gt;('Entradas de Cálculos'!$D$131-1),0,PMT('Entradas de Cálculos'!$D$132,'Entradas de Cálculos'!$D$131,-$Q$38))</f>
        <v>0</v>
      </c>
      <c r="W53" s="176">
        <f>IF(W2-$Q$2&gt;('Entradas de Cálculos'!$D$131-1),0,PMT('Entradas de Cálculos'!$D$132,'Entradas de Cálculos'!$D$131,-$Q$38))</f>
        <v>0</v>
      </c>
      <c r="X53" s="176">
        <f>IF(X2-$Q$2&gt;('Entradas de Cálculos'!$D$131-1),0,PMT('Entradas de Cálculos'!$D$132,'Entradas de Cálculos'!$D$131,-$Q$38))</f>
        <v>0</v>
      </c>
    </row>
    <row r="54" spans="2:24" ht="14.25">
      <c r="B54" t="s">
        <v>136</v>
      </c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>
        <f>IF(R2-$R$2&gt;('Entradas de Cálculos'!$D$131-1),0,PMT('Entradas de Cálculos'!$D$132,'Entradas de Cálculos'!$D$131,-$R$38))</f>
        <v>0</v>
      </c>
      <c r="S54" s="176">
        <f>IF(S2-$R$2&gt;('Entradas de Cálculos'!$D$131-1),0,PMT('Entradas de Cálculos'!$D$132,'Entradas de Cálculos'!$D$131,-$R$38))</f>
        <v>0</v>
      </c>
      <c r="T54" s="176">
        <f>IF(T2-$R$2&gt;('Entradas de Cálculos'!$D$131-1),0,PMT('Entradas de Cálculos'!$D$132,'Entradas de Cálculos'!$D$131,-$R$38))</f>
        <v>0</v>
      </c>
      <c r="U54" s="176">
        <f>IF(U2-$R$2&gt;('Entradas de Cálculos'!$D$131-1),0,PMT('Entradas de Cálculos'!$D$132,'Entradas de Cálculos'!$D$131,-$R$38))</f>
        <v>0</v>
      </c>
      <c r="V54" s="176">
        <f>IF(V2-$R$2&gt;('Entradas de Cálculos'!$D$131-1),0,PMT('Entradas de Cálculos'!$D$132,'Entradas de Cálculos'!$D$131,-$R$38))</f>
        <v>0</v>
      </c>
      <c r="W54" s="176">
        <f>IF(W2-$R$2&gt;('Entradas de Cálculos'!$D$131-1),0,PMT('Entradas de Cálculos'!$D$132,'Entradas de Cálculos'!$D$131,-$R$38))</f>
        <v>0</v>
      </c>
      <c r="X54" s="176">
        <f>IF(X2-$R$2&gt;('Entradas de Cálculos'!$D$131-1),0,PMT('Entradas de Cálculos'!$D$132,'Entradas de Cálculos'!$D$131,-$R$38))</f>
        <v>0</v>
      </c>
    </row>
    <row r="55" spans="2:24" ht="14.25">
      <c r="B55" t="s">
        <v>136</v>
      </c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>
        <f>IF(S2-$S$2&gt;('Entradas de Cálculos'!$D$131-1),0,PMT('Entradas de Cálculos'!$D$132,'Entradas de Cálculos'!$D$131,-$S$38))</f>
        <v>0</v>
      </c>
      <c r="T55" s="176">
        <f>IF(T2-$S$2&gt;('Entradas de Cálculos'!$D$131-1),0,PMT('Entradas de Cálculos'!$D$132,'Entradas de Cálculos'!$D$131,-$S$38))</f>
        <v>0</v>
      </c>
      <c r="U55" s="176">
        <f>IF(U2-$S$2&gt;('Entradas de Cálculos'!$D$131-1),0,PMT('Entradas de Cálculos'!$D$132,'Entradas de Cálculos'!$D$131,-$S$38))</f>
        <v>0</v>
      </c>
      <c r="V55" s="176">
        <f>IF(V2-$S$2&gt;('Entradas de Cálculos'!$D$131-1),0,PMT('Entradas de Cálculos'!$D$132,'Entradas de Cálculos'!$D$131,-$S$38))</f>
        <v>0</v>
      </c>
      <c r="W55" s="176">
        <f>IF(W2-$S$2&gt;('Entradas de Cálculos'!$D$131-1),0,PMT('Entradas de Cálculos'!$D$132,'Entradas de Cálculos'!$D$131,-$S$38))</f>
        <v>0</v>
      </c>
      <c r="X55" s="176">
        <f>IF(X2-$S$2&gt;('Entradas de Cálculos'!$D$131-1),0,PMT('Entradas de Cálculos'!$D$132,'Entradas de Cálculos'!$D$131,-$S$38))</f>
        <v>0</v>
      </c>
    </row>
    <row r="56" spans="2:24" ht="14.25">
      <c r="B56" t="s">
        <v>136</v>
      </c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>
        <f>IF(T2-$T$2&gt;('Entradas de Cálculos'!$D$131-1),0,PMT('Entradas de Cálculos'!$D$132,'Entradas de Cálculos'!$D$131,-$T$38))</f>
        <v>0</v>
      </c>
      <c r="U56" s="176">
        <f>IF(U2-$T$2&gt;('Entradas de Cálculos'!$D$131-1),0,PMT('Entradas de Cálculos'!$D$132,'Entradas de Cálculos'!$D$131,-$T$38))</f>
        <v>0</v>
      </c>
      <c r="V56" s="176">
        <f>IF(V2-$T$2&gt;('Entradas de Cálculos'!$D$131-1),0,PMT('Entradas de Cálculos'!$D$132,'Entradas de Cálculos'!$D$131,-$T$38))</f>
        <v>0</v>
      </c>
      <c r="W56" s="176">
        <f>IF(W2-$T$2&gt;('Entradas de Cálculos'!$D$131-1),0,PMT('Entradas de Cálculos'!$D$132,'Entradas de Cálculos'!$D$131,-$T$38))</f>
        <v>0</v>
      </c>
      <c r="X56" s="176">
        <f>IF(X2-$T$2&gt;('Entradas de Cálculos'!$D$131-1),0,PMT('Entradas de Cálculos'!$D$132,'Entradas de Cálculos'!$D$131,-$T$38))</f>
        <v>0</v>
      </c>
    </row>
    <row r="57" spans="2:24" ht="14.25">
      <c r="B57" t="s">
        <v>136</v>
      </c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>
        <f>IF(U2-$U$2&gt;('Entradas de Cálculos'!$D$131-1),0,PMT('Entradas de Cálculos'!$D$132,'Entradas de Cálculos'!$D$131,-$U$38))</f>
        <v>0</v>
      </c>
      <c r="V57" s="176">
        <f>IF(V2-$U$2&gt;('Entradas de Cálculos'!$D$131-1),0,PMT('Entradas de Cálculos'!$D$132,'Entradas de Cálculos'!$D$131,-$U$38))</f>
        <v>0</v>
      </c>
      <c r="W57" s="176">
        <f>IF(W2-$U$2&gt;('Entradas de Cálculos'!$D$131-1),0,PMT('Entradas de Cálculos'!$D$132,'Entradas de Cálculos'!$D$131,-$U$38))</f>
        <v>0</v>
      </c>
      <c r="X57" s="176">
        <f>IF(X2-$U$2&gt;('Entradas de Cálculos'!$D$131-1),0,PMT('Entradas de Cálculos'!$D$132,'Entradas de Cálculos'!$D$131,-$U$38))</f>
        <v>0</v>
      </c>
    </row>
    <row r="58" spans="2:24" ht="14.25">
      <c r="B58" t="s">
        <v>136</v>
      </c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>
        <f>IF(V2-$V$2&gt;('Entradas de Cálculos'!$D$131-1),0,PMT('Entradas de Cálculos'!$D$132,'Entradas de Cálculos'!$D$131,-$V$38))</f>
        <v>0</v>
      </c>
      <c r="W58" s="176">
        <f>IF(W2-$V$2&gt;('Entradas de Cálculos'!$D$131-1),0,PMT('Entradas de Cálculos'!$D$132,'Entradas de Cálculos'!$D$131,-$V$38))</f>
        <v>0</v>
      </c>
      <c r="X58" s="176">
        <f>IF(X2-$V$2&gt;('Entradas de Cálculos'!$D$131-1),0,PMT('Entradas de Cálculos'!$D$132,'Entradas de Cálculos'!$D$131,-$V$38))</f>
        <v>0</v>
      </c>
    </row>
    <row r="59" spans="2:24" ht="14.25">
      <c r="B59" t="s">
        <v>136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>
        <f>IF(W2-$W$2&gt;('Entradas de Cálculos'!$D$131-1),0,PMT('Entradas de Cálculos'!$D$132,'Entradas de Cálculos'!$D$131,-$W$38))</f>
        <v>0</v>
      </c>
      <c r="X59" s="176">
        <f>IF(X2-$W$2&gt;('Entradas de Cálculos'!$D$131-1),0,PMT('Entradas de Cálculos'!$D$132,'Entradas de Cálculos'!$D$131,-$W$38))</f>
        <v>0</v>
      </c>
    </row>
    <row r="60" spans="2:24" ht="14.25">
      <c r="B60" t="s">
        <v>136</v>
      </c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>
        <f>IF(X2-$X$2&gt;('Entradas de Cálculos'!$D$131-1),0,PMT('Entradas de Cálculos'!$D$132,'Entradas de Cálculos'!$D$131,-$X$38))</f>
        <v>0</v>
      </c>
    </row>
    <row r="61" spans="2:24" ht="14.25">
      <c r="B61" t="s">
        <v>137</v>
      </c>
      <c r="C61" s="182">
        <f>SUM(C39:C60)</f>
        <v>0</v>
      </c>
      <c r="D61" s="182">
        <f aca="true" t="shared" si="5" ref="D61:X61">SUM(D39:D60)</f>
        <v>0</v>
      </c>
      <c r="E61" s="182">
        <f t="shared" si="5"/>
        <v>0</v>
      </c>
      <c r="F61" s="182">
        <f t="shared" si="5"/>
        <v>0</v>
      </c>
      <c r="G61" s="182">
        <f t="shared" si="5"/>
        <v>0</v>
      </c>
      <c r="H61" s="182">
        <f t="shared" si="5"/>
        <v>0</v>
      </c>
      <c r="I61" s="182">
        <f t="shared" si="5"/>
        <v>0</v>
      </c>
      <c r="J61" s="182">
        <f t="shared" si="5"/>
        <v>0</v>
      </c>
      <c r="K61" s="182">
        <f t="shared" si="5"/>
        <v>0</v>
      </c>
      <c r="L61" s="182">
        <f t="shared" si="5"/>
        <v>0</v>
      </c>
      <c r="M61" s="182">
        <f t="shared" si="5"/>
        <v>0</v>
      </c>
      <c r="N61" s="182">
        <f t="shared" si="5"/>
        <v>0</v>
      </c>
      <c r="O61" s="182">
        <f t="shared" si="5"/>
        <v>0</v>
      </c>
      <c r="P61" s="182">
        <f t="shared" si="5"/>
        <v>0</v>
      </c>
      <c r="Q61" s="182">
        <f t="shared" si="5"/>
        <v>0</v>
      </c>
      <c r="R61" s="182">
        <f t="shared" si="5"/>
        <v>0</v>
      </c>
      <c r="S61" s="182">
        <f t="shared" si="5"/>
        <v>0</v>
      </c>
      <c r="T61" s="182">
        <f t="shared" si="5"/>
        <v>0</v>
      </c>
      <c r="U61" s="182">
        <f t="shared" si="5"/>
        <v>0</v>
      </c>
      <c r="V61" s="182">
        <f t="shared" si="5"/>
        <v>0</v>
      </c>
      <c r="W61" s="182">
        <f t="shared" si="5"/>
        <v>0</v>
      </c>
      <c r="X61" s="182">
        <f t="shared" si="5"/>
        <v>0</v>
      </c>
    </row>
    <row r="62" ht="14.25">
      <c r="R62" s="179"/>
    </row>
    <row r="63" spans="1:24" ht="21" thickBot="1">
      <c r="A63" s="376" t="s">
        <v>375</v>
      </c>
      <c r="B63" s="377"/>
      <c r="C63" s="377"/>
      <c r="D63" s="377"/>
      <c r="E63" s="377"/>
      <c r="F63" s="377"/>
      <c r="G63" s="377"/>
      <c r="H63" s="377"/>
      <c r="I63" s="377"/>
      <c r="J63" s="377"/>
      <c r="K63" s="377"/>
      <c r="L63" s="377"/>
      <c r="M63" s="377"/>
      <c r="N63" s="377"/>
      <c r="O63" s="377"/>
      <c r="P63" s="377"/>
      <c r="Q63" s="377"/>
      <c r="R63" s="377"/>
      <c r="S63" s="377"/>
      <c r="T63" s="377"/>
      <c r="U63" s="377"/>
      <c r="V63" s="377"/>
      <c r="W63" s="377"/>
      <c r="X63" s="378"/>
    </row>
    <row r="64" spans="2:24" ht="14.25">
      <c r="B64" t="s">
        <v>212</v>
      </c>
      <c r="C64" s="176">
        <f>C31*'Entrada de Dados do Usuário'!$C$92</f>
        <v>0</v>
      </c>
      <c r="D64" s="176">
        <f>D31-D38</f>
        <v>0</v>
      </c>
      <c r="E64" s="176">
        <f aca="true" t="shared" si="6" ref="E64:X64">E31-E38</f>
        <v>0</v>
      </c>
      <c r="F64" s="176">
        <f t="shared" si="6"/>
        <v>0</v>
      </c>
      <c r="G64" s="176">
        <f t="shared" si="6"/>
        <v>0</v>
      </c>
      <c r="H64" s="176">
        <f t="shared" si="6"/>
        <v>0</v>
      </c>
      <c r="I64" s="176">
        <f t="shared" si="6"/>
        <v>0</v>
      </c>
      <c r="J64" s="176">
        <f t="shared" si="6"/>
        <v>0</v>
      </c>
      <c r="K64" s="176">
        <f t="shared" si="6"/>
        <v>0</v>
      </c>
      <c r="L64" s="176">
        <f t="shared" si="6"/>
        <v>0</v>
      </c>
      <c r="M64" s="176">
        <f t="shared" si="6"/>
        <v>0</v>
      </c>
      <c r="N64" s="176">
        <f t="shared" si="6"/>
        <v>0</v>
      </c>
      <c r="O64" s="176">
        <f t="shared" si="6"/>
        <v>0</v>
      </c>
      <c r="P64" s="176">
        <f t="shared" si="6"/>
        <v>0</v>
      </c>
      <c r="Q64" s="176">
        <f t="shared" si="6"/>
        <v>0</v>
      </c>
      <c r="R64" s="176">
        <f t="shared" si="6"/>
        <v>0</v>
      </c>
      <c r="S64" s="176">
        <f t="shared" si="6"/>
        <v>0</v>
      </c>
      <c r="T64" s="176">
        <f t="shared" si="6"/>
        <v>0</v>
      </c>
      <c r="U64" s="176">
        <f t="shared" si="6"/>
        <v>0</v>
      </c>
      <c r="V64" s="176">
        <f t="shared" si="6"/>
        <v>0</v>
      </c>
      <c r="W64" s="176">
        <f t="shared" si="6"/>
        <v>0</v>
      </c>
      <c r="X64" s="176">
        <f t="shared" si="6"/>
        <v>0</v>
      </c>
    </row>
    <row r="65" spans="2:24" ht="14.25">
      <c r="B65" t="s">
        <v>209</v>
      </c>
      <c r="C65" s="176">
        <f>C32</f>
        <v>0</v>
      </c>
      <c r="D65" s="176">
        <f aca="true" t="shared" si="7" ref="D65:X65">D32</f>
        <v>0</v>
      </c>
      <c r="E65" s="176">
        <f t="shared" si="7"/>
        <v>0</v>
      </c>
      <c r="F65" s="176">
        <f t="shared" si="7"/>
        <v>0</v>
      </c>
      <c r="G65" s="176">
        <f t="shared" si="7"/>
        <v>0</v>
      </c>
      <c r="H65" s="176">
        <f t="shared" si="7"/>
        <v>0</v>
      </c>
      <c r="I65" s="176">
        <f t="shared" si="7"/>
        <v>0</v>
      </c>
      <c r="J65" s="176">
        <f t="shared" si="7"/>
        <v>0</v>
      </c>
      <c r="K65" s="176">
        <f t="shared" si="7"/>
        <v>0</v>
      </c>
      <c r="L65" s="176">
        <f t="shared" si="7"/>
        <v>0</v>
      </c>
      <c r="M65" s="176">
        <f t="shared" si="7"/>
        <v>0</v>
      </c>
      <c r="N65" s="176">
        <f t="shared" si="7"/>
        <v>0</v>
      </c>
      <c r="O65" s="176">
        <f t="shared" si="7"/>
        <v>0</v>
      </c>
      <c r="P65" s="176">
        <f t="shared" si="7"/>
        <v>0</v>
      </c>
      <c r="Q65" s="176">
        <f t="shared" si="7"/>
        <v>0</v>
      </c>
      <c r="R65" s="176">
        <f t="shared" si="7"/>
        <v>0</v>
      </c>
      <c r="S65" s="176">
        <f t="shared" si="7"/>
        <v>0</v>
      </c>
      <c r="T65" s="176">
        <f t="shared" si="7"/>
        <v>0</v>
      </c>
      <c r="U65" s="176">
        <f t="shared" si="7"/>
        <v>0</v>
      </c>
      <c r="V65" s="176">
        <f t="shared" si="7"/>
        <v>0</v>
      </c>
      <c r="W65" s="176">
        <f t="shared" si="7"/>
        <v>0</v>
      </c>
      <c r="X65" s="176">
        <f t="shared" si="7"/>
        <v>0</v>
      </c>
    </row>
    <row r="66" spans="2:24" ht="14.25">
      <c r="B66" t="s">
        <v>134</v>
      </c>
      <c r="C66" s="176">
        <f>C34</f>
        <v>0</v>
      </c>
      <c r="D66" s="176">
        <f aca="true" t="shared" si="8" ref="D66:X66">D34</f>
        <v>0</v>
      </c>
      <c r="E66" s="176">
        <f t="shared" si="8"/>
        <v>0</v>
      </c>
      <c r="F66" s="176">
        <f t="shared" si="8"/>
        <v>0</v>
      </c>
      <c r="G66" s="176">
        <f t="shared" si="8"/>
        <v>0</v>
      </c>
      <c r="H66" s="176">
        <f t="shared" si="8"/>
        <v>0</v>
      </c>
      <c r="I66" s="176">
        <f t="shared" si="8"/>
        <v>0</v>
      </c>
      <c r="J66" s="176">
        <f t="shared" si="8"/>
        <v>0</v>
      </c>
      <c r="K66" s="176">
        <f t="shared" si="8"/>
        <v>0</v>
      </c>
      <c r="L66" s="176">
        <f t="shared" si="8"/>
        <v>0</v>
      </c>
      <c r="M66" s="176">
        <f t="shared" si="8"/>
        <v>0</v>
      </c>
      <c r="N66" s="176">
        <f t="shared" si="8"/>
        <v>0</v>
      </c>
      <c r="O66" s="176">
        <f t="shared" si="8"/>
        <v>0</v>
      </c>
      <c r="P66" s="176">
        <f t="shared" si="8"/>
        <v>0</v>
      </c>
      <c r="Q66" s="176">
        <f t="shared" si="8"/>
        <v>0</v>
      </c>
      <c r="R66" s="176">
        <f t="shared" si="8"/>
        <v>0</v>
      </c>
      <c r="S66" s="176">
        <f t="shared" si="8"/>
        <v>0</v>
      </c>
      <c r="T66" s="176">
        <f t="shared" si="8"/>
        <v>0</v>
      </c>
      <c r="U66" s="176">
        <f t="shared" si="8"/>
        <v>0</v>
      </c>
      <c r="V66" s="176">
        <f t="shared" si="8"/>
        <v>0</v>
      </c>
      <c r="W66" s="176">
        <f t="shared" si="8"/>
        <v>0</v>
      </c>
      <c r="X66" s="176">
        <f t="shared" si="8"/>
        <v>0</v>
      </c>
    </row>
    <row r="67" spans="2:24" ht="14.25">
      <c r="B67" t="s">
        <v>162</v>
      </c>
      <c r="C67" s="176">
        <f>C61</f>
        <v>0</v>
      </c>
      <c r="D67" s="176">
        <f aca="true" t="shared" si="9" ref="D67:X67">D61</f>
        <v>0</v>
      </c>
      <c r="E67" s="176">
        <f t="shared" si="9"/>
        <v>0</v>
      </c>
      <c r="F67" s="176">
        <f t="shared" si="9"/>
        <v>0</v>
      </c>
      <c r="G67" s="176">
        <f t="shared" si="9"/>
        <v>0</v>
      </c>
      <c r="H67" s="176">
        <f t="shared" si="9"/>
        <v>0</v>
      </c>
      <c r="I67" s="176">
        <f t="shared" si="9"/>
        <v>0</v>
      </c>
      <c r="J67" s="176">
        <f t="shared" si="9"/>
        <v>0</v>
      </c>
      <c r="K67" s="176">
        <f t="shared" si="9"/>
        <v>0</v>
      </c>
      <c r="L67" s="176">
        <f t="shared" si="9"/>
        <v>0</v>
      </c>
      <c r="M67" s="176">
        <f t="shared" si="9"/>
        <v>0</v>
      </c>
      <c r="N67" s="176">
        <f t="shared" si="9"/>
        <v>0</v>
      </c>
      <c r="O67" s="176">
        <f t="shared" si="9"/>
        <v>0</v>
      </c>
      <c r="P67" s="176">
        <f t="shared" si="9"/>
        <v>0</v>
      </c>
      <c r="Q67" s="176">
        <f t="shared" si="9"/>
        <v>0</v>
      </c>
      <c r="R67" s="176">
        <f t="shared" si="9"/>
        <v>0</v>
      </c>
      <c r="S67" s="176">
        <f t="shared" si="9"/>
        <v>0</v>
      </c>
      <c r="T67" s="176">
        <f t="shared" si="9"/>
        <v>0</v>
      </c>
      <c r="U67" s="176">
        <f t="shared" si="9"/>
        <v>0</v>
      </c>
      <c r="V67" s="176">
        <f t="shared" si="9"/>
        <v>0</v>
      </c>
      <c r="W67" s="176">
        <f t="shared" si="9"/>
        <v>0</v>
      </c>
      <c r="X67" s="176">
        <f t="shared" si="9"/>
        <v>0</v>
      </c>
    </row>
    <row r="68" spans="2:24" ht="14.25">
      <c r="B68" s="180" t="s">
        <v>145</v>
      </c>
      <c r="C68" s="176">
        <f>-C64+C65-C66-C67</f>
        <v>0</v>
      </c>
      <c r="D68" s="176">
        <f aca="true" t="shared" si="10" ref="D68:X68">-D64+D65-D66-D67</f>
        <v>0</v>
      </c>
      <c r="E68" s="176">
        <f t="shared" si="10"/>
        <v>0</v>
      </c>
      <c r="F68" s="176">
        <f t="shared" si="10"/>
        <v>0</v>
      </c>
      <c r="G68" s="176">
        <f t="shared" si="10"/>
        <v>0</v>
      </c>
      <c r="H68" s="176">
        <f t="shared" si="10"/>
        <v>0</v>
      </c>
      <c r="I68" s="176">
        <f t="shared" si="10"/>
        <v>0</v>
      </c>
      <c r="J68" s="176">
        <f t="shared" si="10"/>
        <v>0</v>
      </c>
      <c r="K68" s="176">
        <f t="shared" si="10"/>
        <v>0</v>
      </c>
      <c r="L68" s="176">
        <f t="shared" si="10"/>
        <v>0</v>
      </c>
      <c r="M68" s="176">
        <f t="shared" si="10"/>
        <v>0</v>
      </c>
      <c r="N68" s="176">
        <f t="shared" si="10"/>
        <v>0</v>
      </c>
      <c r="O68" s="176">
        <f t="shared" si="10"/>
        <v>0</v>
      </c>
      <c r="P68" s="176">
        <f t="shared" si="10"/>
        <v>0</v>
      </c>
      <c r="Q68" s="176">
        <f t="shared" si="10"/>
        <v>0</v>
      </c>
      <c r="R68" s="176">
        <f t="shared" si="10"/>
        <v>0</v>
      </c>
      <c r="S68" s="176">
        <f t="shared" si="10"/>
        <v>0</v>
      </c>
      <c r="T68" s="176">
        <f t="shared" si="10"/>
        <v>0</v>
      </c>
      <c r="U68" s="176">
        <f t="shared" si="10"/>
        <v>0</v>
      </c>
      <c r="V68" s="176">
        <f t="shared" si="10"/>
        <v>0</v>
      </c>
      <c r="W68" s="176">
        <f t="shared" si="10"/>
        <v>0</v>
      </c>
      <c r="X68" s="176">
        <f t="shared" si="10"/>
        <v>0</v>
      </c>
    </row>
    <row r="69" spans="2:24" ht="14.25">
      <c r="B69" s="180" t="s">
        <v>147</v>
      </c>
      <c r="C69" s="176">
        <f>PV('Entradas de Cálculos'!$D$143,C$2,0,-C68)</f>
        <v>0</v>
      </c>
      <c r="D69" s="176">
        <f>PV('Entradas de Cálculos'!$D$143,D$2,0,-D68)</f>
        <v>0</v>
      </c>
      <c r="E69" s="176">
        <f>PV('Entradas de Cálculos'!$D$143,E$2,0,-E68)</f>
        <v>0</v>
      </c>
      <c r="F69" s="176">
        <f>PV('Entradas de Cálculos'!$D$143,F$2,0,-F68)</f>
        <v>0</v>
      </c>
      <c r="G69" s="176">
        <f>PV('Entradas de Cálculos'!$D$143,G$2,0,-G68)</f>
        <v>0</v>
      </c>
      <c r="H69" s="176">
        <f>PV('Entradas de Cálculos'!$D$143,H$2,0,-H68)</f>
        <v>0</v>
      </c>
      <c r="I69" s="176">
        <f>PV('Entradas de Cálculos'!$D$143,I$2,0,-I68)</f>
        <v>0</v>
      </c>
      <c r="J69" s="176">
        <f>PV('Entradas de Cálculos'!$D$143,J$2,0,-J68)</f>
        <v>0</v>
      </c>
      <c r="K69" s="176">
        <f>PV('Entradas de Cálculos'!$D$143,K$2,0,-K68)</f>
        <v>0</v>
      </c>
      <c r="L69" s="176">
        <f>PV('Entradas de Cálculos'!$D$143,L$2,0,-L68)</f>
        <v>0</v>
      </c>
      <c r="M69" s="176">
        <f>PV('Entradas de Cálculos'!$D$143,M$2,0,-M68)</f>
        <v>0</v>
      </c>
      <c r="N69" s="176">
        <f>PV('Entradas de Cálculos'!$D$143,N$2,0,-N68)</f>
        <v>0</v>
      </c>
      <c r="O69" s="176">
        <f>PV('Entradas de Cálculos'!$D$143,O$2,0,-O68)</f>
        <v>0</v>
      </c>
      <c r="P69" s="176">
        <f>PV('Entradas de Cálculos'!$D$143,P$2,0,-P68)</f>
        <v>0</v>
      </c>
      <c r="Q69" s="176">
        <f>PV('Entradas de Cálculos'!$D$143,Q$2,0,-Q68)</f>
        <v>0</v>
      </c>
      <c r="R69" s="176">
        <f>PV('Entradas de Cálculos'!$D$143,R$2,0,-R68)</f>
        <v>0</v>
      </c>
      <c r="S69" s="176">
        <f>PV('Entradas de Cálculos'!$D$143,S$2,0,-S68)</f>
        <v>0</v>
      </c>
      <c r="T69" s="176">
        <f>PV('Entradas de Cálculos'!$D$143,T$2,0,-T68)</f>
        <v>0</v>
      </c>
      <c r="U69" s="176">
        <f>PV('Entradas de Cálculos'!$D$143,U$2,0,-U68)</f>
        <v>0</v>
      </c>
      <c r="V69" s="176">
        <f>PV('Entradas de Cálculos'!$D$143,V$2,0,-V68)</f>
        <v>0</v>
      </c>
      <c r="W69" s="176">
        <f>PV('Entradas de Cálculos'!$D$143,W$2,0,-W68)</f>
        <v>0</v>
      </c>
      <c r="X69" s="176">
        <f>PV('Entradas de Cálculos'!$D$143,X$2,0,-X68)</f>
        <v>0</v>
      </c>
    </row>
    <row r="70" spans="2:24" ht="14.25">
      <c r="B70" s="180" t="s">
        <v>146</v>
      </c>
      <c r="C70" s="176">
        <f>C68</f>
        <v>0</v>
      </c>
      <c r="D70" s="176">
        <f>C70+D68</f>
        <v>0</v>
      </c>
      <c r="E70" s="176">
        <f aca="true" t="shared" si="11" ref="E70:X71">D70+E68</f>
        <v>0</v>
      </c>
      <c r="F70" s="176">
        <f t="shared" si="11"/>
        <v>0</v>
      </c>
      <c r="G70" s="176">
        <f t="shared" si="11"/>
        <v>0</v>
      </c>
      <c r="H70" s="176">
        <f t="shared" si="11"/>
        <v>0</v>
      </c>
      <c r="I70" s="176">
        <f t="shared" si="11"/>
        <v>0</v>
      </c>
      <c r="J70" s="176">
        <f t="shared" si="11"/>
        <v>0</v>
      </c>
      <c r="K70" s="176">
        <f t="shared" si="11"/>
        <v>0</v>
      </c>
      <c r="L70" s="176">
        <f t="shared" si="11"/>
        <v>0</v>
      </c>
      <c r="M70" s="176">
        <f t="shared" si="11"/>
        <v>0</v>
      </c>
      <c r="N70" s="176">
        <f t="shared" si="11"/>
        <v>0</v>
      </c>
      <c r="O70" s="176">
        <f t="shared" si="11"/>
        <v>0</v>
      </c>
      <c r="P70" s="176">
        <f t="shared" si="11"/>
        <v>0</v>
      </c>
      <c r="Q70" s="176">
        <f t="shared" si="11"/>
        <v>0</v>
      </c>
      <c r="R70" s="176">
        <f t="shared" si="11"/>
        <v>0</v>
      </c>
      <c r="S70" s="176">
        <f t="shared" si="11"/>
        <v>0</v>
      </c>
      <c r="T70" s="176">
        <f t="shared" si="11"/>
        <v>0</v>
      </c>
      <c r="U70" s="176">
        <f t="shared" si="11"/>
        <v>0</v>
      </c>
      <c r="V70" s="176">
        <f t="shared" si="11"/>
        <v>0</v>
      </c>
      <c r="W70" s="176">
        <f t="shared" si="11"/>
        <v>0</v>
      </c>
      <c r="X70" s="176">
        <f t="shared" si="11"/>
        <v>0</v>
      </c>
    </row>
    <row r="71" spans="2:24" ht="14.25">
      <c r="B71" s="180" t="s">
        <v>161</v>
      </c>
      <c r="C71" s="176">
        <f>C69</f>
        <v>0</v>
      </c>
      <c r="D71" s="176">
        <f>C71+D69</f>
        <v>0</v>
      </c>
      <c r="E71" s="176">
        <f t="shared" si="11"/>
        <v>0</v>
      </c>
      <c r="F71" s="176">
        <f t="shared" si="11"/>
        <v>0</v>
      </c>
      <c r="G71" s="176">
        <f t="shared" si="11"/>
        <v>0</v>
      </c>
      <c r="H71" s="176">
        <f t="shared" si="11"/>
        <v>0</v>
      </c>
      <c r="I71" s="176">
        <f t="shared" si="11"/>
        <v>0</v>
      </c>
      <c r="J71" s="176">
        <f t="shared" si="11"/>
        <v>0</v>
      </c>
      <c r="K71" s="176">
        <f t="shared" si="11"/>
        <v>0</v>
      </c>
      <c r="L71" s="176">
        <f t="shared" si="11"/>
        <v>0</v>
      </c>
      <c r="M71" s="176">
        <f t="shared" si="11"/>
        <v>0</v>
      </c>
      <c r="N71" s="176">
        <f t="shared" si="11"/>
        <v>0</v>
      </c>
      <c r="O71" s="176">
        <f t="shared" si="11"/>
        <v>0</v>
      </c>
      <c r="P71" s="176">
        <f t="shared" si="11"/>
        <v>0</v>
      </c>
      <c r="Q71" s="176">
        <f t="shared" si="11"/>
        <v>0</v>
      </c>
      <c r="R71" s="176">
        <f t="shared" si="11"/>
        <v>0</v>
      </c>
      <c r="S71" s="176">
        <f t="shared" si="11"/>
        <v>0</v>
      </c>
      <c r="T71" s="176">
        <f t="shared" si="11"/>
        <v>0</v>
      </c>
      <c r="U71" s="176">
        <f t="shared" si="11"/>
        <v>0</v>
      </c>
      <c r="V71" s="176">
        <f t="shared" si="11"/>
        <v>0</v>
      </c>
      <c r="W71" s="176">
        <f t="shared" si="11"/>
        <v>0</v>
      </c>
      <c r="X71" s="176">
        <f t="shared" si="11"/>
        <v>0</v>
      </c>
    </row>
    <row r="72" spans="2:3" ht="14.25">
      <c r="B72" t="s">
        <v>142</v>
      </c>
      <c r="C72" s="183" t="e">
        <f>IRR(C68:X68,0.01)</f>
        <v>#NUM!</v>
      </c>
    </row>
    <row r="73" spans="2:8" ht="14.25">
      <c r="B73" t="s">
        <v>143</v>
      </c>
      <c r="C73" s="179">
        <f>NPV('Entradas de Cálculos'!$D$143,'Modelo Financeiro'!C68:X68)</f>
        <v>0</v>
      </c>
      <c r="D73" s="176"/>
      <c r="E73" s="257"/>
      <c r="F73" s="257"/>
      <c r="G73" s="257"/>
      <c r="H73" s="257"/>
    </row>
    <row r="74" spans="2:8" ht="14.25">
      <c r="B74" t="s">
        <v>144</v>
      </c>
      <c r="C74" s="181" t="e">
        <f>NPV('Entradas de Cálculos'!$D$143,C65:X65)/(NPV('Entradas de Cálculos'!$D$143,C64:X64)+NPV('Entradas de Cálculos'!$D$143,C66:X66)+NPV('Entradas de Cálculos'!$D$143,C67:X67))</f>
        <v>#DIV/0!</v>
      </c>
      <c r="H74" s="257"/>
    </row>
    <row r="75" spans="2:24" ht="14.25">
      <c r="B75" t="s">
        <v>138</v>
      </c>
      <c r="C75" s="184" t="e">
        <f>IF(D75=0,0,IF(SUM(D75:X75)=0,"-",MAX(D75:X75)))</f>
        <v>#DIV/0!</v>
      </c>
      <c r="D75" s="184" t="e">
        <f>IF(IF(IF(D70&gt;=0,C$2+(D68+C70)/D68,0)*IF(C70&lt;=0,1,0)=0,"-",IF(D70&gt;=0,C$2+(D68+C70)/D68,0)*IF(C70&lt;=0,1,0))&lt;0,0,IF(IF(D70&gt;=0,C$2+(D68+C70)/D68,0)*IF(C70&lt;=0,1,0)=0,"-",IF(D70&gt;=0,C$2+(D68+C70)/D68,0)*IF(C70&lt;=0,1,0)))</f>
        <v>#DIV/0!</v>
      </c>
      <c r="E75" s="184" t="e">
        <f aca="true" t="shared" si="12" ref="E75:X75">IF(IF(IF(E70&gt;=0,D$2+(E68+D70)/E68,0)*IF(D70&lt;=0,1,0)=0,"-",IF(E70&gt;=0,D$2+(E68+D70)/E68,0)*IF(D70&lt;=0,1,0))&lt;0,0,IF(IF(E70&gt;=0,D$2+(E68+D70)/E68,0)*IF(D70&lt;=0,1,0)=0,"-",IF(E70&gt;=0,D$2+(E68+D70)/E68,0)*IF(D70&lt;=0,1,0)))</f>
        <v>#DIV/0!</v>
      </c>
      <c r="F75" s="184" t="e">
        <f t="shared" si="12"/>
        <v>#DIV/0!</v>
      </c>
      <c r="G75" s="184" t="e">
        <f t="shared" si="12"/>
        <v>#DIV/0!</v>
      </c>
      <c r="H75" s="184" t="e">
        <f t="shared" si="12"/>
        <v>#DIV/0!</v>
      </c>
      <c r="I75" s="184" t="e">
        <f t="shared" si="12"/>
        <v>#DIV/0!</v>
      </c>
      <c r="J75" s="184" t="e">
        <f t="shared" si="12"/>
        <v>#DIV/0!</v>
      </c>
      <c r="K75" s="184" t="e">
        <f t="shared" si="12"/>
        <v>#DIV/0!</v>
      </c>
      <c r="L75" s="184" t="e">
        <f t="shared" si="12"/>
        <v>#DIV/0!</v>
      </c>
      <c r="M75" s="184" t="e">
        <f t="shared" si="12"/>
        <v>#DIV/0!</v>
      </c>
      <c r="N75" s="184" t="e">
        <f t="shared" si="12"/>
        <v>#DIV/0!</v>
      </c>
      <c r="O75" s="184" t="e">
        <f t="shared" si="12"/>
        <v>#DIV/0!</v>
      </c>
      <c r="P75" s="184" t="e">
        <f t="shared" si="12"/>
        <v>#DIV/0!</v>
      </c>
      <c r="Q75" s="184" t="e">
        <f t="shared" si="12"/>
        <v>#DIV/0!</v>
      </c>
      <c r="R75" s="184" t="e">
        <f t="shared" si="12"/>
        <v>#DIV/0!</v>
      </c>
      <c r="S75" s="184" t="e">
        <f t="shared" si="12"/>
        <v>#DIV/0!</v>
      </c>
      <c r="T75" s="184" t="e">
        <f t="shared" si="12"/>
        <v>#DIV/0!</v>
      </c>
      <c r="U75" s="184" t="e">
        <f t="shared" si="12"/>
        <v>#DIV/0!</v>
      </c>
      <c r="V75" s="184" t="e">
        <f t="shared" si="12"/>
        <v>#DIV/0!</v>
      </c>
      <c r="W75" s="184" t="e">
        <f t="shared" si="12"/>
        <v>#DIV/0!</v>
      </c>
      <c r="X75" s="184" t="e">
        <f t="shared" si="12"/>
        <v>#DIV/0!</v>
      </c>
    </row>
    <row r="76" spans="2:26" ht="14.25">
      <c r="B76" t="s">
        <v>139</v>
      </c>
      <c r="C76" s="184" t="e">
        <f>IF(D76=0,0,IF(SUM(D76:X76)=0,"-",MAX(D76:X76)))</f>
        <v>#DIV/0!</v>
      </c>
      <c r="D76" s="184" t="e">
        <f>IF(IF(IF(D71&gt;=0,C$2+(D69+C71)/D69,0)*IF(C71&lt;=0,1,0)=0,"-",IF(D71&gt;=0,C$2+(D69+C71)/D69,0)*IF(C71&lt;=0,1,0))&lt;0,0,IF(IF(D71&gt;=0,C$2+(D69+C71)/D69,0)*IF(C71&lt;=0,1,0)=0,"-",IF(D71&gt;=0,C$2+(D69+C71)/D69,0)*IF(C71&lt;=0,1,0)))</f>
        <v>#DIV/0!</v>
      </c>
      <c r="E76" s="184" t="e">
        <f aca="true" t="shared" si="13" ref="E76:X76">IF(IF(IF(E71&gt;=0,D$2+(E69+D71)/E69,0)*IF(D71&lt;=0,1,0)=0,"-",IF(E71&gt;=0,D$2+(E69+D71)/E69,0)*IF(D71&lt;=0,1,0))&lt;0,0,IF(IF(E71&gt;=0,D$2+(E69+D71)/E69,0)*IF(D71&lt;=0,1,0)=0,"-",IF(E71&gt;=0,D$2+(E69+D71)/E69,0)*IF(D71&lt;=0,1,0)))</f>
        <v>#DIV/0!</v>
      </c>
      <c r="F76" s="184" t="e">
        <f t="shared" si="13"/>
        <v>#DIV/0!</v>
      </c>
      <c r="G76" s="184" t="e">
        <f t="shared" si="13"/>
        <v>#DIV/0!</v>
      </c>
      <c r="H76" s="184" t="e">
        <f t="shared" si="13"/>
        <v>#DIV/0!</v>
      </c>
      <c r="I76" s="184" t="e">
        <f t="shared" si="13"/>
        <v>#DIV/0!</v>
      </c>
      <c r="J76" s="184" t="e">
        <f t="shared" si="13"/>
        <v>#DIV/0!</v>
      </c>
      <c r="K76" s="184" t="e">
        <f t="shared" si="13"/>
        <v>#DIV/0!</v>
      </c>
      <c r="L76" s="184" t="e">
        <f t="shared" si="13"/>
        <v>#DIV/0!</v>
      </c>
      <c r="M76" s="184" t="e">
        <f t="shared" si="13"/>
        <v>#DIV/0!</v>
      </c>
      <c r="N76" s="184" t="e">
        <f t="shared" si="13"/>
        <v>#DIV/0!</v>
      </c>
      <c r="O76" s="184" t="e">
        <f t="shared" si="13"/>
        <v>#DIV/0!</v>
      </c>
      <c r="P76" s="184" t="e">
        <f t="shared" si="13"/>
        <v>#DIV/0!</v>
      </c>
      <c r="Q76" s="184" t="e">
        <f t="shared" si="13"/>
        <v>#DIV/0!</v>
      </c>
      <c r="R76" s="184" t="e">
        <f t="shared" si="13"/>
        <v>#DIV/0!</v>
      </c>
      <c r="S76" s="184" t="e">
        <f t="shared" si="13"/>
        <v>#DIV/0!</v>
      </c>
      <c r="T76" s="184" t="e">
        <f t="shared" si="13"/>
        <v>#DIV/0!</v>
      </c>
      <c r="U76" s="184" t="e">
        <f t="shared" si="13"/>
        <v>#DIV/0!</v>
      </c>
      <c r="V76" s="184" t="e">
        <f t="shared" si="13"/>
        <v>#DIV/0!</v>
      </c>
      <c r="W76" s="184" t="e">
        <f t="shared" si="13"/>
        <v>#DIV/0!</v>
      </c>
      <c r="X76" s="184" t="e">
        <f t="shared" si="13"/>
        <v>#DIV/0!</v>
      </c>
      <c r="Y76" s="184"/>
      <c r="Z76" s="184"/>
    </row>
    <row r="79" spans="1:24" ht="21" thickBot="1">
      <c r="A79" s="376" t="s">
        <v>376</v>
      </c>
      <c r="B79" s="377"/>
      <c r="C79" s="377"/>
      <c r="D79" s="377"/>
      <c r="E79" s="377"/>
      <c r="F79" s="377"/>
      <c r="G79" s="377"/>
      <c r="H79" s="377"/>
      <c r="I79" s="377"/>
      <c r="J79" s="377"/>
      <c r="K79" s="377"/>
      <c r="L79" s="377"/>
      <c r="M79" s="377"/>
      <c r="N79" s="377"/>
      <c r="O79" s="377"/>
      <c r="P79" s="377"/>
      <c r="Q79" s="377"/>
      <c r="R79" s="377"/>
      <c r="S79" s="377"/>
      <c r="T79" s="377"/>
      <c r="U79" s="377"/>
      <c r="V79" s="377"/>
      <c r="W79" s="377"/>
      <c r="X79" s="378"/>
    </row>
    <row r="80" spans="2:24" ht="14.25">
      <c r="B80" t="s">
        <v>212</v>
      </c>
      <c r="C80" s="176">
        <f>C64</f>
        <v>0</v>
      </c>
      <c r="D80" s="176">
        <f aca="true" t="shared" si="14" ref="D80:X80">D64</f>
        <v>0</v>
      </c>
      <c r="E80" s="176">
        <f t="shared" si="14"/>
        <v>0</v>
      </c>
      <c r="F80" s="176">
        <f t="shared" si="14"/>
        <v>0</v>
      </c>
      <c r="G80" s="176">
        <f t="shared" si="14"/>
        <v>0</v>
      </c>
      <c r="H80" s="176">
        <f t="shared" si="14"/>
        <v>0</v>
      </c>
      <c r="I80" s="176">
        <f t="shared" si="14"/>
        <v>0</v>
      </c>
      <c r="J80" s="176">
        <f t="shared" si="14"/>
        <v>0</v>
      </c>
      <c r="K80" s="176">
        <f t="shared" si="14"/>
        <v>0</v>
      </c>
      <c r="L80" s="176">
        <f t="shared" si="14"/>
        <v>0</v>
      </c>
      <c r="M80" s="176">
        <f t="shared" si="14"/>
        <v>0</v>
      </c>
      <c r="N80" s="176">
        <f t="shared" si="14"/>
        <v>0</v>
      </c>
      <c r="O80" s="176">
        <f t="shared" si="14"/>
        <v>0</v>
      </c>
      <c r="P80" s="176">
        <f t="shared" si="14"/>
        <v>0</v>
      </c>
      <c r="Q80" s="176">
        <f t="shared" si="14"/>
        <v>0</v>
      </c>
      <c r="R80" s="176">
        <f t="shared" si="14"/>
        <v>0</v>
      </c>
      <c r="S80" s="176">
        <f t="shared" si="14"/>
        <v>0</v>
      </c>
      <c r="T80" s="176">
        <f t="shared" si="14"/>
        <v>0</v>
      </c>
      <c r="U80" s="176">
        <f t="shared" si="14"/>
        <v>0</v>
      </c>
      <c r="V80" s="176">
        <f t="shared" si="14"/>
        <v>0</v>
      </c>
      <c r="W80" s="176">
        <f t="shared" si="14"/>
        <v>0</v>
      </c>
      <c r="X80" s="176">
        <f t="shared" si="14"/>
        <v>0</v>
      </c>
    </row>
    <row r="81" spans="2:24" ht="14.25">
      <c r="B81" t="s">
        <v>122</v>
      </c>
      <c r="C81" s="176">
        <f>C65</f>
        <v>0</v>
      </c>
      <c r="D81" s="176">
        <f aca="true" t="shared" si="15" ref="D81:X81">D65</f>
        <v>0</v>
      </c>
      <c r="E81" s="176">
        <f t="shared" si="15"/>
        <v>0</v>
      </c>
      <c r="F81" s="176">
        <f t="shared" si="15"/>
        <v>0</v>
      </c>
      <c r="G81" s="176">
        <f t="shared" si="15"/>
        <v>0</v>
      </c>
      <c r="H81" s="176">
        <f t="shared" si="15"/>
        <v>0</v>
      </c>
      <c r="I81" s="176">
        <f t="shared" si="15"/>
        <v>0</v>
      </c>
      <c r="J81" s="176">
        <f t="shared" si="15"/>
        <v>0</v>
      </c>
      <c r="K81" s="176">
        <f t="shared" si="15"/>
        <v>0</v>
      </c>
      <c r="L81" s="176">
        <f t="shared" si="15"/>
        <v>0</v>
      </c>
      <c r="M81" s="176">
        <f t="shared" si="15"/>
        <v>0</v>
      </c>
      <c r="N81" s="176">
        <f t="shared" si="15"/>
        <v>0</v>
      </c>
      <c r="O81" s="176">
        <f t="shared" si="15"/>
        <v>0</v>
      </c>
      <c r="P81" s="176">
        <f t="shared" si="15"/>
        <v>0</v>
      </c>
      <c r="Q81" s="176">
        <f t="shared" si="15"/>
        <v>0</v>
      </c>
      <c r="R81" s="176">
        <f t="shared" si="15"/>
        <v>0</v>
      </c>
      <c r="S81" s="176">
        <f t="shared" si="15"/>
        <v>0</v>
      </c>
      <c r="T81" s="176">
        <f t="shared" si="15"/>
        <v>0</v>
      </c>
      <c r="U81" s="176">
        <f t="shared" si="15"/>
        <v>0</v>
      </c>
      <c r="V81" s="176">
        <f t="shared" si="15"/>
        <v>0</v>
      </c>
      <c r="W81" s="176">
        <f t="shared" si="15"/>
        <v>0</v>
      </c>
      <c r="X81" s="176">
        <f t="shared" si="15"/>
        <v>0</v>
      </c>
    </row>
    <row r="82" spans="2:24" ht="14.25">
      <c r="B82" t="s">
        <v>377</v>
      </c>
      <c r="C82" s="176">
        <f>C33</f>
        <v>0</v>
      </c>
      <c r="D82" s="176">
        <f aca="true" t="shared" si="16" ref="D82:X82">D33</f>
        <v>0</v>
      </c>
      <c r="E82" s="176">
        <f t="shared" si="16"/>
        <v>0</v>
      </c>
      <c r="F82" s="176">
        <f t="shared" si="16"/>
        <v>0</v>
      </c>
      <c r="G82" s="176">
        <f t="shared" si="16"/>
        <v>0</v>
      </c>
      <c r="H82" s="176">
        <f t="shared" si="16"/>
        <v>0</v>
      </c>
      <c r="I82" s="176">
        <f t="shared" si="16"/>
        <v>0</v>
      </c>
      <c r="J82" s="176">
        <f t="shared" si="16"/>
        <v>0</v>
      </c>
      <c r="K82" s="176">
        <f t="shared" si="16"/>
        <v>0</v>
      </c>
      <c r="L82" s="176">
        <f t="shared" si="16"/>
        <v>0</v>
      </c>
      <c r="M82" s="176">
        <f t="shared" si="16"/>
        <v>0</v>
      </c>
      <c r="N82" s="176">
        <f t="shared" si="16"/>
        <v>0</v>
      </c>
      <c r="O82" s="176">
        <f t="shared" si="16"/>
        <v>0</v>
      </c>
      <c r="P82" s="176">
        <f t="shared" si="16"/>
        <v>0</v>
      </c>
      <c r="Q82" s="176">
        <f t="shared" si="16"/>
        <v>0</v>
      </c>
      <c r="R82" s="176">
        <f t="shared" si="16"/>
        <v>0</v>
      </c>
      <c r="S82" s="176">
        <f t="shared" si="16"/>
        <v>0</v>
      </c>
      <c r="T82" s="176">
        <f t="shared" si="16"/>
        <v>0</v>
      </c>
      <c r="U82" s="176">
        <f t="shared" si="16"/>
        <v>0</v>
      </c>
      <c r="V82" s="176">
        <f t="shared" si="16"/>
        <v>0</v>
      </c>
      <c r="W82" s="176">
        <f t="shared" si="16"/>
        <v>0</v>
      </c>
      <c r="X82" s="176">
        <f t="shared" si="16"/>
        <v>0</v>
      </c>
    </row>
    <row r="83" spans="2:24" ht="14.25">
      <c r="B83" t="s">
        <v>134</v>
      </c>
      <c r="C83" s="176">
        <f>C34</f>
        <v>0</v>
      </c>
      <c r="D83" s="176">
        <f aca="true" t="shared" si="17" ref="D83:X83">D34</f>
        <v>0</v>
      </c>
      <c r="E83" s="176">
        <f t="shared" si="17"/>
        <v>0</v>
      </c>
      <c r="F83" s="176">
        <f t="shared" si="17"/>
        <v>0</v>
      </c>
      <c r="G83" s="176">
        <f t="shared" si="17"/>
        <v>0</v>
      </c>
      <c r="H83" s="176">
        <f t="shared" si="17"/>
        <v>0</v>
      </c>
      <c r="I83" s="176">
        <f t="shared" si="17"/>
        <v>0</v>
      </c>
      <c r="J83" s="176">
        <f t="shared" si="17"/>
        <v>0</v>
      </c>
      <c r="K83" s="176">
        <f t="shared" si="17"/>
        <v>0</v>
      </c>
      <c r="L83" s="176">
        <f t="shared" si="17"/>
        <v>0</v>
      </c>
      <c r="M83" s="176">
        <f t="shared" si="17"/>
        <v>0</v>
      </c>
      <c r="N83" s="176">
        <f t="shared" si="17"/>
        <v>0</v>
      </c>
      <c r="O83" s="176">
        <f t="shared" si="17"/>
        <v>0</v>
      </c>
      <c r="P83" s="176">
        <f t="shared" si="17"/>
        <v>0</v>
      </c>
      <c r="Q83" s="176">
        <f t="shared" si="17"/>
        <v>0</v>
      </c>
      <c r="R83" s="176">
        <f t="shared" si="17"/>
        <v>0</v>
      </c>
      <c r="S83" s="176">
        <f t="shared" si="17"/>
        <v>0</v>
      </c>
      <c r="T83" s="176">
        <f t="shared" si="17"/>
        <v>0</v>
      </c>
      <c r="U83" s="176">
        <f t="shared" si="17"/>
        <v>0</v>
      </c>
      <c r="V83" s="176">
        <f t="shared" si="17"/>
        <v>0</v>
      </c>
      <c r="W83" s="176">
        <f t="shared" si="17"/>
        <v>0</v>
      </c>
      <c r="X83" s="176">
        <f t="shared" si="17"/>
        <v>0</v>
      </c>
    </row>
    <row r="84" spans="2:24" ht="14.25">
      <c r="B84" t="s">
        <v>374</v>
      </c>
      <c r="C84" s="176">
        <f>C35</f>
        <v>0</v>
      </c>
      <c r="D84" s="176">
        <f aca="true" t="shared" si="18" ref="D84:X84">D35</f>
        <v>0</v>
      </c>
      <c r="E84" s="176">
        <f t="shared" si="18"/>
        <v>0</v>
      </c>
      <c r="F84" s="176">
        <f t="shared" si="18"/>
        <v>0</v>
      </c>
      <c r="G84" s="176">
        <f t="shared" si="18"/>
        <v>0</v>
      </c>
      <c r="H84" s="176">
        <f t="shared" si="18"/>
        <v>0</v>
      </c>
      <c r="I84" s="176">
        <f t="shared" si="18"/>
        <v>0</v>
      </c>
      <c r="J84" s="176">
        <f t="shared" si="18"/>
        <v>0</v>
      </c>
      <c r="K84" s="176">
        <f t="shared" si="18"/>
        <v>0</v>
      </c>
      <c r="L84" s="176">
        <f t="shared" si="18"/>
        <v>0</v>
      </c>
      <c r="M84" s="176">
        <f t="shared" si="18"/>
        <v>0</v>
      </c>
      <c r="N84" s="176">
        <f t="shared" si="18"/>
        <v>0</v>
      </c>
      <c r="O84" s="176">
        <f t="shared" si="18"/>
        <v>0</v>
      </c>
      <c r="P84" s="176">
        <f t="shared" si="18"/>
        <v>0</v>
      </c>
      <c r="Q84" s="176">
        <f t="shared" si="18"/>
        <v>0</v>
      </c>
      <c r="R84" s="176">
        <f t="shared" si="18"/>
        <v>0</v>
      </c>
      <c r="S84" s="176">
        <f t="shared" si="18"/>
        <v>0</v>
      </c>
      <c r="T84" s="176">
        <f t="shared" si="18"/>
        <v>0</v>
      </c>
      <c r="U84" s="176">
        <f t="shared" si="18"/>
        <v>0</v>
      </c>
      <c r="V84" s="176">
        <f t="shared" si="18"/>
        <v>0</v>
      </c>
      <c r="W84" s="176">
        <f t="shared" si="18"/>
        <v>0</v>
      </c>
      <c r="X84" s="176">
        <f t="shared" si="18"/>
        <v>0</v>
      </c>
    </row>
    <row r="85" spans="2:24" ht="14.25">
      <c r="B85" t="s">
        <v>162</v>
      </c>
      <c r="C85" s="176">
        <f>C61</f>
        <v>0</v>
      </c>
      <c r="D85" s="176">
        <f aca="true" t="shared" si="19" ref="D85:X85">D61</f>
        <v>0</v>
      </c>
      <c r="E85" s="176">
        <f t="shared" si="19"/>
        <v>0</v>
      </c>
      <c r="F85" s="176">
        <f t="shared" si="19"/>
        <v>0</v>
      </c>
      <c r="G85" s="176">
        <f t="shared" si="19"/>
        <v>0</v>
      </c>
      <c r="H85" s="176">
        <f t="shared" si="19"/>
        <v>0</v>
      </c>
      <c r="I85" s="176">
        <f t="shared" si="19"/>
        <v>0</v>
      </c>
      <c r="J85" s="176">
        <f t="shared" si="19"/>
        <v>0</v>
      </c>
      <c r="K85" s="176">
        <f t="shared" si="19"/>
        <v>0</v>
      </c>
      <c r="L85" s="176">
        <f t="shared" si="19"/>
        <v>0</v>
      </c>
      <c r="M85" s="176">
        <f t="shared" si="19"/>
        <v>0</v>
      </c>
      <c r="N85" s="176">
        <f t="shared" si="19"/>
        <v>0</v>
      </c>
      <c r="O85" s="176">
        <f t="shared" si="19"/>
        <v>0</v>
      </c>
      <c r="P85" s="176">
        <f t="shared" si="19"/>
        <v>0</v>
      </c>
      <c r="Q85" s="176">
        <f t="shared" si="19"/>
        <v>0</v>
      </c>
      <c r="R85" s="176">
        <f t="shared" si="19"/>
        <v>0</v>
      </c>
      <c r="S85" s="176">
        <f t="shared" si="19"/>
        <v>0</v>
      </c>
      <c r="T85" s="176">
        <f t="shared" si="19"/>
        <v>0</v>
      </c>
      <c r="U85" s="176">
        <f t="shared" si="19"/>
        <v>0</v>
      </c>
      <c r="V85" s="176">
        <f t="shared" si="19"/>
        <v>0</v>
      </c>
      <c r="W85" s="176">
        <f t="shared" si="19"/>
        <v>0</v>
      </c>
      <c r="X85" s="176">
        <f t="shared" si="19"/>
        <v>0</v>
      </c>
    </row>
    <row r="86" spans="2:24" ht="14.25">
      <c r="B86" s="180" t="s">
        <v>145</v>
      </c>
      <c r="C86" s="176">
        <f>-C80+C81+C82-C83-C84-C85</f>
        <v>0</v>
      </c>
      <c r="D86" s="176">
        <f aca="true" t="shared" si="20" ref="D86:X86">-D80+D81+D82-D83-D84-D85</f>
        <v>0</v>
      </c>
      <c r="E86" s="176">
        <f t="shared" si="20"/>
        <v>0</v>
      </c>
      <c r="F86" s="176">
        <f t="shared" si="20"/>
        <v>0</v>
      </c>
      <c r="G86" s="176">
        <f t="shared" si="20"/>
        <v>0</v>
      </c>
      <c r="H86" s="176">
        <f t="shared" si="20"/>
        <v>0</v>
      </c>
      <c r="I86" s="176">
        <f t="shared" si="20"/>
        <v>0</v>
      </c>
      <c r="J86" s="176">
        <f t="shared" si="20"/>
        <v>0</v>
      </c>
      <c r="K86" s="176">
        <f t="shared" si="20"/>
        <v>0</v>
      </c>
      <c r="L86" s="176">
        <f t="shared" si="20"/>
        <v>0</v>
      </c>
      <c r="M86" s="176">
        <f t="shared" si="20"/>
        <v>0</v>
      </c>
      <c r="N86" s="176">
        <f t="shared" si="20"/>
        <v>0</v>
      </c>
      <c r="O86" s="176">
        <f t="shared" si="20"/>
        <v>0</v>
      </c>
      <c r="P86" s="176">
        <f t="shared" si="20"/>
        <v>0</v>
      </c>
      <c r="Q86" s="176">
        <f t="shared" si="20"/>
        <v>0</v>
      </c>
      <c r="R86" s="176">
        <f t="shared" si="20"/>
        <v>0</v>
      </c>
      <c r="S86" s="176">
        <f t="shared" si="20"/>
        <v>0</v>
      </c>
      <c r="T86" s="176">
        <f t="shared" si="20"/>
        <v>0</v>
      </c>
      <c r="U86" s="176">
        <f t="shared" si="20"/>
        <v>0</v>
      </c>
      <c r="V86" s="176">
        <f t="shared" si="20"/>
        <v>0</v>
      </c>
      <c r="W86" s="176">
        <f t="shared" si="20"/>
        <v>0</v>
      </c>
      <c r="X86" s="176">
        <f t="shared" si="20"/>
        <v>0</v>
      </c>
    </row>
    <row r="87" spans="2:24" ht="14.25">
      <c r="B87" s="180" t="s">
        <v>147</v>
      </c>
      <c r="C87" s="176">
        <f>PV('Entradas de Cálculos'!$D$143,C2,0,-C86)</f>
        <v>0</v>
      </c>
      <c r="D87" s="176">
        <f>PV('Entradas de Cálculos'!$D$143,D2,0,-D86)</f>
        <v>0</v>
      </c>
      <c r="E87" s="176">
        <f>PV('Entradas de Cálculos'!$D$143,E2,0,-E86)</f>
        <v>0</v>
      </c>
      <c r="F87" s="176">
        <f>PV('Entradas de Cálculos'!$D$143,F2,0,-F86)</f>
        <v>0</v>
      </c>
      <c r="G87" s="176">
        <f>PV('Entradas de Cálculos'!$D$143,G2,0,-G86)</f>
        <v>0</v>
      </c>
      <c r="H87" s="176">
        <f>PV('Entradas de Cálculos'!$D$143,H2,0,-H86)</f>
        <v>0</v>
      </c>
      <c r="I87" s="176">
        <f>PV('Entradas de Cálculos'!$D$143,I2,0,-I86)</f>
        <v>0</v>
      </c>
      <c r="J87" s="176">
        <f>PV('Entradas de Cálculos'!$D$143,J2,0,-J86)</f>
        <v>0</v>
      </c>
      <c r="K87" s="176">
        <f>PV('Entradas de Cálculos'!$D$143,K2,0,-K86)</f>
        <v>0</v>
      </c>
      <c r="L87" s="176">
        <f>PV('Entradas de Cálculos'!$D$143,L2,0,-L86)</f>
        <v>0</v>
      </c>
      <c r="M87" s="176">
        <f>PV('Entradas de Cálculos'!$D$143,M2,0,-M86)</f>
        <v>0</v>
      </c>
      <c r="N87" s="176">
        <f>PV('Entradas de Cálculos'!$D$143,N2,0,-N86)</f>
        <v>0</v>
      </c>
      <c r="O87" s="176">
        <f>PV('Entradas de Cálculos'!$D$143,O2,0,-O86)</f>
        <v>0</v>
      </c>
      <c r="P87" s="176">
        <f>PV('Entradas de Cálculos'!$D$143,P2,0,-P86)</f>
        <v>0</v>
      </c>
      <c r="Q87" s="176">
        <f>PV('Entradas de Cálculos'!$D$143,Q2,0,-Q86)</f>
        <v>0</v>
      </c>
      <c r="R87" s="176">
        <f>PV('Entradas de Cálculos'!$D$143,R2,0,-R86)</f>
        <v>0</v>
      </c>
      <c r="S87" s="176">
        <f>PV('Entradas de Cálculos'!$D$143,S2,0,-S86)</f>
        <v>0</v>
      </c>
      <c r="T87" s="176">
        <f>PV('Entradas de Cálculos'!$D$143,T2,0,-T86)</f>
        <v>0</v>
      </c>
      <c r="U87" s="176">
        <f>PV('Entradas de Cálculos'!$D$143,U2,0,-U86)</f>
        <v>0</v>
      </c>
      <c r="V87" s="176">
        <f>PV('Entradas de Cálculos'!$D$143,V2,0,-V86)</f>
        <v>0</v>
      </c>
      <c r="W87" s="176">
        <f>PV('Entradas de Cálculos'!$D$143,W2,0,-W86)</f>
        <v>0</v>
      </c>
      <c r="X87" s="176">
        <f>PV('Entradas de Cálculos'!$D$143,X2,0,-X86)</f>
        <v>0</v>
      </c>
    </row>
    <row r="88" spans="2:24" ht="14.25">
      <c r="B88" s="180" t="s">
        <v>146</v>
      </c>
      <c r="C88" s="176">
        <f>C86</f>
        <v>0</v>
      </c>
      <c r="D88" s="176">
        <f>C88+D86</f>
        <v>0</v>
      </c>
      <c r="E88" s="176">
        <f aca="true" t="shared" si="21" ref="E88:X88">D88+E86</f>
        <v>0</v>
      </c>
      <c r="F88" s="176">
        <f t="shared" si="21"/>
        <v>0</v>
      </c>
      <c r="G88" s="176">
        <f t="shared" si="21"/>
        <v>0</v>
      </c>
      <c r="H88" s="176">
        <f t="shared" si="21"/>
        <v>0</v>
      </c>
      <c r="I88" s="176">
        <f t="shared" si="21"/>
        <v>0</v>
      </c>
      <c r="J88" s="176">
        <f t="shared" si="21"/>
        <v>0</v>
      </c>
      <c r="K88" s="176">
        <f t="shared" si="21"/>
        <v>0</v>
      </c>
      <c r="L88" s="176">
        <f t="shared" si="21"/>
        <v>0</v>
      </c>
      <c r="M88" s="176">
        <f t="shared" si="21"/>
        <v>0</v>
      </c>
      <c r="N88" s="176">
        <f t="shared" si="21"/>
        <v>0</v>
      </c>
      <c r="O88" s="176">
        <f t="shared" si="21"/>
        <v>0</v>
      </c>
      <c r="P88" s="176">
        <f t="shared" si="21"/>
        <v>0</v>
      </c>
      <c r="Q88" s="176">
        <f t="shared" si="21"/>
        <v>0</v>
      </c>
      <c r="R88" s="176">
        <f t="shared" si="21"/>
        <v>0</v>
      </c>
      <c r="S88" s="176">
        <f t="shared" si="21"/>
        <v>0</v>
      </c>
      <c r="T88" s="176">
        <f t="shared" si="21"/>
        <v>0</v>
      </c>
      <c r="U88" s="176">
        <f t="shared" si="21"/>
        <v>0</v>
      </c>
      <c r="V88" s="176">
        <f t="shared" si="21"/>
        <v>0</v>
      </c>
      <c r="W88" s="176">
        <f t="shared" si="21"/>
        <v>0</v>
      </c>
      <c r="X88" s="176">
        <f t="shared" si="21"/>
        <v>0</v>
      </c>
    </row>
    <row r="89" spans="2:24" ht="14.25">
      <c r="B89" s="180" t="s">
        <v>161</v>
      </c>
      <c r="C89" s="176">
        <f>C87</f>
        <v>0</v>
      </c>
      <c r="D89" s="176">
        <f>C89+D87</f>
        <v>0</v>
      </c>
      <c r="E89" s="176">
        <f aca="true" t="shared" si="22" ref="E89:X89">D89+E87</f>
        <v>0</v>
      </c>
      <c r="F89" s="176">
        <f t="shared" si="22"/>
        <v>0</v>
      </c>
      <c r="G89" s="176">
        <f t="shared" si="22"/>
        <v>0</v>
      </c>
      <c r="H89" s="176">
        <f t="shared" si="22"/>
        <v>0</v>
      </c>
      <c r="I89" s="176">
        <f t="shared" si="22"/>
        <v>0</v>
      </c>
      <c r="J89" s="176">
        <f t="shared" si="22"/>
        <v>0</v>
      </c>
      <c r="K89" s="176">
        <f t="shared" si="22"/>
        <v>0</v>
      </c>
      <c r="L89" s="176">
        <f t="shared" si="22"/>
        <v>0</v>
      </c>
      <c r="M89" s="176">
        <f t="shared" si="22"/>
        <v>0</v>
      </c>
      <c r="N89" s="176">
        <f t="shared" si="22"/>
        <v>0</v>
      </c>
      <c r="O89" s="176">
        <f t="shared" si="22"/>
        <v>0</v>
      </c>
      <c r="P89" s="176">
        <f t="shared" si="22"/>
        <v>0</v>
      </c>
      <c r="Q89" s="176">
        <f t="shared" si="22"/>
        <v>0</v>
      </c>
      <c r="R89" s="176">
        <f t="shared" si="22"/>
        <v>0</v>
      </c>
      <c r="S89" s="176">
        <f t="shared" si="22"/>
        <v>0</v>
      </c>
      <c r="T89" s="176">
        <f t="shared" si="22"/>
        <v>0</v>
      </c>
      <c r="U89" s="176">
        <f t="shared" si="22"/>
        <v>0</v>
      </c>
      <c r="V89" s="176">
        <f t="shared" si="22"/>
        <v>0</v>
      </c>
      <c r="W89" s="176">
        <f t="shared" si="22"/>
        <v>0</v>
      </c>
      <c r="X89" s="176">
        <f t="shared" si="22"/>
        <v>0</v>
      </c>
    </row>
    <row r="90" spans="2:9" ht="14.25">
      <c r="B90" t="s">
        <v>142</v>
      </c>
      <c r="C90" s="183" t="e">
        <f>IRR(C86:X86,0.1)</f>
        <v>#NUM!</v>
      </c>
      <c r="D90" s="183"/>
      <c r="E90" s="183"/>
      <c r="F90" s="183"/>
      <c r="G90" s="183"/>
      <c r="H90" s="183"/>
      <c r="I90" s="183"/>
    </row>
    <row r="91" spans="2:3" ht="14.25">
      <c r="B91" t="s">
        <v>143</v>
      </c>
      <c r="C91" s="179">
        <f>NPV('Entradas de Cálculos'!$D$143,'Modelo Financeiro'!C86:X86)</f>
        <v>0</v>
      </c>
    </row>
    <row r="92" spans="2:3" ht="14.25">
      <c r="B92" t="s">
        <v>144</v>
      </c>
      <c r="C92" s="181" t="e">
        <f>(NPV('Entradas de Cálculos'!$D$143,C81:X81)+NPV('Entradas de Cálculos'!$D$143,C82:X82))/(NPV('Entradas de Cálculos'!$D$143,C80:X80)+NPV('Entradas de Cálculos'!$D$143,C83:X83)+NPV('Entradas de Cálculos'!$D$143,C84:X84)+NPV('Entradas de Cálculos'!$D$143,C85:X85))</f>
        <v>#DIV/0!</v>
      </c>
    </row>
    <row r="93" spans="2:24" ht="14.25">
      <c r="B93" t="s">
        <v>138</v>
      </c>
      <c r="C93" s="184" t="e">
        <f>IF(D93=0,0,IF(SUM(D93:X93)=0,"-",SUM(D93:X93)))</f>
        <v>#DIV/0!</v>
      </c>
      <c r="D93" s="184" t="e">
        <f>IF(IF(IF(D88&gt;=0,C$2+(D86+C88)/D86,0)*IF(C88&lt;=0,1,0)=0,"-",IF(D88&gt;=0,C$2+(D86+C88)/D86,0)*IF(C88&lt;=0,1,0))&lt;0,0,IF(IF(D88&gt;=0,C$2+(D86+C88)/D86,0)*IF(C88&lt;=0,1,0)=0,"-",IF(D88&gt;=0,C$2+(D86+C88)/D86,0)*IF(C88&lt;=0,1,0)))</f>
        <v>#DIV/0!</v>
      </c>
      <c r="E93" s="184" t="e">
        <f aca="true" t="shared" si="23" ref="E93:X93">IF(IF(IF(E88&gt;=0,D$2+(E86+D88)/E86,0)*IF(D88&lt;=0,1,0)=0,"-",IF(E88&gt;=0,D$2+(E86+D88)/E86,0)*IF(D88&lt;=0,1,0))&lt;0,0,IF(IF(E88&gt;=0,D$2+(E86+D88)/E86,0)*IF(D88&lt;=0,1,0)=0,"-",IF(E88&gt;=0,D$2+(E86+D88)/E86,0)*IF(D88&lt;=0,1,0)))</f>
        <v>#DIV/0!</v>
      </c>
      <c r="F93" s="184" t="e">
        <f t="shared" si="23"/>
        <v>#DIV/0!</v>
      </c>
      <c r="G93" s="184" t="e">
        <f t="shared" si="23"/>
        <v>#DIV/0!</v>
      </c>
      <c r="H93" s="184" t="e">
        <f t="shared" si="23"/>
        <v>#DIV/0!</v>
      </c>
      <c r="I93" s="184" t="e">
        <f t="shared" si="23"/>
        <v>#DIV/0!</v>
      </c>
      <c r="J93" s="184" t="e">
        <f t="shared" si="23"/>
        <v>#DIV/0!</v>
      </c>
      <c r="K93" s="184" t="e">
        <f t="shared" si="23"/>
        <v>#DIV/0!</v>
      </c>
      <c r="L93" s="184" t="e">
        <f t="shared" si="23"/>
        <v>#DIV/0!</v>
      </c>
      <c r="M93" s="184" t="e">
        <f t="shared" si="23"/>
        <v>#DIV/0!</v>
      </c>
      <c r="N93" s="184" t="e">
        <f t="shared" si="23"/>
        <v>#DIV/0!</v>
      </c>
      <c r="O93" s="184" t="e">
        <f t="shared" si="23"/>
        <v>#DIV/0!</v>
      </c>
      <c r="P93" s="184" t="e">
        <f t="shared" si="23"/>
        <v>#DIV/0!</v>
      </c>
      <c r="Q93" s="184" t="e">
        <f t="shared" si="23"/>
        <v>#DIV/0!</v>
      </c>
      <c r="R93" s="184" t="e">
        <f t="shared" si="23"/>
        <v>#DIV/0!</v>
      </c>
      <c r="S93" s="184" t="e">
        <f t="shared" si="23"/>
        <v>#DIV/0!</v>
      </c>
      <c r="T93" s="184" t="e">
        <f t="shared" si="23"/>
        <v>#DIV/0!</v>
      </c>
      <c r="U93" s="184" t="e">
        <f t="shared" si="23"/>
        <v>#DIV/0!</v>
      </c>
      <c r="V93" s="184" t="e">
        <f t="shared" si="23"/>
        <v>#DIV/0!</v>
      </c>
      <c r="W93" s="184" t="e">
        <f t="shared" si="23"/>
        <v>#DIV/0!</v>
      </c>
      <c r="X93" s="184" t="e">
        <f t="shared" si="23"/>
        <v>#DIV/0!</v>
      </c>
    </row>
    <row r="94" spans="1:24" ht="14.25">
      <c r="A94" s="1"/>
      <c r="B94" s="1" t="s">
        <v>139</v>
      </c>
      <c r="C94" s="258" t="e">
        <f>IF(D94=0,0,IF(SUM(D94:X94)=0,"-",SUM(D94:X94)))</f>
        <v>#DIV/0!</v>
      </c>
      <c r="D94" s="258" t="e">
        <f>IF(IF(IF(D89&gt;=0,C$2+(D87+C89)/D87,0)*IF(C89&lt;=0,1,0)=0,"-",IF(D89&gt;=0,C$2+(D87+C89)/D87,0)*IF(C89&lt;=0,1,0))&lt;0,0,IF(IF(D89&gt;=0,C$2+(D87+C89)/D87,0)*IF(C89&lt;=0,1,0)=0,"-",IF(D89&gt;=0,C$2+(D87+C89)/D87,0)*IF(C89&lt;=0,1,0)))</f>
        <v>#DIV/0!</v>
      </c>
      <c r="E94" s="258" t="e">
        <f aca="true" t="shared" si="24" ref="E94:X94">IF(IF(IF(E89&gt;=0,D$2+(E87+D89)/E87,0)*IF(D89&lt;=0,1,0)=0,"-",IF(E89&gt;=0,D$2+(E87+D89)/E87,0)*IF(D89&lt;=0,1,0))&lt;0,0,IF(IF(E89&gt;=0,D$2+(E87+D89)/E87,0)*IF(D89&lt;=0,1,0)=0,"-",IF(E89&gt;=0,D$2+(E87+D89)/E87,0)*IF(D89&lt;=0,1,0)))</f>
        <v>#DIV/0!</v>
      </c>
      <c r="F94" s="258" t="e">
        <f t="shared" si="24"/>
        <v>#DIV/0!</v>
      </c>
      <c r="G94" s="258" t="e">
        <f t="shared" si="24"/>
        <v>#DIV/0!</v>
      </c>
      <c r="H94" s="258" t="e">
        <f t="shared" si="24"/>
        <v>#DIV/0!</v>
      </c>
      <c r="I94" s="258" t="e">
        <f t="shared" si="24"/>
        <v>#DIV/0!</v>
      </c>
      <c r="J94" s="258" t="e">
        <f t="shared" si="24"/>
        <v>#DIV/0!</v>
      </c>
      <c r="K94" s="258" t="e">
        <f t="shared" si="24"/>
        <v>#DIV/0!</v>
      </c>
      <c r="L94" s="258" t="e">
        <f t="shared" si="24"/>
        <v>#DIV/0!</v>
      </c>
      <c r="M94" s="258" t="e">
        <f t="shared" si="24"/>
        <v>#DIV/0!</v>
      </c>
      <c r="N94" s="258" t="e">
        <f t="shared" si="24"/>
        <v>#DIV/0!</v>
      </c>
      <c r="O94" s="258" t="e">
        <f t="shared" si="24"/>
        <v>#DIV/0!</v>
      </c>
      <c r="P94" s="258" t="e">
        <f t="shared" si="24"/>
        <v>#DIV/0!</v>
      </c>
      <c r="Q94" s="258" t="e">
        <f t="shared" si="24"/>
        <v>#DIV/0!</v>
      </c>
      <c r="R94" s="258" t="e">
        <f t="shared" si="24"/>
        <v>#DIV/0!</v>
      </c>
      <c r="S94" s="258" t="e">
        <f t="shared" si="24"/>
        <v>#DIV/0!</v>
      </c>
      <c r="T94" s="258" t="e">
        <f t="shared" si="24"/>
        <v>#DIV/0!</v>
      </c>
      <c r="U94" s="258" t="e">
        <f t="shared" si="24"/>
        <v>#DIV/0!</v>
      </c>
      <c r="V94" s="258" t="e">
        <f t="shared" si="24"/>
        <v>#DIV/0!</v>
      </c>
      <c r="W94" s="258" t="e">
        <f t="shared" si="24"/>
        <v>#DIV/0!</v>
      </c>
      <c r="X94" s="258" t="e">
        <f t="shared" si="24"/>
        <v>#DIV/0!</v>
      </c>
    </row>
    <row r="95" spans="1:24" ht="15" thickBot="1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</row>
  </sheetData>
  <sheetProtection password="E9AB" sheet="1"/>
  <mergeCells count="12">
    <mergeCell ref="A79:X79"/>
    <mergeCell ref="A1:A2"/>
    <mergeCell ref="B1:B2"/>
    <mergeCell ref="D1:X1"/>
    <mergeCell ref="A3:X3"/>
    <mergeCell ref="A13:X13"/>
    <mergeCell ref="A8:X8"/>
    <mergeCell ref="A21:X21"/>
    <mergeCell ref="A63:X63"/>
    <mergeCell ref="A25:X25"/>
    <mergeCell ref="A37:X37"/>
    <mergeCell ref="A30:X30"/>
  </mergeCells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4"/>
  <sheetViews>
    <sheetView showGridLines="0" zoomScale="70" zoomScaleNormal="70" zoomScaleSheetLayoutView="30" zoomScalePageLayoutView="70" workbookViewId="0" topLeftCell="A1">
      <selection activeCell="S6" sqref="S6"/>
    </sheetView>
  </sheetViews>
  <sheetFormatPr defaultColWidth="9.140625" defaultRowHeight="15"/>
  <cols>
    <col min="1" max="1" width="13.00390625" style="0" customWidth="1"/>
    <col min="2" max="2" width="7.57421875" style="0" customWidth="1"/>
    <col min="3" max="3" width="4.7109375" style="0" customWidth="1"/>
    <col min="4" max="4" width="14.421875" style="0" customWidth="1"/>
    <col min="5" max="5" width="12.421875" style="0" customWidth="1"/>
    <col min="6" max="6" width="21.421875" style="0" customWidth="1"/>
    <col min="7" max="7" width="6.57421875" style="0" customWidth="1"/>
    <col min="8" max="8" width="8.8515625" style="0" customWidth="1"/>
    <col min="11" max="11" width="14.57421875" style="0" customWidth="1"/>
    <col min="13" max="13" width="8.7109375" style="0" customWidth="1"/>
    <col min="14" max="14" width="11.28125" style="0" customWidth="1"/>
    <col min="15" max="16" width="10.421875" style="0" bestFit="1" customWidth="1"/>
  </cols>
  <sheetData>
    <row r="1" spans="1:17" s="126" customFormat="1" ht="15" customHeight="1">
      <c r="A1" s="207"/>
      <c r="B1" s="208"/>
      <c r="C1" s="208"/>
      <c r="D1" s="208"/>
      <c r="E1" s="208"/>
      <c r="F1" s="208"/>
      <c r="G1" s="208"/>
      <c r="H1" s="209"/>
      <c r="I1" s="297" t="s">
        <v>71</v>
      </c>
      <c r="J1" s="298"/>
      <c r="K1" s="299"/>
      <c r="L1" s="299"/>
      <c r="M1" s="299"/>
      <c r="N1" s="299"/>
      <c r="O1" s="299"/>
      <c r="P1" s="299"/>
      <c r="Q1" s="300"/>
    </row>
    <row r="2" spans="1:17" ht="28.5">
      <c r="A2" s="419" t="s">
        <v>65</v>
      </c>
      <c r="B2" s="420"/>
      <c r="C2" s="420"/>
      <c r="D2" s="420"/>
      <c r="E2" s="420"/>
      <c r="F2" s="420"/>
      <c r="G2" s="420"/>
      <c r="H2" s="421"/>
      <c r="I2" s="417"/>
      <c r="J2" s="362"/>
      <c r="K2" s="362"/>
      <c r="L2" s="362"/>
      <c r="M2" s="362"/>
      <c r="N2" s="362"/>
      <c r="O2" s="362"/>
      <c r="P2" s="362"/>
      <c r="Q2" s="418"/>
    </row>
    <row r="3" spans="1:17" ht="28.5">
      <c r="A3" s="419" t="s">
        <v>66</v>
      </c>
      <c r="B3" s="420"/>
      <c r="C3" s="420"/>
      <c r="D3" s="420"/>
      <c r="E3" s="420"/>
      <c r="F3" s="420"/>
      <c r="G3" s="420"/>
      <c r="H3" s="421"/>
      <c r="I3" s="417"/>
      <c r="J3" s="362"/>
      <c r="K3" s="362"/>
      <c r="L3" s="362"/>
      <c r="M3" s="362"/>
      <c r="N3" s="362"/>
      <c r="O3" s="362"/>
      <c r="P3" s="362"/>
      <c r="Q3" s="418"/>
    </row>
    <row r="4" spans="1:17" ht="28.5">
      <c r="A4" s="419"/>
      <c r="B4" s="420"/>
      <c r="C4" s="420"/>
      <c r="D4" s="420"/>
      <c r="E4" s="420"/>
      <c r="F4" s="420"/>
      <c r="G4" s="420"/>
      <c r="H4" s="421"/>
      <c r="I4" s="417"/>
      <c r="J4" s="362"/>
      <c r="K4" s="362"/>
      <c r="L4" s="362"/>
      <c r="M4" s="362"/>
      <c r="N4" s="362"/>
      <c r="O4" s="362"/>
      <c r="P4" s="362"/>
      <c r="Q4" s="418"/>
    </row>
    <row r="5" spans="1:17" ht="28.5">
      <c r="A5" s="419" t="s">
        <v>67</v>
      </c>
      <c r="B5" s="420"/>
      <c r="C5" s="420"/>
      <c r="D5" s="420"/>
      <c r="E5" s="420"/>
      <c r="F5" s="420"/>
      <c r="G5" s="420"/>
      <c r="H5" s="421"/>
      <c r="I5" s="417"/>
      <c r="J5" s="362"/>
      <c r="K5" s="362"/>
      <c r="L5" s="362"/>
      <c r="M5" s="362"/>
      <c r="N5" s="362"/>
      <c r="O5" s="362"/>
      <c r="P5" s="362"/>
      <c r="Q5" s="418"/>
    </row>
    <row r="6" spans="1:17" ht="28.5">
      <c r="A6" s="419" t="s">
        <v>68</v>
      </c>
      <c r="B6" s="420"/>
      <c r="C6" s="420"/>
      <c r="D6" s="420"/>
      <c r="E6" s="420"/>
      <c r="F6" s="420"/>
      <c r="G6" s="420"/>
      <c r="H6" s="421"/>
      <c r="I6" s="417"/>
      <c r="J6" s="362"/>
      <c r="K6" s="362"/>
      <c r="L6" s="362"/>
      <c r="M6" s="362"/>
      <c r="N6" s="362"/>
      <c r="O6" s="362"/>
      <c r="P6" s="362"/>
      <c r="Q6" s="418"/>
    </row>
    <row r="7" spans="1:17" s="126" customFormat="1" ht="15">
      <c r="A7" s="293"/>
      <c r="B7" s="294"/>
      <c r="C7" s="294"/>
      <c r="D7" s="294"/>
      <c r="E7" s="294"/>
      <c r="F7" s="294"/>
      <c r="G7" s="294"/>
      <c r="H7" s="295"/>
      <c r="I7" s="417"/>
      <c r="J7" s="362"/>
      <c r="K7" s="362"/>
      <c r="L7" s="362"/>
      <c r="M7" s="362"/>
      <c r="N7" s="362"/>
      <c r="O7" s="362"/>
      <c r="P7" s="362"/>
      <c r="Q7" s="418"/>
    </row>
    <row r="8" spans="1:17" ht="36">
      <c r="A8" s="422">
        <f>UPPER('Entrada de Dados do Usuário'!C3)</f>
      </c>
      <c r="B8" s="423"/>
      <c r="C8" s="423"/>
      <c r="D8" s="423"/>
      <c r="E8" s="423"/>
      <c r="F8" s="423"/>
      <c r="G8" s="423"/>
      <c r="H8" s="424"/>
      <c r="I8" s="417"/>
      <c r="J8" s="362"/>
      <c r="K8" s="362"/>
      <c r="L8" s="362"/>
      <c r="M8" s="362"/>
      <c r="N8" s="362"/>
      <c r="O8" s="362"/>
      <c r="P8" s="362"/>
      <c r="Q8" s="418"/>
    </row>
    <row r="9" spans="1:17" ht="26.25">
      <c r="A9" s="425">
        <f>'Entrada de Dados do Usuário'!C5</f>
        <v>0</v>
      </c>
      <c r="B9" s="426"/>
      <c r="C9" s="426"/>
      <c r="D9" s="426"/>
      <c r="E9" s="426"/>
      <c r="F9" s="426"/>
      <c r="G9" s="426"/>
      <c r="H9" s="427"/>
      <c r="I9" s="417"/>
      <c r="J9" s="362"/>
      <c r="K9" s="362"/>
      <c r="L9" s="362"/>
      <c r="M9" s="362"/>
      <c r="N9" s="362"/>
      <c r="O9" s="362"/>
      <c r="P9" s="362"/>
      <c r="Q9" s="418"/>
    </row>
    <row r="10" spans="1:17" ht="26.25">
      <c r="A10" s="425">
        <f>'Entrada de Dados do Usuário'!C6</f>
        <v>0</v>
      </c>
      <c r="B10" s="426"/>
      <c r="C10" s="426"/>
      <c r="D10" s="426"/>
      <c r="E10" s="426"/>
      <c r="F10" s="426"/>
      <c r="G10" s="426"/>
      <c r="H10" s="427"/>
      <c r="I10" s="417"/>
      <c r="J10" s="362"/>
      <c r="K10" s="362"/>
      <c r="L10" s="362"/>
      <c r="M10" s="362"/>
      <c r="N10" s="362"/>
      <c r="O10" s="362"/>
      <c r="P10" s="362"/>
      <c r="Q10" s="418"/>
    </row>
    <row r="11" spans="1:17" s="126" customFormat="1" ht="15">
      <c r="A11" s="407"/>
      <c r="B11" s="384"/>
      <c r="C11" s="384"/>
      <c r="D11" s="384"/>
      <c r="E11" s="384"/>
      <c r="F11" s="384"/>
      <c r="G11" s="384"/>
      <c r="H11" s="389"/>
      <c r="I11" s="301" t="s">
        <v>72</v>
      </c>
      <c r="J11" s="302"/>
      <c r="K11" s="302"/>
      <c r="L11" s="302"/>
      <c r="M11" s="302"/>
      <c r="N11" s="302"/>
      <c r="O11" s="302"/>
      <c r="P11" s="302"/>
      <c r="Q11" s="303"/>
    </row>
    <row r="12" spans="1:17" s="126" customFormat="1" ht="15">
      <c r="A12" s="407"/>
      <c r="B12" s="384"/>
      <c r="C12" s="384"/>
      <c r="D12" s="384"/>
      <c r="E12" s="384"/>
      <c r="F12" s="384"/>
      <c r="G12" s="384"/>
      <c r="H12" s="389"/>
      <c r="I12" s="150"/>
      <c r="J12" s="6"/>
      <c r="K12" s="6"/>
      <c r="L12" s="6"/>
      <c r="M12" s="6"/>
      <c r="N12" s="6"/>
      <c r="O12" s="6"/>
      <c r="P12" s="6"/>
      <c r="Q12" s="210"/>
    </row>
    <row r="13" spans="1:17" s="126" customFormat="1" ht="15">
      <c r="A13" s="407"/>
      <c r="B13" s="384"/>
      <c r="C13" s="384"/>
      <c r="D13" s="384"/>
      <c r="E13" s="384"/>
      <c r="F13" s="384"/>
      <c r="G13" s="384"/>
      <c r="H13" s="389"/>
      <c r="I13" s="304" t="s">
        <v>73</v>
      </c>
      <c r="J13" s="6"/>
      <c r="K13" s="6"/>
      <c r="L13" s="6"/>
      <c r="M13" s="6"/>
      <c r="N13" s="6"/>
      <c r="O13" s="6"/>
      <c r="P13" s="6"/>
      <c r="Q13" s="210"/>
    </row>
    <row r="14" spans="1:17" s="126" customFormat="1" ht="15">
      <c r="A14" s="150"/>
      <c r="B14" s="6"/>
      <c r="C14" s="6"/>
      <c r="D14" s="6"/>
      <c r="E14" s="6"/>
      <c r="F14" s="6"/>
      <c r="G14" s="6"/>
      <c r="H14" s="210"/>
      <c r="I14" s="150"/>
      <c r="J14" s="305"/>
      <c r="K14" s="305"/>
      <c r="L14" s="305"/>
      <c r="M14" s="305"/>
      <c r="N14" s="305"/>
      <c r="O14" s="305"/>
      <c r="P14" s="6"/>
      <c r="Q14" s="210"/>
    </row>
    <row r="15" spans="1:17" s="126" customFormat="1" ht="15">
      <c r="A15" s="150"/>
      <c r="B15" s="6"/>
      <c r="C15" s="6"/>
      <c r="D15" s="6"/>
      <c r="E15" s="6"/>
      <c r="F15" s="6"/>
      <c r="G15" s="6"/>
      <c r="H15" s="210"/>
      <c r="I15" s="306" t="s">
        <v>74</v>
      </c>
      <c r="J15" s="193"/>
      <c r="K15" s="193"/>
      <c r="L15" s="296">
        <v>1</v>
      </c>
      <c r="M15" s="296">
        <v>2</v>
      </c>
      <c r="N15" s="296">
        <v>3</v>
      </c>
      <c r="O15" s="194" t="s">
        <v>38</v>
      </c>
      <c r="P15" s="193"/>
      <c r="Q15" s="307"/>
    </row>
    <row r="16" spans="1:17" s="126" customFormat="1" ht="15">
      <c r="A16" s="407"/>
      <c r="B16" s="384"/>
      <c r="C16" s="384"/>
      <c r="D16" s="384"/>
      <c r="E16" s="384"/>
      <c r="F16" s="384"/>
      <c r="G16" s="384"/>
      <c r="H16" s="389"/>
      <c r="I16" s="306" t="s">
        <v>113</v>
      </c>
      <c r="J16" s="193"/>
      <c r="K16" s="193"/>
      <c r="L16" s="198">
        <f>SUM('Modelo de CR'!C49:I49)</f>
        <v>0</v>
      </c>
      <c r="M16" s="198">
        <f>SUM('Modelo de CR'!J49:P49)</f>
        <v>0</v>
      </c>
      <c r="N16" s="198">
        <f>SUM('Modelo de CR'!Q49:W49)</f>
        <v>0</v>
      </c>
      <c r="O16" s="198">
        <f>SUM(L16:N16)</f>
        <v>0</v>
      </c>
      <c r="P16" s="193" t="s">
        <v>37</v>
      </c>
      <c r="Q16" s="210"/>
    </row>
    <row r="17" spans="1:17" ht="15">
      <c r="A17" s="37"/>
      <c r="B17" s="1"/>
      <c r="C17" s="1"/>
      <c r="D17" s="1"/>
      <c r="E17" s="1"/>
      <c r="F17" s="1"/>
      <c r="G17" s="1"/>
      <c r="H17" s="211"/>
      <c r="I17" s="9" t="s">
        <v>75</v>
      </c>
      <c r="J17" s="6"/>
      <c r="K17" s="6"/>
      <c r="L17" s="195"/>
      <c r="M17" s="195"/>
      <c r="N17" s="195"/>
      <c r="O17" s="195"/>
      <c r="P17" s="6"/>
      <c r="Q17" s="211"/>
    </row>
    <row r="18" spans="1:17" ht="15">
      <c r="A18" s="37"/>
      <c r="B18" s="1"/>
      <c r="C18" s="1"/>
      <c r="D18" s="1"/>
      <c r="E18" s="1"/>
      <c r="F18" s="1"/>
      <c r="G18" s="1"/>
      <c r="H18" s="211"/>
      <c r="I18" s="396" t="s">
        <v>77</v>
      </c>
      <c r="J18" s="397"/>
      <c r="K18" s="397"/>
      <c r="L18" s="195">
        <f>SUM('Modelo de CR'!C56:I56)</f>
        <v>0</v>
      </c>
      <c r="M18" s="195">
        <f>SUM('Modelo de CR'!J56:P56)</f>
        <v>0</v>
      </c>
      <c r="N18" s="195">
        <f>SUM('Modelo de CR'!Q56:W56)</f>
        <v>0</v>
      </c>
      <c r="O18" s="195">
        <f>SUM(L18:N18)</f>
        <v>0</v>
      </c>
      <c r="P18" s="6" t="s">
        <v>37</v>
      </c>
      <c r="Q18" s="211"/>
    </row>
    <row r="19" spans="1:17" ht="15">
      <c r="A19" s="293"/>
      <c r="B19" s="294"/>
      <c r="C19" s="294"/>
      <c r="D19" s="294"/>
      <c r="E19" s="294"/>
      <c r="F19" s="294"/>
      <c r="G19" s="294"/>
      <c r="H19" s="295"/>
      <c r="I19" s="396" t="s">
        <v>76</v>
      </c>
      <c r="J19" s="397"/>
      <c r="K19" s="397"/>
      <c r="L19" s="188">
        <f>SUM('Modelo de CR'!C65:I65)</f>
        <v>0</v>
      </c>
      <c r="M19" s="188">
        <f>SUM('Modelo de CR'!J65:P65)</f>
        <v>0</v>
      </c>
      <c r="N19" s="188">
        <f>SUM('Modelo de CR'!Q65:W65)</f>
        <v>0</v>
      </c>
      <c r="O19" s="195">
        <f>SUM(L19:N19)</f>
        <v>0</v>
      </c>
      <c r="P19" s="6" t="s">
        <v>37</v>
      </c>
      <c r="Q19" s="211"/>
    </row>
    <row r="20" spans="1:17" ht="15">
      <c r="A20" s="293"/>
      <c r="B20" s="294"/>
      <c r="C20" s="294"/>
      <c r="D20" s="294"/>
      <c r="E20" s="294"/>
      <c r="F20" s="294"/>
      <c r="G20" s="294"/>
      <c r="H20" s="295"/>
      <c r="I20" s="398" t="s">
        <v>78</v>
      </c>
      <c r="J20" s="399"/>
      <c r="K20" s="399"/>
      <c r="L20" s="189">
        <f>SUM('Modelo de CR'!C66:I66)</f>
        <v>0</v>
      </c>
      <c r="M20" s="189">
        <f>SUM('Modelo de CR'!J66:P66)</f>
        <v>0</v>
      </c>
      <c r="N20" s="189">
        <f>SUM('Modelo de CR'!Q66:W66)</f>
        <v>0</v>
      </c>
      <c r="O20" s="196">
        <f>SUM(L20:N20)</f>
        <v>0</v>
      </c>
      <c r="P20" s="197" t="s">
        <v>37</v>
      </c>
      <c r="Q20" s="308"/>
    </row>
    <row r="21" spans="1:17" s="201" customFormat="1" ht="23.25">
      <c r="A21" s="414" t="s">
        <v>100</v>
      </c>
      <c r="B21" s="415"/>
      <c r="C21" s="415"/>
      <c r="D21" s="415"/>
      <c r="E21" s="415"/>
      <c r="F21" s="415"/>
      <c r="G21" s="415"/>
      <c r="H21" s="416"/>
      <c r="I21" s="309"/>
      <c r="J21" s="200"/>
      <c r="K21" s="200"/>
      <c r="L21" s="200"/>
      <c r="M21" s="310"/>
      <c r="N21" s="310"/>
      <c r="O21" s="310"/>
      <c r="P21" s="310"/>
      <c r="Q21" s="311"/>
    </row>
    <row r="22" spans="1:17" s="201" customFormat="1" ht="23.25">
      <c r="A22" s="414">
        <f>'Entrada de Dados do Usuário'!C4</f>
        <v>0</v>
      </c>
      <c r="B22" s="415"/>
      <c r="C22" s="415"/>
      <c r="D22" s="415"/>
      <c r="E22" s="415"/>
      <c r="F22" s="415"/>
      <c r="G22" s="415"/>
      <c r="H22" s="416"/>
      <c r="I22" s="309"/>
      <c r="J22" s="200"/>
      <c r="K22" s="200"/>
      <c r="L22" s="200"/>
      <c r="M22" s="310"/>
      <c r="N22" s="310"/>
      <c r="O22" s="310"/>
      <c r="P22" s="310"/>
      <c r="Q22" s="311"/>
    </row>
    <row r="23" spans="1:17" s="126" customFormat="1" ht="15">
      <c r="A23" s="293"/>
      <c r="B23" s="294"/>
      <c r="C23" s="294"/>
      <c r="D23" s="294"/>
      <c r="E23" s="294"/>
      <c r="F23" s="294"/>
      <c r="G23" s="294"/>
      <c r="H23" s="295"/>
      <c r="I23" s="301" t="s">
        <v>79</v>
      </c>
      <c r="J23" s="302"/>
      <c r="K23" s="302"/>
      <c r="L23" s="302"/>
      <c r="M23" s="302"/>
      <c r="N23" s="302"/>
      <c r="O23" s="302"/>
      <c r="P23" s="302"/>
      <c r="Q23" s="303"/>
    </row>
    <row r="24" spans="1:17" s="126" customFormat="1" ht="15">
      <c r="A24" s="293"/>
      <c r="B24" s="294"/>
      <c r="C24" s="294"/>
      <c r="D24" s="294"/>
      <c r="E24" s="294"/>
      <c r="F24" s="294"/>
      <c r="G24" s="294"/>
      <c r="H24" s="295"/>
      <c r="I24" s="150"/>
      <c r="J24" s="6"/>
      <c r="K24" s="6"/>
      <c r="L24" s="6"/>
      <c r="M24" s="6"/>
      <c r="N24" s="6"/>
      <c r="O24" s="6"/>
      <c r="P24" s="6"/>
      <c r="Q24" s="210"/>
    </row>
    <row r="25" spans="1:17" s="126" customFormat="1" ht="15">
      <c r="A25" s="407"/>
      <c r="B25" s="384"/>
      <c r="C25" s="384"/>
      <c r="D25" s="384"/>
      <c r="E25" s="384"/>
      <c r="F25" s="384"/>
      <c r="G25" s="384"/>
      <c r="H25" s="389"/>
      <c r="I25" s="304" t="s">
        <v>80</v>
      </c>
      <c r="J25" s="305"/>
      <c r="K25" s="305"/>
      <c r="L25" s="305"/>
      <c r="M25" s="6"/>
      <c r="N25" s="6"/>
      <c r="O25" s="6"/>
      <c r="P25" s="6"/>
      <c r="Q25" s="210"/>
    </row>
    <row r="26" spans="1:17" s="126" customFormat="1" ht="15">
      <c r="A26" s="411" t="s">
        <v>69</v>
      </c>
      <c r="B26" s="384"/>
      <c r="C26" s="384"/>
      <c r="D26" s="384"/>
      <c r="E26" s="384"/>
      <c r="F26" s="384"/>
      <c r="G26" s="384"/>
      <c r="H26" s="389"/>
      <c r="I26" s="37"/>
      <c r="J26" s="6"/>
      <c r="K26" s="6"/>
      <c r="L26" s="6"/>
      <c r="M26" s="6"/>
      <c r="N26" s="6"/>
      <c r="O26" s="6"/>
      <c r="P26" s="6"/>
      <c r="Q26" s="312"/>
    </row>
    <row r="27" spans="1:17" s="126" customFormat="1" ht="15">
      <c r="A27" s="408">
        <f>'Entrada de Dados do Usuário'!C7</f>
        <v>0</v>
      </c>
      <c r="B27" s="409"/>
      <c r="C27" s="409"/>
      <c r="D27" s="409"/>
      <c r="E27" s="409"/>
      <c r="F27" s="409"/>
      <c r="G27" s="409"/>
      <c r="H27" s="410"/>
      <c r="I27" s="306" t="s">
        <v>106</v>
      </c>
      <c r="J27" s="193"/>
      <c r="K27" s="193"/>
      <c r="L27" s="198">
        <f>'Modelo Financeiro'!C31</f>
        <v>0</v>
      </c>
      <c r="M27" s="203">
        <v>1</v>
      </c>
      <c r="N27" s="193"/>
      <c r="O27" s="193"/>
      <c r="P27" s="193"/>
      <c r="Q27" s="210"/>
    </row>
    <row r="28" spans="1:17" s="126" customFormat="1" ht="15">
      <c r="A28" s="293"/>
      <c r="B28" s="294"/>
      <c r="C28" s="294"/>
      <c r="D28" s="294"/>
      <c r="E28" s="294"/>
      <c r="F28" s="294"/>
      <c r="G28" s="294"/>
      <c r="H28" s="210"/>
      <c r="I28" s="396" t="s">
        <v>211</v>
      </c>
      <c r="J28" s="397"/>
      <c r="K28" s="397"/>
      <c r="L28" s="195">
        <f>L27*M28</f>
        <v>0</v>
      </c>
      <c r="M28" s="204">
        <f>'Entrada de Dados do Usuário'!C92</f>
        <v>0</v>
      </c>
      <c r="N28" s="6"/>
      <c r="O28" s="6"/>
      <c r="P28" s="6"/>
      <c r="Q28" s="210"/>
    </row>
    <row r="29" spans="1:17" s="126" customFormat="1" ht="15">
      <c r="A29" s="293"/>
      <c r="B29" s="294"/>
      <c r="C29" s="294"/>
      <c r="D29" s="294"/>
      <c r="E29" s="294"/>
      <c r="F29" s="294"/>
      <c r="G29" s="294"/>
      <c r="H29" s="295"/>
      <c r="I29" s="396" t="s">
        <v>107</v>
      </c>
      <c r="J29" s="397"/>
      <c r="K29" s="397"/>
      <c r="L29" s="195">
        <f>L27*M29</f>
        <v>0</v>
      </c>
      <c r="M29" s="204">
        <f>M27-M28</f>
        <v>1</v>
      </c>
      <c r="N29" s="6"/>
      <c r="O29" s="6"/>
      <c r="P29" s="6"/>
      <c r="Q29" s="210"/>
    </row>
    <row r="30" spans="1:17" s="126" customFormat="1" ht="15">
      <c r="A30" s="293"/>
      <c r="B30" s="294"/>
      <c r="C30" s="294"/>
      <c r="D30" s="294"/>
      <c r="E30" s="294"/>
      <c r="F30" s="294"/>
      <c r="G30" s="294"/>
      <c r="H30" s="295"/>
      <c r="I30" s="37" t="s">
        <v>210</v>
      </c>
      <c r="J30" s="6"/>
      <c r="K30" s="6"/>
      <c r="L30" s="204">
        <f>'Entrada de Dados do Usuário'!C94</f>
        <v>0</v>
      </c>
      <c r="M30" s="6"/>
      <c r="N30" s="1" t="s">
        <v>114</v>
      </c>
      <c r="O30" s="6">
        <v>21</v>
      </c>
      <c r="P30" s="1" t="s">
        <v>112</v>
      </c>
      <c r="Q30" s="210"/>
    </row>
    <row r="31" spans="1:17" s="126" customFormat="1" ht="15">
      <c r="A31" s="293"/>
      <c r="B31" s="294"/>
      <c r="C31" s="294"/>
      <c r="D31" s="294"/>
      <c r="E31" s="294"/>
      <c r="F31" s="294"/>
      <c r="G31" s="294"/>
      <c r="H31" s="295"/>
      <c r="I31" s="255" t="s">
        <v>111</v>
      </c>
      <c r="J31" s="197"/>
      <c r="K31" s="197"/>
      <c r="L31" s="196">
        <f>'Entrada de Dados do Usuário'!C93</f>
        <v>0</v>
      </c>
      <c r="M31" s="186" t="s">
        <v>112</v>
      </c>
      <c r="N31" s="186" t="s">
        <v>115</v>
      </c>
      <c r="O31" s="205">
        <f>'Entradas de Cálculos'!D143</f>
        <v>0.1</v>
      </c>
      <c r="P31" s="197"/>
      <c r="Q31" s="313"/>
    </row>
    <row r="32" spans="1:17" s="126" customFormat="1" ht="15">
      <c r="A32" s="407"/>
      <c r="B32" s="384"/>
      <c r="C32" s="384"/>
      <c r="D32" s="384"/>
      <c r="E32" s="384"/>
      <c r="F32" s="384"/>
      <c r="G32" s="384"/>
      <c r="H32" s="389"/>
      <c r="I32" s="150"/>
      <c r="J32" s="6"/>
      <c r="K32" s="6"/>
      <c r="L32" s="6"/>
      <c r="M32" s="6"/>
      <c r="N32" s="6"/>
      <c r="O32" s="6"/>
      <c r="P32" s="6"/>
      <c r="Q32" s="210"/>
    </row>
    <row r="33" spans="1:17" s="126" customFormat="1" ht="15">
      <c r="A33" s="408"/>
      <c r="B33" s="409"/>
      <c r="C33" s="409"/>
      <c r="D33" s="409"/>
      <c r="E33" s="409"/>
      <c r="F33" s="409"/>
      <c r="G33" s="409"/>
      <c r="H33" s="410"/>
      <c r="I33" s="314" t="s">
        <v>105</v>
      </c>
      <c r="J33" s="206"/>
      <c r="K33" s="206"/>
      <c r="L33" s="412" t="s">
        <v>380</v>
      </c>
      <c r="M33" s="412"/>
      <c r="N33" s="412"/>
      <c r="O33" s="412" t="s">
        <v>379</v>
      </c>
      <c r="P33" s="412"/>
      <c r="Q33" s="413"/>
    </row>
    <row r="34" spans="1:17" s="126" customFormat="1" ht="15">
      <c r="A34" s="190"/>
      <c r="B34" s="191"/>
      <c r="C34" s="191"/>
      <c r="D34" s="191"/>
      <c r="E34" s="191"/>
      <c r="F34" s="191"/>
      <c r="G34" s="191"/>
      <c r="H34" s="192"/>
      <c r="I34" s="400" t="s">
        <v>140</v>
      </c>
      <c r="J34" s="401"/>
      <c r="K34" s="401"/>
      <c r="L34" s="385" t="e">
        <f>'Modelo Financeiro'!C72</f>
        <v>#NUM!</v>
      </c>
      <c r="M34" s="386"/>
      <c r="N34" s="386"/>
      <c r="O34" s="385" t="e">
        <f>'Modelo Financeiro'!C90</f>
        <v>#NUM!</v>
      </c>
      <c r="P34" s="386"/>
      <c r="Q34" s="387"/>
    </row>
    <row r="35" spans="1:17" s="126" customFormat="1" ht="14.25" customHeight="1">
      <c r="A35" s="402" t="s">
        <v>70</v>
      </c>
      <c r="B35" s="403"/>
      <c r="C35" s="403"/>
      <c r="D35" s="403"/>
      <c r="E35" s="403"/>
      <c r="F35" s="403"/>
      <c r="G35" s="403"/>
      <c r="H35" s="404"/>
      <c r="I35" s="405" t="s">
        <v>108</v>
      </c>
      <c r="J35" s="406"/>
      <c r="K35" s="406"/>
      <c r="L35" s="388">
        <f>'Modelo Financeiro'!C73</f>
        <v>0</v>
      </c>
      <c r="M35" s="384"/>
      <c r="N35" s="384"/>
      <c r="O35" s="388">
        <f>'Modelo Financeiro'!C91</f>
        <v>0</v>
      </c>
      <c r="P35" s="384"/>
      <c r="Q35" s="389"/>
    </row>
    <row r="36" spans="1:17" s="126" customFormat="1" ht="15.75" customHeight="1">
      <c r="A36" s="402"/>
      <c r="B36" s="403"/>
      <c r="C36" s="403"/>
      <c r="D36" s="403"/>
      <c r="E36" s="403"/>
      <c r="F36" s="403"/>
      <c r="G36" s="403"/>
      <c r="H36" s="404"/>
      <c r="I36" s="37" t="s">
        <v>141</v>
      </c>
      <c r="J36" s="6"/>
      <c r="K36" s="6"/>
      <c r="L36" s="383" t="e">
        <f>'Modelo Financeiro'!C74</f>
        <v>#DIV/0!</v>
      </c>
      <c r="M36" s="384"/>
      <c r="N36" s="384"/>
      <c r="O36" s="383" t="e">
        <f>'Modelo Financeiro'!C92</f>
        <v>#DIV/0!</v>
      </c>
      <c r="P36" s="384"/>
      <c r="Q36" s="389"/>
    </row>
    <row r="37" spans="1:17" s="199" customFormat="1" ht="15" customHeight="1">
      <c r="A37" s="190"/>
      <c r="B37" s="191"/>
      <c r="C37" s="191"/>
      <c r="D37" s="191"/>
      <c r="E37" s="191"/>
      <c r="F37" s="191"/>
      <c r="G37" s="191"/>
      <c r="H37" s="192"/>
      <c r="I37" s="256" t="s">
        <v>109</v>
      </c>
      <c r="J37" s="191"/>
      <c r="K37" s="191"/>
      <c r="L37" s="383" t="e">
        <f>'Modelo Financeiro'!C75</f>
        <v>#DIV/0!</v>
      </c>
      <c r="M37" s="384"/>
      <c r="N37" s="384"/>
      <c r="O37" s="383" t="e">
        <f>'Modelo Financeiro'!C93</f>
        <v>#DIV/0!</v>
      </c>
      <c r="P37" s="384"/>
      <c r="Q37" s="389"/>
    </row>
    <row r="38" spans="1:17" s="126" customFormat="1" ht="15" thickBot="1">
      <c r="A38" s="212"/>
      <c r="B38" s="213"/>
      <c r="C38" s="213"/>
      <c r="D38" s="213"/>
      <c r="E38" s="213"/>
      <c r="F38" s="213"/>
      <c r="G38" s="213"/>
      <c r="H38" s="214"/>
      <c r="I38" s="31" t="s">
        <v>110</v>
      </c>
      <c r="J38" s="213"/>
      <c r="K38" s="213"/>
      <c r="L38" s="393" t="e">
        <f>'Modelo Financeiro'!C76</f>
        <v>#DIV/0!</v>
      </c>
      <c r="M38" s="393"/>
      <c r="N38" s="393"/>
      <c r="O38" s="394" t="e">
        <f>'Modelo Financeiro'!C94</f>
        <v>#DIV/0!</v>
      </c>
      <c r="P38" s="393"/>
      <c r="Q38" s="395"/>
    </row>
    <row r="39" spans="1:8" s="126" customFormat="1" ht="14.25">
      <c r="A39" s="297" t="s">
        <v>81</v>
      </c>
      <c r="B39" s="315"/>
      <c r="C39" s="315"/>
      <c r="D39" s="315"/>
      <c r="E39" s="315"/>
      <c r="F39" s="315"/>
      <c r="G39" s="315"/>
      <c r="H39" s="316"/>
    </row>
    <row r="40" spans="1:8" ht="14.25">
      <c r="A40" s="317"/>
      <c r="B40" s="318"/>
      <c r="C40" s="1"/>
      <c r="D40" s="1"/>
      <c r="E40" s="1"/>
      <c r="F40" s="1"/>
      <c r="G40" s="1"/>
      <c r="H40" s="211"/>
    </row>
    <row r="41" spans="1:8" ht="42">
      <c r="A41" s="319" t="s">
        <v>82</v>
      </c>
      <c r="B41" s="260" t="s">
        <v>83</v>
      </c>
      <c r="C41" s="260" t="s">
        <v>84</v>
      </c>
      <c r="D41" s="259" t="s">
        <v>85</v>
      </c>
      <c r="E41" s="260" t="s">
        <v>89</v>
      </c>
      <c r="F41" s="260" t="s">
        <v>88</v>
      </c>
      <c r="G41" s="261" t="s">
        <v>87</v>
      </c>
      <c r="H41" s="320" t="s">
        <v>86</v>
      </c>
    </row>
    <row r="42" spans="1:8" ht="14.25">
      <c r="A42" s="321" t="s">
        <v>90</v>
      </c>
      <c r="B42" s="262" t="str">
        <f>IF('Entrada de Dados do Usuário'!C11=0,"-",'Entrada de Dados do Usuário'!C11)</f>
        <v>-</v>
      </c>
      <c r="C42" s="263" t="str">
        <f>IF('Entrada de Dados do Usuário'!C27=0,"-",'Entrada de Dados do Usuário'!C27)</f>
        <v>-</v>
      </c>
      <c r="D42" s="264" t="str">
        <f>IF('Entrada de Dados do Usuário'!C21=0,"-",'Entrada de Dados do Usuário'!C21)</f>
        <v>-</v>
      </c>
      <c r="E42" s="263" t="str">
        <f>IF('Entrada de Dados do Usuário'!C34=0,"-",'Entrada de Dados do Usuário'!C34)</f>
        <v>-</v>
      </c>
      <c r="F42" s="263" t="str">
        <f>IF('Entrada de Dados do Usuário'!C34=0,"-","Closed Lagoon Biodigester")</f>
        <v>-</v>
      </c>
      <c r="G42" s="265" t="str">
        <f>IF('Entrada de Dados do Usuário'!C16=0,"-",'Entrada de Dados do Usuário'!C16)</f>
        <v>-</v>
      </c>
      <c r="H42" s="322" t="str">
        <f>IF('Entrada de Dados do Usuário'!C40=0,"-",'Entrada de Dados do Usuário'!C40)</f>
        <v>-</v>
      </c>
    </row>
    <row r="43" spans="1:8" ht="14.25">
      <c r="A43" s="323" t="s">
        <v>91</v>
      </c>
      <c r="B43" s="266" t="str">
        <f>IF('Entrada de Dados do Usuário'!C12=0,"-",'Entrada de Dados do Usuário'!C12)</f>
        <v>-</v>
      </c>
      <c r="C43" s="267" t="str">
        <f>IF('Entrada de Dados do Usuário'!C28=0,"-",'Entrada de Dados do Usuário'!C28)</f>
        <v>-</v>
      </c>
      <c r="D43" s="268" t="str">
        <f>IF('Entrada de Dados do Usuário'!C22=0,"-",'Entrada de Dados do Usuário'!C22)</f>
        <v>-</v>
      </c>
      <c r="E43" s="267" t="str">
        <f>IF('Entrada de Dados do Usuário'!C35=0,"-",'Entrada de Dados do Usuário'!C35)</f>
        <v>-</v>
      </c>
      <c r="F43" s="267" t="str">
        <f>IF('Entrada de Dados do Usuário'!C35=0,"-","Closed Lagoon Biodigester")</f>
        <v>-</v>
      </c>
      <c r="G43" s="269" t="str">
        <f>IF('Entrada de Dados do Usuário'!C17=0,"-",'Entrada de Dados do Usuário'!C17)</f>
        <v>-</v>
      </c>
      <c r="H43" s="324" t="str">
        <f>IF('Entrada de Dados do Usuário'!C41=0,"-",'Entrada de Dados do Usuário'!C41)</f>
        <v>-</v>
      </c>
    </row>
    <row r="44" spans="1:8" ht="14.25">
      <c r="A44" s="323" t="s">
        <v>92</v>
      </c>
      <c r="B44" s="266" t="str">
        <f>IF('Entrada de Dados do Usuário'!C13=0,"-",'Entrada de Dados do Usuário'!C13)</f>
        <v>-</v>
      </c>
      <c r="C44" s="267" t="str">
        <f>IF('Entrada de Dados do Usuário'!C29=0,"-",'Entrada de Dados do Usuário'!C29)</f>
        <v>-</v>
      </c>
      <c r="D44" s="268" t="str">
        <f>IF('Entrada de Dados do Usuário'!C23=0,"-",'Entrada de Dados do Usuário'!C23)</f>
        <v>-</v>
      </c>
      <c r="E44" s="267" t="str">
        <f>IF('Entrada de Dados do Usuário'!C36=0,"-",'Entrada de Dados do Usuário'!C36)</f>
        <v>-</v>
      </c>
      <c r="F44" s="267" t="str">
        <f>IF('Entrada de Dados do Usuário'!C36=0,"-","Closed Lagoon Biodigester")</f>
        <v>-</v>
      </c>
      <c r="G44" s="269" t="str">
        <f>IF('Entrada de Dados do Usuário'!C18=0,"-",'Entrada de Dados do Usuário'!C18)</f>
        <v>-</v>
      </c>
      <c r="H44" s="324" t="str">
        <f>IF('Entrada de Dados do Usuário'!C42=0,"-",'Entrada de Dados do Usuário'!C42)</f>
        <v>-</v>
      </c>
    </row>
    <row r="45" spans="1:8" ht="14.25">
      <c r="A45" s="325" t="s">
        <v>93</v>
      </c>
      <c r="B45" s="270" t="str">
        <f>IF('Entrada de Dados do Usuário'!C14=0,"-",'Entrada de Dados do Usuário'!C14)</f>
        <v>-</v>
      </c>
      <c r="C45" s="271" t="str">
        <f>IF('Entrada de Dados do Usuário'!C30=0,"-",'Entrada de Dados do Usuário'!C30)</f>
        <v>-</v>
      </c>
      <c r="D45" s="272" t="str">
        <f>IF('Entrada de Dados do Usuário'!C24=0,"-",'Entrada de Dados do Usuário'!C24)</f>
        <v>-</v>
      </c>
      <c r="E45" s="271" t="str">
        <f>IF('Entrada de Dados do Usuário'!C37=0,"-",'Entrada de Dados do Usuário'!C37)</f>
        <v>-</v>
      </c>
      <c r="F45" s="271" t="str">
        <f>IF('Entrada de Dados do Usuário'!C37=0,"-","Closed Lagoon Biodigester")</f>
        <v>-</v>
      </c>
      <c r="G45" s="273" t="str">
        <f>IF('Entrada de Dados do Usuário'!C19=0,"-",'Entrada de Dados do Usuário'!C19)</f>
        <v>-</v>
      </c>
      <c r="H45" s="326" t="str">
        <f>IF('Entrada de Dados do Usuário'!C43=0,"-",'Entrada de Dados do Usuário'!C43)</f>
        <v>-</v>
      </c>
    </row>
    <row r="46" spans="1:8" ht="14.25">
      <c r="A46" s="37"/>
      <c r="B46" s="1"/>
      <c r="C46" s="1"/>
      <c r="D46" s="1"/>
      <c r="E46" s="1"/>
      <c r="F46" s="1"/>
      <c r="G46" s="1"/>
      <c r="H46" s="211"/>
    </row>
    <row r="47" spans="1:8" ht="14.25">
      <c r="A47" s="301" t="s">
        <v>94</v>
      </c>
      <c r="B47" s="327"/>
      <c r="C47" s="327"/>
      <c r="D47" s="327"/>
      <c r="E47" s="327"/>
      <c r="F47" s="327"/>
      <c r="G47" s="327"/>
      <c r="H47" s="328"/>
    </row>
    <row r="48" spans="1:8" ht="14.25">
      <c r="A48" s="37"/>
      <c r="B48" s="1"/>
      <c r="C48" s="1"/>
      <c r="D48" s="1"/>
      <c r="E48" s="1"/>
      <c r="F48" s="1"/>
      <c r="G48" s="1"/>
      <c r="H48" s="211"/>
    </row>
    <row r="49" spans="1:8" ht="14.25">
      <c r="A49" s="37"/>
      <c r="B49" s="1"/>
      <c r="C49" s="1"/>
      <c r="D49" s="1"/>
      <c r="E49" s="1"/>
      <c r="F49" s="1"/>
      <c r="G49" s="1"/>
      <c r="H49" s="211"/>
    </row>
    <row r="50" spans="1:8" ht="14.25">
      <c r="A50" s="37"/>
      <c r="B50" s="1"/>
      <c r="C50" s="1"/>
      <c r="D50" s="1"/>
      <c r="E50" s="1"/>
      <c r="F50" s="1"/>
      <c r="G50" s="1"/>
      <c r="H50" s="211"/>
    </row>
    <row r="51" spans="1:8" ht="14.25">
      <c r="A51" s="37"/>
      <c r="B51" s="1"/>
      <c r="C51" s="1"/>
      <c r="D51" s="1"/>
      <c r="E51" s="1"/>
      <c r="F51" s="1"/>
      <c r="G51" s="1"/>
      <c r="H51" s="211"/>
    </row>
    <row r="52" spans="1:8" ht="14.25">
      <c r="A52" s="37"/>
      <c r="B52" s="1"/>
      <c r="C52" s="1"/>
      <c r="D52" s="1"/>
      <c r="E52" s="1"/>
      <c r="F52" s="1"/>
      <c r="G52" s="1"/>
      <c r="H52" s="211"/>
    </row>
    <row r="53" spans="1:8" ht="14.25">
      <c r="A53" s="37"/>
      <c r="B53" s="1"/>
      <c r="C53" s="1"/>
      <c r="D53" s="1"/>
      <c r="E53" s="1"/>
      <c r="F53" s="1"/>
      <c r="G53" s="1"/>
      <c r="H53" s="211"/>
    </row>
    <row r="54" spans="1:8" ht="14.25">
      <c r="A54" s="37"/>
      <c r="B54" s="1"/>
      <c r="C54" s="1"/>
      <c r="D54" s="1"/>
      <c r="E54" s="1"/>
      <c r="F54" s="1"/>
      <c r="G54" s="1"/>
      <c r="H54" s="211"/>
    </row>
    <row r="55" spans="1:8" ht="14.25">
      <c r="A55" s="37"/>
      <c r="B55" s="1"/>
      <c r="C55" s="1"/>
      <c r="D55" s="1"/>
      <c r="E55" s="1"/>
      <c r="F55" s="1"/>
      <c r="G55" s="1"/>
      <c r="H55" s="211"/>
    </row>
    <row r="56" spans="1:8" ht="14.25">
      <c r="A56" s="37"/>
      <c r="B56" s="1"/>
      <c r="C56" s="1"/>
      <c r="D56" s="1"/>
      <c r="E56" s="1"/>
      <c r="F56" s="1"/>
      <c r="G56" s="1"/>
      <c r="H56" s="211"/>
    </row>
    <row r="57" spans="1:8" ht="14.25">
      <c r="A57" s="37"/>
      <c r="B57" s="1"/>
      <c r="C57" s="1"/>
      <c r="D57" s="1"/>
      <c r="E57" s="1"/>
      <c r="F57" s="1"/>
      <c r="G57" s="1"/>
      <c r="H57" s="211"/>
    </row>
    <row r="58" spans="1:8" ht="14.25">
      <c r="A58" s="37"/>
      <c r="B58" s="1"/>
      <c r="C58" s="1"/>
      <c r="D58" s="1"/>
      <c r="E58" s="1"/>
      <c r="F58" s="1"/>
      <c r="G58" s="1"/>
      <c r="H58" s="211"/>
    </row>
    <row r="59" spans="1:8" ht="14.25">
      <c r="A59" s="37"/>
      <c r="B59" s="1"/>
      <c r="C59" s="1"/>
      <c r="D59" s="1"/>
      <c r="E59" s="1"/>
      <c r="F59" s="1"/>
      <c r="G59" s="1"/>
      <c r="H59" s="211"/>
    </row>
    <row r="60" spans="1:8" ht="14.25">
      <c r="A60" s="37"/>
      <c r="B60" s="1"/>
      <c r="C60" s="1"/>
      <c r="D60" s="1"/>
      <c r="E60" s="1"/>
      <c r="F60" s="1"/>
      <c r="G60" s="1"/>
      <c r="H60" s="211"/>
    </row>
    <row r="61" spans="1:8" ht="14.25">
      <c r="A61" s="37"/>
      <c r="B61" s="1"/>
      <c r="C61" s="1"/>
      <c r="D61" s="1"/>
      <c r="E61" s="1"/>
      <c r="F61" s="1"/>
      <c r="G61" s="1"/>
      <c r="H61" s="211"/>
    </row>
    <row r="62" spans="1:8" ht="14.25">
      <c r="A62" s="37"/>
      <c r="B62" s="1"/>
      <c r="C62" s="1"/>
      <c r="D62" s="1"/>
      <c r="E62" s="1"/>
      <c r="F62" s="1"/>
      <c r="G62" s="1"/>
      <c r="H62" s="211"/>
    </row>
    <row r="63" spans="1:8" ht="14.25">
      <c r="A63" s="37"/>
      <c r="B63" s="1"/>
      <c r="C63" s="1"/>
      <c r="D63" s="1"/>
      <c r="E63" s="1"/>
      <c r="F63" s="1"/>
      <c r="G63" s="1"/>
      <c r="H63" s="211"/>
    </row>
    <row r="64" spans="1:8" ht="14.25">
      <c r="A64" s="301" t="s">
        <v>95</v>
      </c>
      <c r="B64" s="302"/>
      <c r="C64" s="302"/>
      <c r="D64" s="302"/>
      <c r="E64" s="302"/>
      <c r="F64" s="302"/>
      <c r="G64" s="302"/>
      <c r="H64" s="303"/>
    </row>
    <row r="65" spans="1:8" ht="14.25">
      <c r="A65" s="37"/>
      <c r="B65" s="1"/>
      <c r="C65" s="1"/>
      <c r="D65" s="1"/>
      <c r="E65" s="1"/>
      <c r="F65" s="1"/>
      <c r="G65" s="1"/>
      <c r="H65" s="211"/>
    </row>
    <row r="66" spans="1:8" ht="28.5" customHeight="1">
      <c r="A66" s="390" t="s">
        <v>99</v>
      </c>
      <c r="B66" s="391"/>
      <c r="C66" s="391"/>
      <c r="D66" s="391"/>
      <c r="E66" s="391"/>
      <c r="F66" s="391"/>
      <c r="G66" s="391"/>
      <c r="H66" s="392"/>
    </row>
    <row r="67" spans="1:8" ht="14.25">
      <c r="A67" s="37"/>
      <c r="B67" s="1"/>
      <c r="C67" s="1"/>
      <c r="D67" s="1"/>
      <c r="E67" s="1"/>
      <c r="F67" s="1"/>
      <c r="G67" s="1"/>
      <c r="H67" s="211"/>
    </row>
    <row r="68" spans="1:8" ht="14.25">
      <c r="A68" s="306" t="s">
        <v>101</v>
      </c>
      <c r="B68" s="185"/>
      <c r="C68" s="185"/>
      <c r="D68" s="185"/>
      <c r="E68" s="185"/>
      <c r="F68" s="187">
        <f>'Modelo de Tecnologia'!C33</f>
        <v>0</v>
      </c>
      <c r="G68" s="185" t="s">
        <v>35</v>
      </c>
      <c r="H68" s="329"/>
    </row>
    <row r="69" spans="1:8" ht="14.25">
      <c r="A69" s="37" t="s">
        <v>102</v>
      </c>
      <c r="B69" s="1"/>
      <c r="C69" s="1"/>
      <c r="D69" s="1"/>
      <c r="E69" s="1"/>
      <c r="F69" s="188">
        <f>'Modelo de Tecnologia'!C34</f>
        <v>0</v>
      </c>
      <c r="G69" s="1" t="s">
        <v>4</v>
      </c>
      <c r="H69" s="211"/>
    </row>
    <row r="70" spans="1:8" ht="14.25">
      <c r="A70" s="37" t="s">
        <v>103</v>
      </c>
      <c r="B70" s="1"/>
      <c r="C70" s="1"/>
      <c r="D70" s="1"/>
      <c r="E70" s="1"/>
      <c r="F70" s="188">
        <f>'Modelo de Tecnologia'!C35</f>
        <v>0</v>
      </c>
      <c r="G70" s="1" t="s">
        <v>4</v>
      </c>
      <c r="H70" s="211"/>
    </row>
    <row r="71" spans="1:8" ht="14.25">
      <c r="A71" s="37" t="s">
        <v>104</v>
      </c>
      <c r="B71" s="1"/>
      <c r="C71" s="1"/>
      <c r="D71" s="1"/>
      <c r="E71" s="1"/>
      <c r="F71" s="188">
        <f>'Modelo de Tecnologia'!C36</f>
        <v>0</v>
      </c>
      <c r="G71" s="1" t="s">
        <v>35</v>
      </c>
      <c r="H71" s="211"/>
    </row>
    <row r="72" spans="1:8" ht="14.25">
      <c r="A72" s="37" t="s">
        <v>159</v>
      </c>
      <c r="B72" s="1"/>
      <c r="C72" s="1"/>
      <c r="D72" s="1"/>
      <c r="E72" s="1"/>
      <c r="F72" s="188">
        <f>'Modelo de Tecnologia'!C37</f>
        <v>0</v>
      </c>
      <c r="G72" s="1" t="s">
        <v>35</v>
      </c>
      <c r="H72" s="211"/>
    </row>
    <row r="73" spans="1:8" ht="14.25">
      <c r="A73" s="37" t="s">
        <v>160</v>
      </c>
      <c r="B73" s="1"/>
      <c r="C73" s="1"/>
      <c r="D73" s="1"/>
      <c r="E73" s="1"/>
      <c r="F73" s="188">
        <f>'Modelo de Tecnologia'!C38</f>
        <v>0</v>
      </c>
      <c r="G73" s="1" t="s">
        <v>35</v>
      </c>
      <c r="H73" s="211"/>
    </row>
    <row r="74" spans="1:8" ht="14.25">
      <c r="A74" s="37" t="s">
        <v>158</v>
      </c>
      <c r="B74" s="1"/>
      <c r="C74" s="1"/>
      <c r="D74" s="1"/>
      <c r="E74" s="1"/>
      <c r="F74" s="188">
        <f>'Modelo de Tecnologia'!C39</f>
        <v>0</v>
      </c>
      <c r="G74" s="1" t="s">
        <v>36</v>
      </c>
      <c r="H74" s="211"/>
    </row>
    <row r="75" spans="1:8" ht="14.25">
      <c r="A75" s="37" t="s">
        <v>116</v>
      </c>
      <c r="B75" s="1"/>
      <c r="C75" s="1"/>
      <c r="D75" s="1"/>
      <c r="E75" s="1"/>
      <c r="F75" s="188">
        <f>'Modelo de Tecnologia'!C40</f>
        <v>0</v>
      </c>
      <c r="G75" s="1" t="s">
        <v>36</v>
      </c>
      <c r="H75" s="211"/>
    </row>
    <row r="76" spans="1:8" ht="14.25">
      <c r="A76" s="37" t="s">
        <v>119</v>
      </c>
      <c r="B76" s="1"/>
      <c r="C76" s="1"/>
      <c r="D76" s="1"/>
      <c r="E76" s="1"/>
      <c r="F76" s="188">
        <f>'Modelo de Tecnologia'!C41</f>
        <v>0</v>
      </c>
      <c r="G76" s="1" t="s">
        <v>36</v>
      </c>
      <c r="H76" s="211"/>
    </row>
    <row r="77" spans="1:8" ht="14.25">
      <c r="A77" s="37" t="s">
        <v>117</v>
      </c>
      <c r="B77" s="1"/>
      <c r="C77" s="1"/>
      <c r="D77" s="1"/>
      <c r="E77" s="1"/>
      <c r="F77" s="188">
        <f>'Modelo de Tecnologia'!C42</f>
        <v>0</v>
      </c>
      <c r="G77" s="1" t="s">
        <v>96</v>
      </c>
      <c r="H77" s="211"/>
    </row>
    <row r="78" spans="1:8" ht="14.25">
      <c r="A78" s="255" t="s">
        <v>118</v>
      </c>
      <c r="B78" s="186"/>
      <c r="C78" s="186"/>
      <c r="D78" s="186"/>
      <c r="E78" s="186"/>
      <c r="F78" s="189">
        <f>'Modelo de Tecnologia'!C43</f>
        <v>0</v>
      </c>
      <c r="G78" s="186" t="s">
        <v>96</v>
      </c>
      <c r="H78" s="308"/>
    </row>
    <row r="79" spans="1:8" ht="14.25">
      <c r="A79" s="37"/>
      <c r="B79" s="1"/>
      <c r="C79" s="1"/>
      <c r="D79" s="1"/>
      <c r="E79" s="1"/>
      <c r="F79" s="1"/>
      <c r="G79" s="1"/>
      <c r="H79" s="211"/>
    </row>
    <row r="80" spans="1:8" ht="14.25">
      <c r="A80" s="37"/>
      <c r="B80" s="1"/>
      <c r="C80" s="1"/>
      <c r="D80" s="1"/>
      <c r="E80" s="1"/>
      <c r="F80" s="1"/>
      <c r="G80" s="1"/>
      <c r="H80" s="211"/>
    </row>
    <row r="81" spans="1:8" ht="14.25">
      <c r="A81" s="37"/>
      <c r="B81" s="1"/>
      <c r="C81" s="1"/>
      <c r="D81" s="1"/>
      <c r="E81" s="1"/>
      <c r="F81" s="1"/>
      <c r="G81" s="1"/>
      <c r="H81" s="211"/>
    </row>
    <row r="82" spans="1:8" ht="15" thickBot="1">
      <c r="A82" s="31"/>
      <c r="B82" s="33"/>
      <c r="C82" s="33"/>
      <c r="D82" s="33"/>
      <c r="E82" s="33"/>
      <c r="F82" s="33"/>
      <c r="G82" s="33"/>
      <c r="H82" s="330"/>
    </row>
    <row r="83" spans="1:8" ht="14.25">
      <c r="A83" s="333"/>
      <c r="B83" s="333"/>
      <c r="C83" s="333"/>
      <c r="D83" s="333"/>
      <c r="E83" s="333"/>
      <c r="F83" s="333"/>
      <c r="G83" s="333"/>
      <c r="H83" s="333"/>
    </row>
    <row r="84" spans="1:8" ht="14.25">
      <c r="A84" s="1"/>
      <c r="B84" s="1"/>
      <c r="C84" s="1"/>
      <c r="D84" s="1"/>
      <c r="E84" s="1"/>
      <c r="F84" s="1"/>
      <c r="G84" s="1"/>
      <c r="H84" s="1"/>
    </row>
  </sheetData>
  <sheetProtection password="E9AB" sheet="1"/>
  <mergeCells count="41">
    <mergeCell ref="I2:Q10"/>
    <mergeCell ref="A2:H2"/>
    <mergeCell ref="A3:H3"/>
    <mergeCell ref="A4:H4"/>
    <mergeCell ref="A5:H5"/>
    <mergeCell ref="A6:H6"/>
    <mergeCell ref="A8:H8"/>
    <mergeCell ref="A9:H9"/>
    <mergeCell ref="A10:H10"/>
    <mergeCell ref="O33:Q33"/>
    <mergeCell ref="I28:K28"/>
    <mergeCell ref="A21:H21"/>
    <mergeCell ref="A22:H22"/>
    <mergeCell ref="A13:H13"/>
    <mergeCell ref="A32:H32"/>
    <mergeCell ref="A16:H16"/>
    <mergeCell ref="A25:H25"/>
    <mergeCell ref="A33:H33"/>
    <mergeCell ref="A26:H26"/>
    <mergeCell ref="A27:H27"/>
    <mergeCell ref="A11:H11"/>
    <mergeCell ref="A12:H12"/>
    <mergeCell ref="I18:K18"/>
    <mergeCell ref="I19:K19"/>
    <mergeCell ref="I20:K20"/>
    <mergeCell ref="L34:N34"/>
    <mergeCell ref="L35:N35"/>
    <mergeCell ref="L36:N36"/>
    <mergeCell ref="I29:K29"/>
    <mergeCell ref="I34:K34"/>
    <mergeCell ref="I35:K35"/>
    <mergeCell ref="L33:N33"/>
    <mergeCell ref="L37:N37"/>
    <mergeCell ref="O34:Q34"/>
    <mergeCell ref="O35:Q35"/>
    <mergeCell ref="O36:Q36"/>
    <mergeCell ref="O37:Q37"/>
    <mergeCell ref="A66:H66"/>
    <mergeCell ref="L38:N38"/>
    <mergeCell ref="O38:Q38"/>
    <mergeCell ref="A35:H36"/>
  </mergeCells>
  <printOptions/>
  <pageMargins left="0.7" right="0.32" top="0.84" bottom="1.09" header="0.3" footer="0.3"/>
  <pageSetup horizontalDpi="600" verticalDpi="600" orientation="portrait" paperSize="9" r:id="rId2"/>
  <headerFooter differentFirst="1">
    <oddHeader>&amp;CReport on Feasibility Assessment for  Biogas Electricity Generation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Winrock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mtiwari</dc:creator>
  <cp:keywords/>
  <dc:description/>
  <cp:lastModifiedBy>mtiwari</cp:lastModifiedBy>
  <cp:lastPrinted>2010-11-22T19:58:55Z</cp:lastPrinted>
  <dcterms:created xsi:type="dcterms:W3CDTF">2009-12-16T14:55:03Z</dcterms:created>
  <dcterms:modified xsi:type="dcterms:W3CDTF">2010-11-22T21:39:47Z</dcterms:modified>
  <cp:category/>
  <cp:version/>
  <cp:contentType/>
  <cp:contentStatus/>
</cp:coreProperties>
</file>