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Original" sheetId="1" r:id="rId1"/>
    <sheet name="Modificaço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<sst xmlns="http://schemas.openxmlformats.org/spreadsheetml/2006/main" count="435" uniqueCount="144">
  <si>
    <t>Tabela 1. Estimativa do custo de produção de feno de coast-cross</t>
  </si>
  <si>
    <t>Custo de Produção:</t>
  </si>
  <si>
    <t>Coast Cross</t>
  </si>
  <si>
    <t>Objetivo:</t>
  </si>
  <si>
    <t>Feno</t>
  </si>
  <si>
    <t>Época de Plantio:</t>
  </si>
  <si>
    <t>Outubro</t>
  </si>
  <si>
    <t xml:space="preserve">Data do Levantamento: </t>
  </si>
  <si>
    <t>Produção anual estimada (MS):</t>
  </si>
  <si>
    <t>t/ha/ano</t>
  </si>
  <si>
    <t>Produção anual estimada (MV):</t>
  </si>
  <si>
    <t>Porcentagem de MS do Capim:</t>
  </si>
  <si>
    <t>%</t>
  </si>
  <si>
    <t>Perdas do processo:</t>
  </si>
  <si>
    <t>Número de cortes no verão:</t>
  </si>
  <si>
    <t>cortes</t>
  </si>
  <si>
    <t>Número de cortes no inverno:</t>
  </si>
  <si>
    <t>Capacidade do Silo:</t>
  </si>
  <si>
    <t>m3</t>
  </si>
  <si>
    <t>Vida útil:</t>
  </si>
  <si>
    <t>anos</t>
  </si>
  <si>
    <t>Área plantada (ha):</t>
  </si>
  <si>
    <t>ha</t>
  </si>
  <si>
    <t>kg</t>
  </si>
  <si>
    <t>Proteína Bruta:</t>
  </si>
  <si>
    <t>PB%</t>
  </si>
  <si>
    <t>NDT:</t>
  </si>
  <si>
    <t>NDT%</t>
  </si>
  <si>
    <t>Porcentagem de Matéria Seca:</t>
  </si>
  <si>
    <t>Valor do Dolar Comercial</t>
  </si>
  <si>
    <t>R$/US$</t>
  </si>
  <si>
    <t>Produção Total de Forragem (MV)</t>
  </si>
  <si>
    <t>Produção Total de Forragem (MS)</t>
  </si>
  <si>
    <t>Produção Total efetiva Feno (MV)</t>
  </si>
  <si>
    <t>Produção Total efetiva Feno (MS)</t>
  </si>
  <si>
    <t>Produção Total de NDT</t>
  </si>
  <si>
    <t>Produção Total de Proteina Bruta</t>
  </si>
  <si>
    <t>CUSTO DE FORMAÇÃO - COAST CROSS ($/ha)</t>
  </si>
  <si>
    <t>INSUMOS</t>
  </si>
  <si>
    <t>UNIDADE</t>
  </si>
  <si>
    <t>QUANTIDADE</t>
  </si>
  <si>
    <t>PREÇO</t>
  </si>
  <si>
    <t>CUSTO</t>
  </si>
  <si>
    <t>UNITÁRIO</t>
  </si>
  <si>
    <t>TOTAL (R$)</t>
  </si>
  <si>
    <t>TOTAL (US$)</t>
  </si>
  <si>
    <t>- calcário dolomítico</t>
  </si>
  <si>
    <t>t</t>
  </si>
  <si>
    <t>- superfosfato simples</t>
  </si>
  <si>
    <t>- adubo pós-plantio (20-05-20)</t>
  </si>
  <si>
    <t>- FTE BR 12</t>
  </si>
  <si>
    <t>- Cloreto de Potássio (KCl)</t>
  </si>
  <si>
    <t>- análise de solo</t>
  </si>
  <si>
    <t>un.</t>
  </si>
  <si>
    <t>- herbicida (2,4D)</t>
  </si>
  <si>
    <t>l</t>
  </si>
  <si>
    <t xml:space="preserve">- formicida </t>
  </si>
  <si>
    <t>- mudas</t>
  </si>
  <si>
    <t>SUBTOTAL</t>
  </si>
  <si>
    <t>PREPARO DO SOLO</t>
  </si>
  <si>
    <t>- aração</t>
  </si>
  <si>
    <t>h/ha</t>
  </si>
  <si>
    <t>- potassagem (vicon)</t>
  </si>
  <si>
    <t>- gradeação (2 vezes)</t>
  </si>
  <si>
    <t>PLANTIO</t>
  </si>
  <si>
    <t>- sulcação e adubação (Sup.Simpl.)</t>
  </si>
  <si>
    <t>- distr. de 20-05-20 (vicon)</t>
  </si>
  <si>
    <t>- distr. de KCl+ FTE (vicon)</t>
  </si>
  <si>
    <t>- aplicação de herbicida</t>
  </si>
  <si>
    <t>- aplicação de formicida</t>
  </si>
  <si>
    <t>- distribuição de mudas*</t>
  </si>
  <si>
    <t>- distribuição de mudas (carreta)</t>
  </si>
  <si>
    <t>- cobertura dos sulcos*</t>
  </si>
  <si>
    <t>- compactação manual*</t>
  </si>
  <si>
    <t>- compactação com trator</t>
  </si>
  <si>
    <t>CUSTO DE FORMAÇÃO por ha</t>
  </si>
  <si>
    <t xml:space="preserve">CUSTO DE MANUTENÇÃO - COAST CROSS ($/ha)  </t>
  </si>
  <si>
    <t>- adubo (20-05-20)</t>
  </si>
  <si>
    <t>- adubo superfosfato simples</t>
  </si>
  <si>
    <t>- adubo sulfato de amonio</t>
  </si>
  <si>
    <t>SUBTOTAL por corte de verão</t>
  </si>
  <si>
    <t>- calcário</t>
  </si>
  <si>
    <t>SUBTOTAL ano</t>
  </si>
  <si>
    <t>TRATOS CULTURAIS</t>
  </si>
  <si>
    <t>- aplicação de 20-05-20 (vicon)</t>
  </si>
  <si>
    <t>- aplicação de super simples (vicon)</t>
  </si>
  <si>
    <t>- aplicação sulfato de amonio (vicon)</t>
  </si>
  <si>
    <t>- aplicação de calcário (vicon)</t>
  </si>
  <si>
    <t>CUSTO DE CORTE E FENAÇÃO - COAST CROSS ($/ha/corte)</t>
  </si>
  <si>
    <t>- corte (segadora)</t>
  </si>
  <si>
    <t>- movimentação / enleiramento</t>
  </si>
  <si>
    <t>- recolhimento</t>
  </si>
  <si>
    <t>- enfardadora</t>
  </si>
  <si>
    <t>- transporte</t>
  </si>
  <si>
    <t>CUSTOS TOTAIS (ha)</t>
  </si>
  <si>
    <t>FASES</t>
  </si>
  <si>
    <t>R$/ano</t>
  </si>
  <si>
    <t>R$/10 anos</t>
  </si>
  <si>
    <t>R$.t/MV</t>
  </si>
  <si>
    <t>R$.t/MS</t>
  </si>
  <si>
    <t>FORMAÇÃO</t>
  </si>
  <si>
    <t xml:space="preserve">   Insumos</t>
  </si>
  <si>
    <t xml:space="preserve">   Preparo de Solo</t>
  </si>
  <si>
    <t xml:space="preserve">   Plantio</t>
  </si>
  <si>
    <t xml:space="preserve">MANUTENÇÃO </t>
  </si>
  <si>
    <t xml:space="preserve">   Insumos </t>
  </si>
  <si>
    <t xml:space="preserve">   Tratos culturais </t>
  </si>
  <si>
    <t>CORTE E FENAÇÃO</t>
  </si>
  <si>
    <t>TOTAL</t>
  </si>
  <si>
    <t>-</t>
  </si>
  <si>
    <t>US$/ano</t>
  </si>
  <si>
    <t>US$/10 anos</t>
  </si>
  <si>
    <t>US$.t/MV</t>
  </si>
  <si>
    <t>US$.t/MS</t>
  </si>
  <si>
    <t>US$.kg/NDT</t>
  </si>
  <si>
    <t>* atividade envolvendo apenas mão-de-obra, as demais atividades englobam custos do</t>
  </si>
  <si>
    <t>trator com implemento, mão-de-obra do tratorista e eventuais ajudantes.</t>
  </si>
  <si>
    <t>trifluralina</t>
  </si>
  <si>
    <t>- gesso</t>
  </si>
  <si>
    <t xml:space="preserve"> -  fortex</t>
  </si>
  <si>
    <t xml:space="preserve"> - aplicação de herbicida</t>
  </si>
  <si>
    <t>CUSTO POR ANO nos 8 cortes</t>
  </si>
  <si>
    <t>CUSTO POR ANO/ha (8 operações)</t>
  </si>
  <si>
    <t>Novembro</t>
  </si>
  <si>
    <t>aplicação de gesso</t>
  </si>
  <si>
    <t>**Produção anual estimada (MS):</t>
  </si>
  <si>
    <t>SUBTOTAL (ano)</t>
  </si>
  <si>
    <t xml:space="preserve">* atividade envolvendo apenas mão-de-obra, as demais atividades englobam custos do trator com implemento, </t>
  </si>
  <si>
    <t xml:space="preserve">              mão-de-obra do tratorista e eventuais ajudantes.</t>
  </si>
  <si>
    <t>Peso total de  feno:</t>
  </si>
  <si>
    <t>t/ha/15 anos</t>
  </si>
  <si>
    <t>** Baseado em Fernandes et al. (1983). 62 Kg de MS/Kg N ( faixa de 200 kg/ha/ano)</t>
  </si>
  <si>
    <t>Peso total de cada fardo:</t>
  </si>
  <si>
    <t>]</t>
  </si>
  <si>
    <t>fardos</t>
  </si>
  <si>
    <t>m³</t>
  </si>
  <si>
    <t>0ut/2011</t>
  </si>
  <si>
    <t>saco</t>
  </si>
  <si>
    <t xml:space="preserve">SUBTOTAL </t>
  </si>
  <si>
    <t>Número total de fardos por ha/ ano</t>
  </si>
  <si>
    <t>US$/fardo</t>
  </si>
  <si>
    <t>R$ /fardo</t>
  </si>
  <si>
    <t>t/ha/</t>
  </si>
  <si>
    <t>R$. / Kg NDT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</si>
</sst>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0_);\(#,##0.0000\)"/>
    <numFmt numFmtId="179" formatCode="_(* #,##0.0_);_(* \(#,##0.0\);_(* &quot;-&quot;??_);_(@_)"/>
    <numFmt numFmtId="180" formatCode="[$$-409]#,##0.00"/>
    <numFmt numFmtId="181" formatCode="_([$$-409]* #,##0.00_);_([$$-409]* \(#,##0.00\);_([$$-409]* &quot;-&quot;??_);_(@_)"/>
    <numFmt numFmtId="182" formatCode="#,##0.00000_);\(#,##0.00000\)"/>
    <numFmt numFmtId="183" formatCode="_(* #,##0.000_);_(* \(#,##0.000\);_(* &quot;-&quot;??_);_(@_)"/>
    <numFmt numFmtId="184" formatCode="#,##0.000_);\(#,##0.000\)"/>
    <numFmt numFmtId="185" formatCode="_(* #,##0.0_);_(* \(#,##0.0\);_(* &quot;-&quot;?_);_(@_)"/>
    <numFmt numFmtId="186" formatCode="_-* #,##0.0_-;\-* #,##0.0_-;_-* &quot;-&quot;?_-;_-@_-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</numFmts>
  <fonts count="48">
    <font>
      <sz val="10"/>
      <name val="Arial"/>
      <family val="0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4"/>
      <name val="Calibri"/>
      <family val="2"/>
    </font>
    <font>
      <b/>
      <sz val="13"/>
      <color indexed="12"/>
      <name val="Calibri"/>
      <family val="2"/>
    </font>
    <font>
      <b/>
      <sz val="13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1" fontId="4" fillId="0" borderId="0" xfId="51" applyFont="1" applyAlignment="1">
      <alignment horizontal="center" vertical="center"/>
    </xf>
    <xf numFmtId="177" fontId="4" fillId="0" borderId="0" xfId="45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177" fontId="3" fillId="0" borderId="11" xfId="45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3" fillId="0" borderId="0" xfId="45" applyFont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171" fontId="4" fillId="0" borderId="0" xfId="51" applyFont="1" applyBorder="1" applyAlignment="1">
      <alignment horizontal="center" vertical="center"/>
    </xf>
    <xf numFmtId="177" fontId="4" fillId="0" borderId="0" xfId="45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4" fillId="0" borderId="12" xfId="45" applyFont="1" applyBorder="1" applyAlignment="1">
      <alignment horizontal="center" vertical="center"/>
    </xf>
    <xf numFmtId="170" fontId="3" fillId="0" borderId="12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71" fontId="4" fillId="0" borderId="12" xfId="51" applyFont="1" applyBorder="1" applyAlignment="1">
      <alignment horizontal="center" vertical="center"/>
    </xf>
    <xf numFmtId="177" fontId="3" fillId="0" borderId="12" xfId="45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70" fontId="1" fillId="0" borderId="14" xfId="0" applyNumberFormat="1" applyFont="1" applyBorder="1" applyAlignment="1">
      <alignment horizontal="center" vertical="center"/>
    </xf>
    <xf numFmtId="177" fontId="3" fillId="0" borderId="0" xfId="45" applyFont="1" applyBorder="1" applyAlignment="1">
      <alignment horizontal="center" vertical="center"/>
    </xf>
    <xf numFmtId="170" fontId="5" fillId="33" borderId="14" xfId="0" applyNumberFormat="1" applyFont="1" applyFill="1" applyBorder="1" applyAlignment="1">
      <alignment horizontal="center" vertical="center"/>
    </xf>
    <xf numFmtId="180" fontId="5" fillId="33" borderId="14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1" fontId="4" fillId="33" borderId="17" xfId="51" applyFont="1" applyFill="1" applyBorder="1" applyAlignment="1">
      <alignment horizontal="center" vertical="center"/>
    </xf>
    <xf numFmtId="177" fontId="4" fillId="33" borderId="17" xfId="45" applyFont="1" applyFill="1" applyBorder="1" applyAlignment="1">
      <alignment horizontal="center" vertical="center"/>
    </xf>
    <xf numFmtId="170" fontId="1" fillId="33" borderId="17" xfId="0" applyNumberFormat="1" applyFont="1" applyFill="1" applyBorder="1" applyAlignment="1">
      <alignment horizontal="center" vertical="center"/>
    </xf>
    <xf numFmtId="180" fontId="1" fillId="33" borderId="17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7" fontId="1" fillId="33" borderId="10" xfId="45" applyFont="1" applyFill="1" applyBorder="1" applyAlignment="1">
      <alignment horizontal="center" vertical="center"/>
    </xf>
    <xf numFmtId="170" fontId="1" fillId="33" borderId="18" xfId="0" applyNumberFormat="1" applyFon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/>
    </xf>
    <xf numFmtId="171" fontId="4" fillId="0" borderId="13" xfId="51" applyFont="1" applyBorder="1" applyAlignment="1">
      <alignment horizontal="center" vertical="center"/>
    </xf>
    <xf numFmtId="177" fontId="4" fillId="0" borderId="13" xfId="45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70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7" fontId="1" fillId="0" borderId="12" xfId="45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7" fontId="1" fillId="0" borderId="20" xfId="45" applyFont="1" applyBorder="1" applyAlignment="1">
      <alignment horizontal="center" vertical="center"/>
    </xf>
    <xf numFmtId="177" fontId="1" fillId="0" borderId="23" xfId="45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9" fontId="3" fillId="0" borderId="12" xfId="49" applyFont="1" applyBorder="1" applyAlignment="1">
      <alignment horizontal="center" vertical="center"/>
    </xf>
    <xf numFmtId="9" fontId="1" fillId="34" borderId="12" xfId="49" applyFont="1" applyFill="1" applyBorder="1" applyAlignment="1">
      <alignment horizontal="center" vertical="center"/>
    </xf>
    <xf numFmtId="170" fontId="1" fillId="0" borderId="13" xfId="0" applyNumberFormat="1" applyFont="1" applyBorder="1" applyAlignment="1">
      <alignment horizontal="center" vertical="center"/>
    </xf>
    <xf numFmtId="177" fontId="1" fillId="0" borderId="13" xfId="45" applyFont="1" applyBorder="1" applyAlignment="1">
      <alignment horizontal="center" vertical="center"/>
    </xf>
    <xf numFmtId="9" fontId="1" fillId="34" borderId="13" xfId="49" applyFont="1" applyFill="1" applyBorder="1" applyAlignment="1">
      <alignment horizontal="center" vertical="center"/>
    </xf>
    <xf numFmtId="170" fontId="5" fillId="0" borderId="19" xfId="0" applyNumberFormat="1" applyFont="1" applyBorder="1" applyAlignment="1">
      <alignment horizontal="center" vertical="center"/>
    </xf>
    <xf numFmtId="170" fontId="5" fillId="0" borderId="14" xfId="0" applyNumberFormat="1" applyFont="1" applyBorder="1" applyAlignment="1">
      <alignment horizontal="center" vertical="center"/>
    </xf>
    <xf numFmtId="170" fontId="5" fillId="0" borderId="24" xfId="0" applyNumberFormat="1" applyFont="1" applyBorder="1" applyAlignment="1">
      <alignment horizontal="center" vertical="center"/>
    </xf>
    <xf numFmtId="9" fontId="5" fillId="0" borderId="25" xfId="49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0" fontId="1" fillId="0" borderId="23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1" fontId="5" fillId="0" borderId="27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1" fontId="5" fillId="0" borderId="24" xfId="0" applyNumberFormat="1" applyFont="1" applyBorder="1" applyAlignment="1">
      <alignment horizontal="center" vertical="center"/>
    </xf>
    <xf numFmtId="181" fontId="5" fillId="35" borderId="28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9" fontId="6" fillId="36" borderId="31" xfId="49" applyFont="1" applyFill="1" applyBorder="1" applyAlignment="1">
      <alignment horizontal="center" vertical="center"/>
    </xf>
    <xf numFmtId="179" fontId="7" fillId="36" borderId="31" xfId="51" applyNumberFormat="1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2" fontId="6" fillId="36" borderId="19" xfId="0" applyNumberFormat="1" applyFont="1" applyFill="1" applyBorder="1" applyAlignment="1">
      <alignment horizontal="center" vertical="center"/>
    </xf>
    <xf numFmtId="9" fontId="6" fillId="36" borderId="19" xfId="49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9" fontId="6" fillId="36" borderId="34" xfId="49" applyFont="1" applyFill="1" applyBorder="1" applyAlignment="1">
      <alignment horizontal="center" vertical="center"/>
    </xf>
    <xf numFmtId="178" fontId="6" fillId="36" borderId="19" xfId="45" applyNumberFormat="1" applyFont="1" applyFill="1" applyBorder="1" applyAlignment="1">
      <alignment horizontal="center" vertical="center"/>
    </xf>
    <xf numFmtId="179" fontId="7" fillId="36" borderId="19" xfId="51" applyNumberFormat="1" applyFont="1" applyFill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171" fontId="4" fillId="34" borderId="12" xfId="51" applyFont="1" applyFill="1" applyBorder="1" applyAlignment="1">
      <alignment horizontal="center" vertical="center"/>
    </xf>
    <xf numFmtId="177" fontId="4" fillId="34" borderId="12" xfId="45" applyFont="1" applyFill="1" applyBorder="1" applyAlignment="1">
      <alignment horizontal="center" vertical="center"/>
    </xf>
    <xf numFmtId="171" fontId="4" fillId="34" borderId="12" xfId="51" applyFont="1" applyFill="1" applyBorder="1" applyAlignment="1">
      <alignment vertical="center"/>
    </xf>
    <xf numFmtId="177" fontId="3" fillId="34" borderId="0" xfId="45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9" fontId="8" fillId="0" borderId="31" xfId="49" applyFont="1" applyBorder="1" applyAlignment="1">
      <alignment horizontal="center"/>
    </xf>
    <xf numFmtId="9" fontId="8" fillId="0" borderId="19" xfId="49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1" fontId="4" fillId="0" borderId="12" xfId="51" applyFont="1" applyBorder="1" applyAlignment="1">
      <alignment horizontal="center"/>
    </xf>
    <xf numFmtId="177" fontId="4" fillId="0" borderId="12" xfId="45" applyFont="1" applyBorder="1" applyAlignment="1">
      <alignment horizontal="center"/>
    </xf>
    <xf numFmtId="170" fontId="3" fillId="0" borderId="12" xfId="0" applyNumberFormat="1" applyFont="1" applyBorder="1" applyAlignment="1">
      <alignment horizontal="center"/>
    </xf>
    <xf numFmtId="170" fontId="1" fillId="37" borderId="38" xfId="0" applyNumberFormat="1" applyFont="1" applyFill="1" applyBorder="1" applyAlignment="1">
      <alignment horizontal="center"/>
    </xf>
    <xf numFmtId="177" fontId="3" fillId="0" borderId="12" xfId="45" applyFont="1" applyBorder="1" applyAlignment="1">
      <alignment horizontal="center"/>
    </xf>
    <xf numFmtId="170" fontId="3" fillId="37" borderId="12" xfId="0" applyNumberFormat="1" applyFont="1" applyFill="1" applyBorder="1" applyAlignment="1">
      <alignment horizontal="center"/>
    </xf>
    <xf numFmtId="170" fontId="3" fillId="37" borderId="38" xfId="0" applyNumberFormat="1" applyFont="1" applyFill="1" applyBorder="1" applyAlignment="1">
      <alignment horizontal="center"/>
    </xf>
    <xf numFmtId="170" fontId="1" fillId="33" borderId="14" xfId="0" applyNumberFormat="1" applyFont="1" applyFill="1" applyBorder="1" applyAlignment="1">
      <alignment horizontal="center"/>
    </xf>
    <xf numFmtId="170" fontId="3" fillId="37" borderId="13" xfId="0" applyNumberFormat="1" applyFont="1" applyFill="1" applyBorder="1" applyAlignment="1">
      <alignment horizontal="center"/>
    </xf>
    <xf numFmtId="170" fontId="1" fillId="0" borderId="12" xfId="0" applyNumberFormat="1" applyFont="1" applyBorder="1" applyAlignment="1">
      <alignment horizontal="center"/>
    </xf>
    <xf numFmtId="177" fontId="1" fillId="0" borderId="12" xfId="45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77" fontId="1" fillId="0" borderId="39" xfId="45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0" fontId="1" fillId="38" borderId="40" xfId="0" applyFont="1" applyFill="1" applyBorder="1" applyAlignment="1">
      <alignment horizontal="center"/>
    </xf>
    <xf numFmtId="181" fontId="1" fillId="38" borderId="40" xfId="0" applyNumberFormat="1" applyFont="1" applyFill="1" applyBorder="1" applyAlignment="1">
      <alignment horizontal="center"/>
    </xf>
    <xf numFmtId="179" fontId="8" fillId="0" borderId="19" xfId="51" applyNumberFormat="1" applyFont="1" applyBorder="1" applyAlignment="1">
      <alignment/>
    </xf>
    <xf numFmtId="179" fontId="8" fillId="0" borderId="31" xfId="51" applyNumberFormat="1" applyFont="1" applyBorder="1" applyAlignment="1">
      <alignment/>
    </xf>
    <xf numFmtId="180" fontId="3" fillId="0" borderId="12" xfId="0" applyNumberFormat="1" applyFont="1" applyBorder="1" applyAlignment="1">
      <alignment horizontal="center"/>
    </xf>
    <xf numFmtId="180" fontId="1" fillId="37" borderId="0" xfId="0" applyNumberFormat="1" applyFont="1" applyFill="1" applyBorder="1" applyAlignment="1">
      <alignment horizontal="center"/>
    </xf>
    <xf numFmtId="180" fontId="3" fillId="37" borderId="12" xfId="0" applyNumberFormat="1" applyFont="1" applyFill="1" applyBorder="1" applyAlignment="1">
      <alignment horizontal="center"/>
    </xf>
    <xf numFmtId="180" fontId="3" fillId="37" borderId="33" xfId="0" applyNumberFormat="1" applyFont="1" applyFill="1" applyBorder="1" applyAlignment="1">
      <alignment horizontal="center"/>
    </xf>
    <xf numFmtId="180" fontId="3" fillId="37" borderId="13" xfId="0" applyNumberFormat="1" applyFont="1" applyFill="1" applyBorder="1" applyAlignment="1">
      <alignment horizontal="center"/>
    </xf>
    <xf numFmtId="180" fontId="1" fillId="33" borderId="14" xfId="0" applyNumberFormat="1" applyFont="1" applyFill="1" applyBorder="1" applyAlignment="1">
      <alignment horizontal="center"/>
    </xf>
    <xf numFmtId="180" fontId="1" fillId="33" borderId="25" xfId="0" applyNumberFormat="1" applyFont="1" applyFill="1" applyBorder="1" applyAlignment="1">
      <alignment horizontal="center"/>
    </xf>
    <xf numFmtId="170" fontId="1" fillId="33" borderId="18" xfId="0" applyNumberFormat="1" applyFont="1" applyFill="1" applyBorder="1" applyAlignment="1">
      <alignment horizontal="center"/>
    </xf>
    <xf numFmtId="180" fontId="1" fillId="33" borderId="18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1" fontId="3" fillId="0" borderId="12" xfId="51" applyFont="1" applyFill="1" applyBorder="1" applyAlignment="1">
      <alignment horizontal="center"/>
    </xf>
    <xf numFmtId="177" fontId="3" fillId="0" borderId="12" xfId="45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171" fontId="4" fillId="0" borderId="12" xfId="51" applyFont="1" applyFill="1" applyBorder="1" applyAlignment="1">
      <alignment horizontal="center"/>
    </xf>
    <xf numFmtId="177" fontId="4" fillId="0" borderId="12" xfId="45" applyFont="1" applyFill="1" applyBorder="1" applyAlignment="1">
      <alignment horizontal="center"/>
    </xf>
    <xf numFmtId="170" fontId="3" fillId="0" borderId="13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70" fontId="3" fillId="0" borderId="16" xfId="0" applyNumberFormat="1" applyFont="1" applyFill="1" applyBorder="1" applyAlignment="1">
      <alignment horizontal="center"/>
    </xf>
    <xf numFmtId="180" fontId="3" fillId="0" borderId="16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1" fontId="4" fillId="0" borderId="13" xfId="51" applyFont="1" applyFill="1" applyBorder="1" applyAlignment="1">
      <alignment horizontal="center"/>
    </xf>
    <xf numFmtId="177" fontId="4" fillId="0" borderId="13" xfId="45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1" fontId="4" fillId="0" borderId="16" xfId="51" applyFont="1" applyFill="1" applyBorder="1" applyAlignment="1">
      <alignment horizontal="center"/>
    </xf>
    <xf numFmtId="177" fontId="4" fillId="0" borderId="16" xfId="45" applyFont="1" applyFill="1" applyBorder="1" applyAlignment="1">
      <alignment horizontal="center"/>
    </xf>
    <xf numFmtId="180" fontId="3" fillId="37" borderId="27" xfId="0" applyNumberFormat="1" applyFont="1" applyFill="1" applyBorder="1" applyAlignment="1">
      <alignment horizontal="center"/>
    </xf>
    <xf numFmtId="170" fontId="3" fillId="37" borderId="2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1" fontId="4" fillId="0" borderId="13" xfId="51" applyFont="1" applyBorder="1" applyAlignment="1">
      <alignment horizontal="center"/>
    </xf>
    <xf numFmtId="177" fontId="4" fillId="0" borderId="13" xfId="45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170" fontId="3" fillId="37" borderId="14" xfId="0" applyNumberFormat="1" applyFont="1" applyFill="1" applyBorder="1" applyAlignment="1">
      <alignment horizontal="center"/>
    </xf>
    <xf numFmtId="180" fontId="3" fillId="37" borderId="14" xfId="0" applyNumberFormat="1" applyFont="1" applyFill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177" fontId="1" fillId="0" borderId="16" xfId="45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1" fontId="3" fillId="36" borderId="12" xfId="51" applyFont="1" applyFill="1" applyBorder="1" applyAlignment="1">
      <alignment horizontal="center"/>
    </xf>
    <xf numFmtId="177" fontId="3" fillId="36" borderId="12" xfId="45" applyFont="1" applyFill="1" applyBorder="1" applyAlignment="1">
      <alignment horizontal="center"/>
    </xf>
    <xf numFmtId="170" fontId="3" fillId="36" borderId="12" xfId="0" applyNumberFormat="1" applyFont="1" applyFill="1" applyBorder="1" applyAlignment="1">
      <alignment horizontal="center"/>
    </xf>
    <xf numFmtId="180" fontId="3" fillId="36" borderId="12" xfId="0" applyNumberFormat="1" applyFont="1" applyFill="1" applyBorder="1" applyAlignment="1">
      <alignment horizontal="center"/>
    </xf>
    <xf numFmtId="170" fontId="1" fillId="37" borderId="0" xfId="0" applyNumberFormat="1" applyFont="1" applyFill="1" applyBorder="1" applyAlignment="1">
      <alignment horizontal="center"/>
    </xf>
    <xf numFmtId="0" fontId="3" fillId="36" borderId="0" xfId="0" applyFont="1" applyFill="1" applyAlignment="1">
      <alignment/>
    </xf>
    <xf numFmtId="170" fontId="1" fillId="0" borderId="41" xfId="0" applyNumberFormat="1" applyFont="1" applyBorder="1" applyAlignment="1">
      <alignment horizontal="center"/>
    </xf>
    <xf numFmtId="181" fontId="1" fillId="0" borderId="42" xfId="0" applyNumberFormat="1" applyFont="1" applyBorder="1" applyAlignment="1">
      <alignment horizontal="center"/>
    </xf>
    <xf numFmtId="177" fontId="1" fillId="0" borderId="41" xfId="45" applyFont="1" applyBorder="1" applyAlignment="1">
      <alignment horizontal="center"/>
    </xf>
    <xf numFmtId="9" fontId="1" fillId="0" borderId="42" xfId="49" applyFont="1" applyBorder="1" applyAlignment="1">
      <alignment horizontal="center"/>
    </xf>
    <xf numFmtId="9" fontId="3" fillId="0" borderId="26" xfId="49" applyFont="1" applyBorder="1" applyAlignment="1">
      <alignment horizontal="center"/>
    </xf>
    <xf numFmtId="9" fontId="1" fillId="0" borderId="26" xfId="49" applyFont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2" fontId="3" fillId="36" borderId="43" xfId="0" applyNumberFormat="1" applyFont="1" applyFill="1" applyBorder="1" applyAlignment="1">
      <alignment horizontal="center"/>
    </xf>
    <xf numFmtId="2" fontId="3" fillId="36" borderId="37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181" fontId="1" fillId="33" borderId="42" xfId="0" applyNumberFormat="1" applyFont="1" applyFill="1" applyBorder="1" applyAlignment="1">
      <alignment horizontal="center"/>
    </xf>
    <xf numFmtId="181" fontId="1" fillId="33" borderId="12" xfId="0" applyNumberFormat="1" applyFont="1" applyFill="1" applyBorder="1" applyAlignment="1">
      <alignment horizontal="center"/>
    </xf>
    <xf numFmtId="170" fontId="1" fillId="33" borderId="44" xfId="0" applyNumberFormat="1" applyFont="1" applyFill="1" applyBorder="1" applyAlignment="1">
      <alignment horizontal="center"/>
    </xf>
    <xf numFmtId="9" fontId="1" fillId="33" borderId="45" xfId="49" applyFont="1" applyFill="1" applyBorder="1" applyAlignment="1">
      <alignment horizontal="center"/>
    </xf>
    <xf numFmtId="2" fontId="3" fillId="36" borderId="46" xfId="0" applyNumberFormat="1" applyFont="1" applyFill="1" applyBorder="1" applyAlignment="1">
      <alignment horizontal="center"/>
    </xf>
    <xf numFmtId="2" fontId="1" fillId="33" borderId="1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91" fontId="3" fillId="0" borderId="47" xfId="0" applyNumberFormat="1" applyFont="1" applyBorder="1" applyAlignment="1">
      <alignment horizontal="center"/>
    </xf>
    <xf numFmtId="191" fontId="1" fillId="33" borderId="47" xfId="0" applyNumberFormat="1" applyFont="1" applyFill="1" applyBorder="1" applyAlignment="1">
      <alignment horizontal="center"/>
    </xf>
    <xf numFmtId="2" fontId="1" fillId="36" borderId="46" xfId="0" applyNumberFormat="1" applyFont="1" applyFill="1" applyBorder="1" applyAlignment="1">
      <alignment horizontal="center"/>
    </xf>
    <xf numFmtId="2" fontId="1" fillId="36" borderId="31" xfId="0" applyNumberFormat="1" applyFont="1" applyFill="1" applyBorder="1" applyAlignment="1">
      <alignment horizontal="center"/>
    </xf>
    <xf numFmtId="170" fontId="3" fillId="0" borderId="16" xfId="0" applyNumberFormat="1" applyFont="1" applyBorder="1" applyAlignment="1">
      <alignment horizontal="center"/>
    </xf>
    <xf numFmtId="9" fontId="8" fillId="0" borderId="19" xfId="49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6" borderId="48" xfId="0" applyFont="1" applyFill="1" applyBorder="1" applyAlignment="1">
      <alignment horizontal="center"/>
    </xf>
    <xf numFmtId="191" fontId="1" fillId="36" borderId="48" xfId="0" applyNumberFormat="1" applyFont="1" applyFill="1" applyBorder="1" applyAlignment="1">
      <alignment horizontal="center"/>
    </xf>
    <xf numFmtId="191" fontId="3" fillId="36" borderId="48" xfId="0" applyNumberFormat="1" applyFont="1" applyFill="1" applyBorder="1" applyAlignment="1">
      <alignment horizontal="center"/>
    </xf>
    <xf numFmtId="0" fontId="3" fillId="36" borderId="48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9" fontId="8" fillId="0" borderId="49" xfId="51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39" fontId="8" fillId="0" borderId="34" xfId="51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8" fillId="35" borderId="31" xfId="0" applyFont="1" applyFill="1" applyBorder="1" applyAlignment="1">
      <alignment horizontal="center"/>
    </xf>
    <xf numFmtId="9" fontId="8" fillId="0" borderId="31" xfId="49" applyFont="1" applyFill="1" applyBorder="1" applyAlignment="1">
      <alignment horizontal="center"/>
    </xf>
    <xf numFmtId="0" fontId="11" fillId="34" borderId="5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39" borderId="36" xfId="0" applyFont="1" applyFill="1" applyBorder="1" applyAlignment="1">
      <alignment horizontal="center" vertical="center"/>
    </xf>
    <xf numFmtId="0" fontId="12" fillId="39" borderId="38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38" borderId="5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17" fontId="6" fillId="36" borderId="19" xfId="0" applyNumberFormat="1" applyFont="1" applyFill="1" applyBorder="1" applyAlignment="1">
      <alignment horizontal="center" vertical="center"/>
    </xf>
    <xf numFmtId="17" fontId="6" fillId="36" borderId="25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34" borderId="49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1" fillId="39" borderId="52" xfId="0" applyFont="1" applyFill="1" applyBorder="1" applyAlignment="1">
      <alignment horizontal="center" vertical="center"/>
    </xf>
    <xf numFmtId="0" fontId="11" fillId="39" borderId="53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79" fontId="9" fillId="0" borderId="24" xfId="51" applyNumberFormat="1" applyFont="1" applyBorder="1" applyAlignment="1">
      <alignment horizontal="center"/>
    </xf>
    <xf numFmtId="179" fontId="9" fillId="0" borderId="25" xfId="5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9" fontId="8" fillId="0" borderId="24" xfId="49" applyFont="1" applyBorder="1" applyAlignment="1">
      <alignment horizontal="center"/>
    </xf>
    <xf numFmtId="9" fontId="8" fillId="0" borderId="25" xfId="49" applyFont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9" fontId="8" fillId="0" borderId="24" xfId="49" applyFont="1" applyFill="1" applyBorder="1" applyAlignment="1">
      <alignment horizontal="center"/>
    </xf>
    <xf numFmtId="9" fontId="8" fillId="0" borderId="25" xfId="49" applyFont="1" applyFill="1" applyBorder="1" applyAlignment="1">
      <alignment horizontal="center"/>
    </xf>
    <xf numFmtId="9" fontId="8" fillId="0" borderId="0" xfId="49" applyFont="1" applyFill="1" applyBorder="1" applyAlignment="1">
      <alignment horizontal="center"/>
    </xf>
    <xf numFmtId="9" fontId="8" fillId="0" borderId="51" xfId="49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26" xfId="0" applyFont="1" applyFill="1" applyBorder="1" applyAlignment="1" quotePrefix="1">
      <alignment horizontal="left"/>
    </xf>
    <xf numFmtId="0" fontId="1" fillId="0" borderId="57" xfId="0" applyFont="1" applyFill="1" applyBorder="1" applyAlignment="1" quotePrefix="1">
      <alignment horizontal="left"/>
    </xf>
    <xf numFmtId="0" fontId="1" fillId="0" borderId="54" xfId="0" applyFont="1" applyFill="1" applyBorder="1" applyAlignment="1" quotePrefix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 quotePrefix="1">
      <alignment horizontal="left"/>
    </xf>
    <xf numFmtId="0" fontId="1" fillId="34" borderId="18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1" fillId="0" borderId="24" xfId="0" applyFont="1" applyBorder="1" applyAlignment="1">
      <alignment horizontal="left"/>
    </xf>
    <xf numFmtId="0" fontId="3" fillId="38" borderId="35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0" borderId="26" xfId="0" applyFont="1" applyBorder="1" applyAlignment="1" quotePrefix="1">
      <alignment horizontal="left"/>
    </xf>
    <xf numFmtId="0" fontId="1" fillId="0" borderId="57" xfId="0" applyFont="1" applyBorder="1" applyAlignment="1" quotePrefix="1">
      <alignment horizontal="left"/>
    </xf>
    <xf numFmtId="0" fontId="1" fillId="0" borderId="54" xfId="0" applyFont="1" applyBorder="1" applyAlignment="1" quotePrefix="1">
      <alignment horizontal="left"/>
    </xf>
    <xf numFmtId="0" fontId="9" fillId="40" borderId="0" xfId="0" applyFont="1" applyFill="1" applyAlignment="1">
      <alignment horizontal="center"/>
    </xf>
    <xf numFmtId="0" fontId="3" fillId="38" borderId="56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3" fillId="38" borderId="34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9" fillId="40" borderId="40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left"/>
    </xf>
    <xf numFmtId="49" fontId="1" fillId="0" borderId="54" xfId="0" applyNumberFormat="1" applyFont="1" applyFill="1" applyBorder="1" applyAlignment="1">
      <alignment horizontal="left"/>
    </xf>
    <xf numFmtId="0" fontId="1" fillId="0" borderId="58" xfId="0" applyFont="1" applyFill="1" applyBorder="1" applyAlignment="1" quotePrefix="1">
      <alignment horizontal="left"/>
    </xf>
    <xf numFmtId="0" fontId="1" fillId="0" borderId="40" xfId="0" applyFont="1" applyFill="1" applyBorder="1" applyAlignment="1" quotePrefix="1">
      <alignment horizontal="left"/>
    </xf>
    <xf numFmtId="0" fontId="1" fillId="0" borderId="59" xfId="0" applyFont="1" applyFill="1" applyBorder="1" applyAlignment="1" quotePrefix="1">
      <alignment horizontal="left"/>
    </xf>
    <xf numFmtId="0" fontId="1" fillId="0" borderId="12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12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42" xfId="0" applyFont="1" applyFill="1" applyBorder="1" applyAlignment="1" quotePrefix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60" xfId="0" applyFont="1" applyFill="1" applyBorder="1" applyAlignment="1" quotePrefix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49" fontId="1" fillId="0" borderId="58" xfId="0" applyNumberFormat="1" applyFont="1" applyBorder="1" applyAlignment="1">
      <alignment horizontal="left"/>
    </xf>
    <xf numFmtId="49" fontId="1" fillId="0" borderId="40" xfId="0" applyNumberFormat="1" applyFont="1" applyBorder="1" applyAlignment="1">
      <alignment horizontal="left"/>
    </xf>
    <xf numFmtId="49" fontId="1" fillId="0" borderId="59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57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1" fillId="0" borderId="66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35" borderId="67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/>
    </xf>
    <xf numFmtId="0" fontId="1" fillId="35" borderId="26" xfId="0" applyFont="1" applyFill="1" applyBorder="1" applyAlignment="1">
      <alignment horizontal="left"/>
    </xf>
    <xf numFmtId="0" fontId="10" fillId="34" borderId="34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177" fontId="8" fillId="0" borderId="19" xfId="45" applyFont="1" applyBorder="1" applyAlignment="1">
      <alignment horizontal="center"/>
    </xf>
    <xf numFmtId="177" fontId="8" fillId="0" borderId="24" xfId="45" applyFont="1" applyBorder="1" applyAlignment="1">
      <alignment horizontal="center"/>
    </xf>
    <xf numFmtId="177" fontId="8" fillId="0" borderId="25" xfId="45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17" fontId="8" fillId="0" borderId="31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>
      <alignment horizontal="center"/>
    </xf>
    <xf numFmtId="17" fontId="8" fillId="0" borderId="51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.+Feno+e+Pr&#233;-sec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-secado"/>
      <sheetName val="feno"/>
    </sheetNames>
    <sheetDataSet>
      <sheetData sheetId="0">
        <row r="38">
          <cell r="F38">
            <v>97.9</v>
          </cell>
        </row>
        <row r="41">
          <cell r="F41">
            <v>19.55</v>
          </cell>
        </row>
        <row r="42">
          <cell r="F42">
            <v>18.66</v>
          </cell>
        </row>
        <row r="43">
          <cell r="F43">
            <v>18.62</v>
          </cell>
        </row>
        <row r="46">
          <cell r="F46">
            <v>22.75</v>
          </cell>
        </row>
        <row r="47">
          <cell r="F47">
            <v>18.66</v>
          </cell>
        </row>
        <row r="48">
          <cell r="F48">
            <v>18.66</v>
          </cell>
        </row>
        <row r="49">
          <cell r="F49">
            <v>23.16</v>
          </cell>
        </row>
        <row r="50">
          <cell r="F50">
            <v>18.66</v>
          </cell>
        </row>
        <row r="51">
          <cell r="F51">
            <v>4.38</v>
          </cell>
        </row>
        <row r="52">
          <cell r="F52">
            <v>33.56</v>
          </cell>
        </row>
        <row r="53">
          <cell r="F53">
            <v>4.38</v>
          </cell>
        </row>
        <row r="54">
          <cell r="F54">
            <v>4.38</v>
          </cell>
        </row>
        <row r="55">
          <cell r="F55">
            <v>17.93</v>
          </cell>
        </row>
        <row r="80">
          <cell r="F80">
            <v>25.93</v>
          </cell>
        </row>
        <row r="81">
          <cell r="F81">
            <v>17.93</v>
          </cell>
        </row>
        <row r="84">
          <cell r="F84">
            <v>20</v>
          </cell>
        </row>
        <row r="85">
          <cell r="F85">
            <v>33.56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zoomScale="85" zoomScaleNormal="85" zoomScalePageLayoutView="0" workbookViewId="0" topLeftCell="A25">
      <selection activeCell="A29" sqref="A29:F30"/>
    </sheetView>
  </sheetViews>
  <sheetFormatPr defaultColWidth="9.140625" defaultRowHeight="12.75"/>
  <cols>
    <col min="1" max="1" width="40.00390625" style="0" customWidth="1"/>
    <col min="2" max="2" width="17.140625" style="0" customWidth="1"/>
    <col min="3" max="3" width="18.28125" style="0" customWidth="1"/>
    <col min="4" max="4" width="14.421875" style="0" customWidth="1"/>
    <col min="5" max="5" width="16.8515625" style="0" customWidth="1"/>
    <col min="6" max="6" width="14.28125" style="0" customWidth="1"/>
  </cols>
  <sheetData>
    <row r="1" spans="1:17" ht="15.75" customHeight="1">
      <c r="A1" s="271" t="s">
        <v>0</v>
      </c>
      <c r="B1" s="272"/>
      <c r="C1" s="272"/>
      <c r="D1" s="272"/>
      <c r="E1" s="272"/>
      <c r="F1" s="273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</row>
    <row r="2" spans="1:17" ht="15.75" customHeight="1" thickBot="1">
      <c r="A2" s="274"/>
      <c r="B2" s="275"/>
      <c r="C2" s="275"/>
      <c r="D2" s="275"/>
      <c r="E2" s="275"/>
      <c r="F2" s="276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</row>
    <row r="3" spans="1:17" ht="18" thickBot="1">
      <c r="A3" s="90" t="s">
        <v>1</v>
      </c>
      <c r="B3" s="254" t="s">
        <v>2</v>
      </c>
      <c r="C3" s="255"/>
      <c r="D3" s="261"/>
      <c r="E3" s="240"/>
      <c r="F3" s="262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</row>
    <row r="4" spans="1:17" ht="18" thickBot="1">
      <c r="A4" s="91" t="s">
        <v>3</v>
      </c>
      <c r="B4" s="254" t="s">
        <v>4</v>
      </c>
      <c r="C4" s="256"/>
      <c r="D4" s="263"/>
      <c r="E4" s="264"/>
      <c r="F4" s="265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ht="18" thickBot="1">
      <c r="A5" s="91" t="s">
        <v>5</v>
      </c>
      <c r="B5" s="257" t="s">
        <v>6</v>
      </c>
      <c r="C5" s="258"/>
      <c r="D5" s="263"/>
      <c r="E5" s="264"/>
      <c r="F5" s="265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</row>
    <row r="6" spans="1:17" ht="18" thickBot="1">
      <c r="A6" s="91" t="s">
        <v>7</v>
      </c>
      <c r="B6" s="259">
        <v>40787</v>
      </c>
      <c r="C6" s="260"/>
      <c r="D6" s="263"/>
      <c r="E6" s="264"/>
      <c r="F6" s="265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</row>
    <row r="7" spans="1:17" ht="18" thickBot="1">
      <c r="A7" s="91" t="s">
        <v>8</v>
      </c>
      <c r="B7" s="92">
        <v>22</v>
      </c>
      <c r="C7" s="97" t="s">
        <v>9</v>
      </c>
      <c r="D7" s="263"/>
      <c r="E7" s="264"/>
      <c r="F7" s="265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1:17" ht="18" thickBot="1">
      <c r="A8" s="91" t="s">
        <v>10</v>
      </c>
      <c r="B8" s="98">
        <f>B7/B9</f>
        <v>88</v>
      </c>
      <c r="C8" s="100" t="s">
        <v>9</v>
      </c>
      <c r="D8" s="264"/>
      <c r="E8" s="264"/>
      <c r="F8" s="265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</row>
    <row r="9" spans="1:17" ht="18" thickBot="1">
      <c r="A9" s="91" t="s">
        <v>11</v>
      </c>
      <c r="B9" s="102">
        <v>0.25</v>
      </c>
      <c r="C9" s="96"/>
      <c r="D9" s="263"/>
      <c r="E9" s="264"/>
      <c r="F9" s="265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</row>
    <row r="10" spans="1:17" ht="18" thickBot="1">
      <c r="A10" s="91" t="s">
        <v>13</v>
      </c>
      <c r="B10" s="99">
        <v>0.28</v>
      </c>
      <c r="C10" s="100"/>
      <c r="D10" s="263"/>
      <c r="E10" s="264"/>
      <c r="F10" s="265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</row>
    <row r="11" spans="1:17" ht="18" thickBot="1">
      <c r="A11" s="91" t="s">
        <v>14</v>
      </c>
      <c r="B11" s="101">
        <v>6</v>
      </c>
      <c r="C11" s="100" t="s">
        <v>15</v>
      </c>
      <c r="D11" s="263"/>
      <c r="E11" s="264"/>
      <c r="F11" s="265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</row>
    <row r="12" spans="1:17" ht="18" thickBot="1">
      <c r="A12" s="91" t="s">
        <v>16</v>
      </c>
      <c r="B12" s="101">
        <v>2</v>
      </c>
      <c r="C12" s="100" t="s">
        <v>15</v>
      </c>
      <c r="D12" s="263"/>
      <c r="E12" s="264"/>
      <c r="F12" s="265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</row>
    <row r="13" spans="1:17" ht="18" thickBot="1">
      <c r="A13" s="91" t="s">
        <v>17</v>
      </c>
      <c r="B13" s="101">
        <v>0</v>
      </c>
      <c r="C13" s="100" t="s">
        <v>18</v>
      </c>
      <c r="D13" s="263"/>
      <c r="E13" s="264"/>
      <c r="F13" s="265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</row>
    <row r="14" spans="1:17" ht="18" thickBot="1">
      <c r="A14" s="91" t="s">
        <v>19</v>
      </c>
      <c r="B14" s="101">
        <v>15</v>
      </c>
      <c r="C14" s="100" t="s">
        <v>20</v>
      </c>
      <c r="D14" s="263"/>
      <c r="E14" s="264"/>
      <c r="F14" s="265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</row>
    <row r="15" spans="1:17" ht="18" thickBot="1">
      <c r="A15" s="91" t="s">
        <v>21</v>
      </c>
      <c r="B15" s="92">
        <v>1</v>
      </c>
      <c r="C15" s="97" t="s">
        <v>22</v>
      </c>
      <c r="D15" s="263"/>
      <c r="E15" s="264"/>
      <c r="F15" s="265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</row>
    <row r="16" spans="1:17" ht="18" thickBot="1">
      <c r="A16" s="91" t="s">
        <v>129</v>
      </c>
      <c r="B16" s="101">
        <v>11</v>
      </c>
      <c r="C16" s="100" t="s">
        <v>23</v>
      </c>
      <c r="D16" s="263"/>
      <c r="E16" s="264"/>
      <c r="F16" s="265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</row>
    <row r="17" spans="1:17" ht="18" thickBot="1">
      <c r="A17" s="91" t="s">
        <v>24</v>
      </c>
      <c r="B17" s="93">
        <v>0.12</v>
      </c>
      <c r="C17" s="97" t="s">
        <v>25</v>
      </c>
      <c r="D17" s="263"/>
      <c r="E17" s="264"/>
      <c r="F17" s="265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</row>
    <row r="18" spans="1:17" ht="18" thickBot="1">
      <c r="A18" s="91" t="s">
        <v>26</v>
      </c>
      <c r="B18" s="99">
        <v>0.58</v>
      </c>
      <c r="C18" s="100" t="s">
        <v>27</v>
      </c>
      <c r="D18" s="263"/>
      <c r="E18" s="264"/>
      <c r="F18" s="265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</row>
    <row r="19" spans="1:17" ht="18" thickBot="1">
      <c r="A19" s="91" t="s">
        <v>28</v>
      </c>
      <c r="B19" s="93">
        <v>0.87</v>
      </c>
      <c r="C19" s="97"/>
      <c r="D19" s="263"/>
      <c r="E19" s="264"/>
      <c r="F19" s="265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</row>
    <row r="20" spans="1:17" ht="18" thickBot="1">
      <c r="A20" s="91" t="s">
        <v>29</v>
      </c>
      <c r="B20" s="103">
        <v>1.8</v>
      </c>
      <c r="C20" s="100" t="s">
        <v>30</v>
      </c>
      <c r="D20" s="263"/>
      <c r="E20" s="264"/>
      <c r="F20" s="265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</row>
    <row r="21" spans="1:17" ht="18" thickBot="1">
      <c r="A21" s="91" t="s">
        <v>31</v>
      </c>
      <c r="B21" s="94">
        <f>B8*B14</f>
        <v>1320</v>
      </c>
      <c r="C21" s="97" t="s">
        <v>130</v>
      </c>
      <c r="D21" s="263"/>
      <c r="E21" s="264"/>
      <c r="F21" s="265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</row>
    <row r="22" spans="1:17" ht="18" thickBot="1">
      <c r="A22" s="91" t="s">
        <v>32</v>
      </c>
      <c r="B22" s="104">
        <f>B7*B14</f>
        <v>330</v>
      </c>
      <c r="C22" s="100" t="s">
        <v>130</v>
      </c>
      <c r="D22" s="263"/>
      <c r="E22" s="264"/>
      <c r="F22" s="265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</row>
    <row r="23" spans="1:17" ht="18" thickBot="1">
      <c r="A23" s="91" t="s">
        <v>33</v>
      </c>
      <c r="B23" s="94">
        <f>B24/B19</f>
        <v>273.10344827586204</v>
      </c>
      <c r="C23" s="97" t="s">
        <v>130</v>
      </c>
      <c r="D23" s="263"/>
      <c r="E23" s="264"/>
      <c r="F23" s="265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</row>
    <row r="24" spans="1:17" ht="18" thickBot="1">
      <c r="A24" s="91" t="s">
        <v>34</v>
      </c>
      <c r="B24" s="104">
        <f>B22*(1-B10)</f>
        <v>237.6</v>
      </c>
      <c r="C24" s="100" t="s">
        <v>130</v>
      </c>
      <c r="D24" s="263"/>
      <c r="E24" s="264"/>
      <c r="F24" s="265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</row>
    <row r="25" spans="1:17" ht="18" thickBot="1">
      <c r="A25" s="91" t="s">
        <v>35</v>
      </c>
      <c r="B25" s="94">
        <f>B24*B18</f>
        <v>137.808</v>
      </c>
      <c r="C25" s="97" t="s">
        <v>130</v>
      </c>
      <c r="D25" s="263"/>
      <c r="E25" s="264"/>
      <c r="F25" s="265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</row>
    <row r="26" spans="1:17" ht="18" thickBot="1">
      <c r="A26" s="95" t="s">
        <v>36</v>
      </c>
      <c r="B26" s="104">
        <f>B24*B17</f>
        <v>28.511999999999997</v>
      </c>
      <c r="C26" s="100" t="s">
        <v>130</v>
      </c>
      <c r="D26" s="266"/>
      <c r="E26" s="267"/>
      <c r="F26" s="268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</row>
    <row r="27" spans="1:16" ht="15.75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</row>
    <row r="28" spans="1:6" ht="21.75" thickBot="1">
      <c r="A28" s="279" t="s">
        <v>37</v>
      </c>
      <c r="B28" s="279"/>
      <c r="C28" s="279"/>
      <c r="D28" s="279"/>
      <c r="E28" s="279"/>
      <c r="F28" s="279"/>
    </row>
    <row r="29" spans="1:6" ht="15.75">
      <c r="A29" s="277" t="s">
        <v>38</v>
      </c>
      <c r="B29" s="231" t="s">
        <v>39</v>
      </c>
      <c r="C29" s="232" t="s">
        <v>40</v>
      </c>
      <c r="D29" s="37" t="s">
        <v>41</v>
      </c>
      <c r="E29" s="37" t="s">
        <v>42</v>
      </c>
      <c r="F29" s="37" t="s">
        <v>42</v>
      </c>
    </row>
    <row r="30" spans="1:6" ht="16.5" thickBot="1">
      <c r="A30" s="278"/>
      <c r="B30" s="231"/>
      <c r="C30" s="232"/>
      <c r="D30" s="36" t="s">
        <v>43</v>
      </c>
      <c r="E30" s="38" t="s">
        <v>44</v>
      </c>
      <c r="F30" s="38" t="s">
        <v>45</v>
      </c>
    </row>
    <row r="31" spans="1:6" ht="15.75">
      <c r="A31" s="38" t="s">
        <v>46</v>
      </c>
      <c r="B31" s="28" t="s">
        <v>47</v>
      </c>
      <c r="C31" s="108">
        <v>2</v>
      </c>
      <c r="D31" s="107">
        <v>87.74</v>
      </c>
      <c r="E31" s="30">
        <f aca="true" t="shared" si="0" ref="E31:E39">D31*C31</f>
        <v>175.48</v>
      </c>
      <c r="F31" s="31">
        <f aca="true" t="shared" si="1" ref="F31:F40">E31/$B$20</f>
        <v>97.48888888888888</v>
      </c>
    </row>
    <row r="32" spans="1:6" ht="15.75">
      <c r="A32" s="89" t="s">
        <v>48</v>
      </c>
      <c r="B32" s="28" t="s">
        <v>47</v>
      </c>
      <c r="C32" s="106">
        <v>0.5</v>
      </c>
      <c r="D32" s="107">
        <v>660</v>
      </c>
      <c r="E32" s="30">
        <f t="shared" si="0"/>
        <v>330</v>
      </c>
      <c r="F32" s="31">
        <f t="shared" si="1"/>
        <v>183.33333333333334</v>
      </c>
    </row>
    <row r="33" spans="1:6" ht="15.75">
      <c r="A33" s="105" t="s">
        <v>49</v>
      </c>
      <c r="B33" s="28" t="s">
        <v>47</v>
      </c>
      <c r="C33" s="106">
        <v>0.6</v>
      </c>
      <c r="D33" s="107">
        <v>1300</v>
      </c>
      <c r="E33" s="30">
        <f t="shared" si="0"/>
        <v>780</v>
      </c>
      <c r="F33" s="31">
        <f t="shared" si="1"/>
        <v>433.3333333333333</v>
      </c>
    </row>
    <row r="34" spans="1:6" ht="15.75">
      <c r="A34" s="105" t="s">
        <v>50</v>
      </c>
      <c r="B34" s="28" t="s">
        <v>47</v>
      </c>
      <c r="C34" s="32">
        <v>0.05</v>
      </c>
      <c r="D34" s="29">
        <v>850</v>
      </c>
      <c r="E34" s="30">
        <f t="shared" si="0"/>
        <v>42.5</v>
      </c>
      <c r="F34" s="31">
        <f t="shared" si="1"/>
        <v>23.61111111111111</v>
      </c>
    </row>
    <row r="35" spans="1:6" ht="15.75">
      <c r="A35" s="89" t="s">
        <v>51</v>
      </c>
      <c r="B35" s="28" t="s">
        <v>47</v>
      </c>
      <c r="C35" s="32">
        <v>0.3</v>
      </c>
      <c r="D35" s="107">
        <v>1290</v>
      </c>
      <c r="E35" s="30">
        <f t="shared" si="0"/>
        <v>387</v>
      </c>
      <c r="F35" s="31">
        <f t="shared" si="1"/>
        <v>215</v>
      </c>
    </row>
    <row r="36" spans="1:6" ht="15.75">
      <c r="A36" s="105" t="s">
        <v>52</v>
      </c>
      <c r="B36" s="28" t="s">
        <v>53</v>
      </c>
      <c r="C36" s="106">
        <v>1</v>
      </c>
      <c r="D36" s="107">
        <v>30</v>
      </c>
      <c r="E36" s="30">
        <f t="shared" si="0"/>
        <v>30</v>
      </c>
      <c r="F36" s="31">
        <f t="shared" si="1"/>
        <v>16.666666666666668</v>
      </c>
    </row>
    <row r="37" spans="1:6" ht="15.75">
      <c r="A37" s="105" t="s">
        <v>54</v>
      </c>
      <c r="B37" s="28" t="s">
        <v>55</v>
      </c>
      <c r="C37" s="106">
        <v>3</v>
      </c>
      <c r="D37" s="107">
        <v>12</v>
      </c>
      <c r="E37" s="30">
        <f t="shared" si="0"/>
        <v>36</v>
      </c>
      <c r="F37" s="31">
        <f t="shared" si="1"/>
        <v>20</v>
      </c>
    </row>
    <row r="38" spans="1:6" ht="15.75">
      <c r="A38" s="105" t="s">
        <v>56</v>
      </c>
      <c r="B38" s="28" t="s">
        <v>23</v>
      </c>
      <c r="C38" s="106">
        <v>2.5</v>
      </c>
      <c r="D38" s="107">
        <v>11.9</v>
      </c>
      <c r="E38" s="30">
        <f t="shared" si="0"/>
        <v>29.75</v>
      </c>
      <c r="F38" s="31">
        <f t="shared" si="1"/>
        <v>16.52777777777778</v>
      </c>
    </row>
    <row r="39" spans="1:6" ht="16.5" thickBot="1">
      <c r="A39" s="37" t="s">
        <v>57</v>
      </c>
      <c r="B39" s="34" t="s">
        <v>47</v>
      </c>
      <c r="C39" s="57">
        <v>4</v>
      </c>
      <c r="D39" s="58">
        <f>'[1]pré-secado'!F38</f>
        <v>97.9</v>
      </c>
      <c r="E39" s="59">
        <f t="shared" si="0"/>
        <v>391.6</v>
      </c>
      <c r="F39" s="60">
        <f t="shared" si="1"/>
        <v>217.55555555555557</v>
      </c>
    </row>
    <row r="40" spans="1:6" ht="16.5" thickBot="1">
      <c r="A40" s="249" t="s">
        <v>58</v>
      </c>
      <c r="B40" s="247"/>
      <c r="C40" s="247"/>
      <c r="D40" s="248"/>
      <c r="E40" s="61">
        <f>SUM(E31:E39)</f>
        <v>2202.33</v>
      </c>
      <c r="F40" s="41">
        <f t="shared" si="1"/>
        <v>1223.5166666666667</v>
      </c>
    </row>
    <row r="41" spans="1:6" ht="21" customHeight="1">
      <c r="A41" s="242" t="s">
        <v>59</v>
      </c>
      <c r="B41" s="244" t="s">
        <v>39</v>
      </c>
      <c r="C41" s="232" t="s">
        <v>40</v>
      </c>
      <c r="D41" s="62" t="s">
        <v>41</v>
      </c>
      <c r="E41" s="37" t="s">
        <v>42</v>
      </c>
      <c r="F41" s="37" t="s">
        <v>42</v>
      </c>
    </row>
    <row r="42" spans="1:6" ht="21" customHeight="1" thickBot="1">
      <c r="A42" s="243"/>
      <c r="B42" s="244"/>
      <c r="C42" s="232"/>
      <c r="D42" s="38" t="s">
        <v>43</v>
      </c>
      <c r="E42" s="38" t="s">
        <v>44</v>
      </c>
      <c r="F42" s="38" t="s">
        <v>45</v>
      </c>
    </row>
    <row r="43" spans="1:6" ht="15.75">
      <c r="A43" s="1" t="s">
        <v>60</v>
      </c>
      <c r="B43" s="1" t="s">
        <v>61</v>
      </c>
      <c r="C43" s="5">
        <v>2.5</v>
      </c>
      <c r="D43" s="6">
        <f>'[1]pré-secado'!F41</f>
        <v>19.55</v>
      </c>
      <c r="E43" s="7">
        <f>D43*C43</f>
        <v>48.875</v>
      </c>
      <c r="F43" s="8">
        <f>E43/$B$20</f>
        <v>27.15277777777778</v>
      </c>
    </row>
    <row r="44" spans="1:6" ht="15.75">
      <c r="A44" s="1" t="s">
        <v>62</v>
      </c>
      <c r="B44" s="1" t="s">
        <v>61</v>
      </c>
      <c r="C44" s="5">
        <v>0.3</v>
      </c>
      <c r="D44" s="6">
        <f>'[1]pré-secado'!F42</f>
        <v>18.66</v>
      </c>
      <c r="E44" s="7">
        <f>D44*C44</f>
        <v>5.598</v>
      </c>
      <c r="F44" s="8">
        <f>E44/$B$20</f>
        <v>3.11</v>
      </c>
    </row>
    <row r="45" spans="1:6" ht="16.5" thickBot="1">
      <c r="A45" s="1" t="s">
        <v>63</v>
      </c>
      <c r="B45" s="1" t="s">
        <v>61</v>
      </c>
      <c r="C45" s="5">
        <v>2.2</v>
      </c>
      <c r="D45" s="6">
        <f>'[1]pré-secado'!F43</f>
        <v>18.62</v>
      </c>
      <c r="E45" s="7">
        <f>D45*C45</f>
        <v>40.964000000000006</v>
      </c>
      <c r="F45" s="8">
        <f>E45/$B$20</f>
        <v>22.75777777777778</v>
      </c>
    </row>
    <row r="46" spans="1:6" ht="16.5" thickBot="1">
      <c r="A46" s="249" t="s">
        <v>58</v>
      </c>
      <c r="B46" s="247"/>
      <c r="C46" s="247"/>
      <c r="D46" s="248"/>
      <c r="E46" s="42">
        <f>SUM(E43:E45)</f>
        <v>95.43700000000001</v>
      </c>
      <c r="F46" s="41">
        <f>E46/$B$20</f>
        <v>53.02055555555556</v>
      </c>
    </row>
    <row r="47" spans="1:6" ht="21.75" customHeight="1">
      <c r="A47" s="242" t="s">
        <v>64</v>
      </c>
      <c r="B47" s="244" t="s">
        <v>39</v>
      </c>
      <c r="C47" s="232" t="s">
        <v>40</v>
      </c>
      <c r="D47" s="62" t="s">
        <v>41</v>
      </c>
      <c r="E47" s="37" t="s">
        <v>42</v>
      </c>
      <c r="F47" s="37" t="s">
        <v>42</v>
      </c>
    </row>
    <row r="48" spans="1:6" ht="16.5" thickBot="1">
      <c r="A48" s="243"/>
      <c r="B48" s="244"/>
      <c r="C48" s="232"/>
      <c r="D48" s="38" t="s">
        <v>43</v>
      </c>
      <c r="E48" s="38" t="s">
        <v>44</v>
      </c>
      <c r="F48" s="38" t="s">
        <v>45</v>
      </c>
    </row>
    <row r="49" spans="1:6" ht="15.75">
      <c r="A49" s="1" t="s">
        <v>65</v>
      </c>
      <c r="B49" s="1" t="s">
        <v>61</v>
      </c>
      <c r="C49" s="5">
        <v>1.33</v>
      </c>
      <c r="D49" s="6">
        <f>'[1]pré-secado'!F46</f>
        <v>22.75</v>
      </c>
      <c r="E49" s="7">
        <f aca="true" t="shared" si="2" ref="E49:E58">D49*C49</f>
        <v>30.2575</v>
      </c>
      <c r="F49" s="8">
        <f aca="true" t="shared" si="3" ref="F49:F60">E49/$B$20</f>
        <v>16.809722222222224</v>
      </c>
    </row>
    <row r="50" spans="1:6" ht="15.75">
      <c r="A50" s="9" t="s">
        <v>66</v>
      </c>
      <c r="B50" s="1" t="s">
        <v>61</v>
      </c>
      <c r="C50" s="5">
        <v>0.3</v>
      </c>
      <c r="D50" s="6">
        <f>'[1]pré-secado'!F47</f>
        <v>18.66</v>
      </c>
      <c r="E50" s="7">
        <f>D50*C50</f>
        <v>5.598</v>
      </c>
      <c r="F50" s="8">
        <f t="shared" si="3"/>
        <v>3.11</v>
      </c>
    </row>
    <row r="51" spans="1:6" ht="15.75">
      <c r="A51" s="9" t="s">
        <v>67</v>
      </c>
      <c r="B51" s="1" t="s">
        <v>61</v>
      </c>
      <c r="C51" s="5">
        <v>0.3</v>
      </c>
      <c r="D51" s="6">
        <f>'[1]pré-secado'!F48</f>
        <v>18.66</v>
      </c>
      <c r="E51" s="7">
        <f>D51*C51</f>
        <v>5.598</v>
      </c>
      <c r="F51" s="8">
        <f t="shared" si="3"/>
        <v>3.11</v>
      </c>
    </row>
    <row r="52" spans="1:6" ht="15.75">
      <c r="A52" s="1" t="s">
        <v>68</v>
      </c>
      <c r="B52" s="1" t="s">
        <v>61</v>
      </c>
      <c r="C52" s="5">
        <v>0.3</v>
      </c>
      <c r="D52" s="6">
        <f>'[1]pré-secado'!F49</f>
        <v>23.16</v>
      </c>
      <c r="E52" s="7">
        <f t="shared" si="2"/>
        <v>6.9479999999999995</v>
      </c>
      <c r="F52" s="8">
        <f t="shared" si="3"/>
        <v>3.8599999999999994</v>
      </c>
    </row>
    <row r="53" spans="1:6" ht="15.75">
      <c r="A53" s="9" t="s">
        <v>69</v>
      </c>
      <c r="B53" s="1" t="s">
        <v>61</v>
      </c>
      <c r="C53" s="5">
        <v>1</v>
      </c>
      <c r="D53" s="6">
        <f>'[1]pré-secado'!F50</f>
        <v>18.66</v>
      </c>
      <c r="E53" s="7">
        <f>D53*C53</f>
        <v>18.66</v>
      </c>
      <c r="F53" s="8">
        <f t="shared" si="3"/>
        <v>10.366666666666667</v>
      </c>
    </row>
    <row r="54" spans="1:6" ht="15.75">
      <c r="A54" s="1" t="s">
        <v>70</v>
      </c>
      <c r="B54" s="1" t="s">
        <v>61</v>
      </c>
      <c r="C54" s="5">
        <v>30</v>
      </c>
      <c r="D54" s="6">
        <f>'[1]pré-secado'!F51</f>
        <v>4.38</v>
      </c>
      <c r="E54" s="7">
        <f t="shared" si="2"/>
        <v>131.4</v>
      </c>
      <c r="F54" s="8">
        <f t="shared" si="3"/>
        <v>73</v>
      </c>
    </row>
    <row r="55" spans="1:6" ht="15.75">
      <c r="A55" s="1" t="s">
        <v>71</v>
      </c>
      <c r="B55" s="1" t="s">
        <v>61</v>
      </c>
      <c r="C55" s="5">
        <v>8</v>
      </c>
      <c r="D55" s="6">
        <f>'[1]pré-secado'!F52</f>
        <v>33.56</v>
      </c>
      <c r="E55" s="7">
        <f t="shared" si="2"/>
        <v>268.48</v>
      </c>
      <c r="F55" s="8">
        <f t="shared" si="3"/>
        <v>149.15555555555557</v>
      </c>
    </row>
    <row r="56" spans="1:6" ht="15.75">
      <c r="A56" s="1" t="s">
        <v>72</v>
      </c>
      <c r="B56" s="1" t="s">
        <v>61</v>
      </c>
      <c r="C56" s="5">
        <v>10</v>
      </c>
      <c r="D56" s="6">
        <f>'[1]pré-secado'!F53</f>
        <v>4.38</v>
      </c>
      <c r="E56" s="7">
        <f t="shared" si="2"/>
        <v>43.8</v>
      </c>
      <c r="F56" s="8">
        <f t="shared" si="3"/>
        <v>24.333333333333332</v>
      </c>
    </row>
    <row r="57" spans="1:6" ht="15.75">
      <c r="A57" s="1" t="s">
        <v>73</v>
      </c>
      <c r="B57" s="1" t="s">
        <v>61</v>
      </c>
      <c r="C57" s="5">
        <v>8</v>
      </c>
      <c r="D57" s="6">
        <f>'[1]pré-secado'!F54</f>
        <v>4.38</v>
      </c>
      <c r="E57" s="7">
        <f t="shared" si="2"/>
        <v>35.04</v>
      </c>
      <c r="F57" s="8">
        <f t="shared" si="3"/>
        <v>19.466666666666665</v>
      </c>
    </row>
    <row r="58" spans="1:6" ht="15.75">
      <c r="A58" s="1" t="s">
        <v>74</v>
      </c>
      <c r="B58" s="1" t="s">
        <v>61</v>
      </c>
      <c r="C58" s="5">
        <v>2</v>
      </c>
      <c r="D58" s="6">
        <f>'[1]pré-secado'!F55</f>
        <v>17.93</v>
      </c>
      <c r="E58" s="7">
        <f t="shared" si="2"/>
        <v>35.86</v>
      </c>
      <c r="F58" s="8">
        <f t="shared" si="3"/>
        <v>19.92222222222222</v>
      </c>
    </row>
    <row r="59" spans="1:6" ht="16.5" thickBot="1">
      <c r="A59" s="2" t="s">
        <v>58</v>
      </c>
      <c r="B59" s="2"/>
      <c r="C59" s="2"/>
      <c r="D59" s="43"/>
      <c r="E59" s="25">
        <f>SUM(E49:E58)</f>
        <v>581.6415000000001</v>
      </c>
      <c r="F59" s="26">
        <f t="shared" si="3"/>
        <v>323.1341666666667</v>
      </c>
    </row>
    <row r="60" spans="1:6" ht="19.5" thickBot="1">
      <c r="A60" s="250" t="s">
        <v>75</v>
      </c>
      <c r="B60" s="251"/>
      <c r="C60" s="251"/>
      <c r="D60" s="252"/>
      <c r="E60" s="44">
        <f>E59+E46+E40</f>
        <v>2879.4085</v>
      </c>
      <c r="F60" s="45">
        <f t="shared" si="3"/>
        <v>1599.671388888889</v>
      </c>
    </row>
    <row r="61" spans="1:6" ht="16.5" thickBot="1">
      <c r="A61" s="245"/>
      <c r="B61" s="245"/>
      <c r="C61" s="245"/>
      <c r="D61" s="245"/>
      <c r="E61" s="245"/>
      <c r="F61" s="245"/>
    </row>
    <row r="62" spans="1:6" ht="22.5" thickBot="1" thickTop="1">
      <c r="A62" s="253" t="s">
        <v>76</v>
      </c>
      <c r="B62" s="253"/>
      <c r="C62" s="253"/>
      <c r="D62" s="253"/>
      <c r="E62" s="253"/>
      <c r="F62" s="253"/>
    </row>
    <row r="63" spans="1:6" ht="16.5" thickTop="1">
      <c r="A63" s="227" t="s">
        <v>38</v>
      </c>
      <c r="B63" s="231" t="s">
        <v>39</v>
      </c>
      <c r="C63" s="232" t="s">
        <v>40</v>
      </c>
      <c r="D63" s="63" t="s">
        <v>41</v>
      </c>
      <c r="E63" s="37" t="s">
        <v>42</v>
      </c>
      <c r="F63" s="37" t="s">
        <v>42</v>
      </c>
    </row>
    <row r="64" spans="1:6" ht="16.5" thickBot="1">
      <c r="A64" s="228"/>
      <c r="B64" s="231"/>
      <c r="C64" s="232"/>
      <c r="D64" s="38" t="s">
        <v>43</v>
      </c>
      <c r="E64" s="38" t="s">
        <v>44</v>
      </c>
      <c r="F64" s="38" t="s">
        <v>45</v>
      </c>
    </row>
    <row r="65" spans="1:6" ht="15.75">
      <c r="A65" s="1" t="s">
        <v>77</v>
      </c>
      <c r="B65" s="1" t="s">
        <v>47</v>
      </c>
      <c r="C65" s="5">
        <v>0.2</v>
      </c>
      <c r="D65" s="109">
        <f>D33</f>
        <v>1300</v>
      </c>
      <c r="E65" s="7">
        <f>D65*C65</f>
        <v>260</v>
      </c>
      <c r="F65" s="8">
        <f aca="true" t="shared" si="4" ref="F65:F70">E65/$B$20</f>
        <v>144.44444444444443</v>
      </c>
    </row>
    <row r="66" spans="1:6" ht="15.75">
      <c r="A66" s="9" t="s">
        <v>78</v>
      </c>
      <c r="B66" s="1" t="s">
        <v>47</v>
      </c>
      <c r="C66" s="5">
        <f>0.25/5</f>
        <v>0.05</v>
      </c>
      <c r="D66" s="109">
        <f>D32</f>
        <v>660</v>
      </c>
      <c r="E66" s="7">
        <f>D66*C66</f>
        <v>33</v>
      </c>
      <c r="F66" s="8">
        <f t="shared" si="4"/>
        <v>18.333333333333332</v>
      </c>
    </row>
    <row r="67" spans="1:7" ht="15.75">
      <c r="A67" s="9" t="s">
        <v>79</v>
      </c>
      <c r="B67" s="1" t="s">
        <v>47</v>
      </c>
      <c r="C67" s="5">
        <f>0.5/5</f>
        <v>0.1</v>
      </c>
      <c r="D67" s="109">
        <v>656</v>
      </c>
      <c r="E67" s="7">
        <f>D67*C67</f>
        <v>65.60000000000001</v>
      </c>
      <c r="F67" s="8">
        <f t="shared" si="4"/>
        <v>36.44444444444445</v>
      </c>
      <c r="G67">
        <v>688.12</v>
      </c>
    </row>
    <row r="68" spans="1:6" ht="15.75">
      <c r="A68" s="1" t="s">
        <v>80</v>
      </c>
      <c r="B68" s="1"/>
      <c r="C68" s="5"/>
      <c r="D68" s="14"/>
      <c r="E68" s="7">
        <f>SUM(E65:E67)</f>
        <v>358.6</v>
      </c>
      <c r="F68" s="8">
        <f t="shared" si="4"/>
        <v>199.22222222222223</v>
      </c>
    </row>
    <row r="69" spans="1:6" ht="16.5" thickBot="1">
      <c r="A69" s="1" t="s">
        <v>81</v>
      </c>
      <c r="B69" s="1" t="s">
        <v>47</v>
      </c>
      <c r="C69" s="5">
        <v>0.5</v>
      </c>
      <c r="D69" s="109">
        <f>D31</f>
        <v>87.74</v>
      </c>
      <c r="E69" s="7">
        <f>D69*C69</f>
        <v>43.87</v>
      </c>
      <c r="F69" s="8">
        <f t="shared" si="4"/>
        <v>24.37222222222222</v>
      </c>
    </row>
    <row r="70" spans="1:6" ht="16.5" thickBot="1">
      <c r="A70" s="246" t="s">
        <v>126</v>
      </c>
      <c r="B70" s="247"/>
      <c r="C70" s="247"/>
      <c r="D70" s="248"/>
      <c r="E70" s="39">
        <f>E68*B11+E69</f>
        <v>2195.4700000000003</v>
      </c>
      <c r="F70" s="40">
        <f t="shared" si="4"/>
        <v>1219.7055555555557</v>
      </c>
    </row>
    <row r="71" spans="1:6" ht="16.5" thickTop="1">
      <c r="A71" s="229" t="s">
        <v>83</v>
      </c>
      <c r="B71" s="231" t="s">
        <v>39</v>
      </c>
      <c r="C71" s="232" t="s">
        <v>40</v>
      </c>
      <c r="D71" s="63" t="s">
        <v>41</v>
      </c>
      <c r="E71" s="37" t="s">
        <v>42</v>
      </c>
      <c r="F71" s="37" t="s">
        <v>42</v>
      </c>
    </row>
    <row r="72" spans="1:6" ht="16.5" thickBot="1">
      <c r="A72" s="230"/>
      <c r="B72" s="231"/>
      <c r="C72" s="232"/>
      <c r="D72" s="38" t="s">
        <v>43</v>
      </c>
      <c r="E72" s="38" t="s">
        <v>44</v>
      </c>
      <c r="F72" s="38" t="s">
        <v>45</v>
      </c>
    </row>
    <row r="73" spans="1:6" ht="15.75">
      <c r="A73" s="15" t="s">
        <v>84</v>
      </c>
      <c r="B73" s="2" t="s">
        <v>61</v>
      </c>
      <c r="C73" s="16">
        <v>0.3</v>
      </c>
      <c r="D73" s="17">
        <v>16.01</v>
      </c>
      <c r="E73" s="7">
        <f>D73*C73</f>
        <v>4.803</v>
      </c>
      <c r="F73" s="8">
        <f aca="true" t="shared" si="5" ref="F73:F79">E73/$B$20</f>
        <v>2.6683333333333334</v>
      </c>
    </row>
    <row r="74" spans="1:6" ht="15.75">
      <c r="A74" s="15" t="s">
        <v>85</v>
      </c>
      <c r="B74" s="2" t="s">
        <v>61</v>
      </c>
      <c r="C74" s="16">
        <v>0.3</v>
      </c>
      <c r="D74" s="17">
        <v>16.01</v>
      </c>
      <c r="E74" s="7">
        <f>D74*C74</f>
        <v>4.803</v>
      </c>
      <c r="F74" s="8">
        <f t="shared" si="5"/>
        <v>2.6683333333333334</v>
      </c>
    </row>
    <row r="75" spans="1:6" ht="15.75">
      <c r="A75" s="15" t="s">
        <v>86</v>
      </c>
      <c r="B75" s="2" t="s">
        <v>61</v>
      </c>
      <c r="C75" s="16">
        <v>0.3</v>
      </c>
      <c r="D75" s="17">
        <v>16.01</v>
      </c>
      <c r="E75" s="7">
        <f>D75*C75</f>
        <v>4.803</v>
      </c>
      <c r="F75" s="8">
        <f t="shared" si="5"/>
        <v>2.6683333333333334</v>
      </c>
    </row>
    <row r="76" spans="1:6" ht="15.75">
      <c r="A76" s="1" t="s">
        <v>80</v>
      </c>
      <c r="B76" s="1"/>
      <c r="C76" s="5"/>
      <c r="D76" s="14"/>
      <c r="E76" s="7">
        <f>SUM(E73:E75)</f>
        <v>14.408999999999999</v>
      </c>
      <c r="F76" s="8">
        <f t="shared" si="5"/>
        <v>8.004999999999999</v>
      </c>
    </row>
    <row r="77" spans="1:6" ht="15.75">
      <c r="A77" s="15" t="s">
        <v>87</v>
      </c>
      <c r="B77" s="2" t="s">
        <v>61</v>
      </c>
      <c r="C77" s="16">
        <v>0.3</v>
      </c>
      <c r="D77" s="17">
        <v>16.01</v>
      </c>
      <c r="E77" s="7">
        <f>D77*C77</f>
        <v>4.803</v>
      </c>
      <c r="F77" s="8">
        <f t="shared" si="5"/>
        <v>2.6683333333333334</v>
      </c>
    </row>
    <row r="78" spans="1:6" ht="16.5" thickBot="1">
      <c r="A78" s="3" t="s">
        <v>58</v>
      </c>
      <c r="B78" s="3"/>
      <c r="C78" s="13"/>
      <c r="D78" s="3"/>
      <c r="E78" s="18">
        <f>E76*B11+E77</f>
        <v>91.25699999999999</v>
      </c>
      <c r="F78" s="19">
        <f t="shared" si="5"/>
        <v>50.69833333333332</v>
      </c>
    </row>
    <row r="79" spans="1:6" ht="17.25" thickBot="1" thickTop="1">
      <c r="A79" s="46" t="s">
        <v>121</v>
      </c>
      <c r="B79" s="47"/>
      <c r="C79" s="48"/>
      <c r="D79" s="49"/>
      <c r="E79" s="50">
        <f>E78+E70</f>
        <v>2286.7270000000003</v>
      </c>
      <c r="F79" s="51">
        <f t="shared" si="5"/>
        <v>1270.403888888889</v>
      </c>
    </row>
    <row r="80" spans="1:6" ht="16.5" thickTop="1">
      <c r="A80" s="20"/>
      <c r="B80" s="2"/>
      <c r="C80" s="16"/>
      <c r="D80" s="17"/>
      <c r="E80" s="21"/>
      <c r="F80" s="22"/>
    </row>
    <row r="81" spans="1:6" ht="16.5" thickBot="1">
      <c r="A81" s="233" t="s">
        <v>88</v>
      </c>
      <c r="B81" s="233"/>
      <c r="C81" s="233"/>
      <c r="D81" s="233"/>
      <c r="E81" s="233"/>
      <c r="F81" s="233"/>
    </row>
    <row r="82" spans="1:6" ht="16.5" thickTop="1">
      <c r="A82" s="227" t="s">
        <v>38</v>
      </c>
      <c r="B82" s="231" t="s">
        <v>39</v>
      </c>
      <c r="C82" s="232" t="s">
        <v>40</v>
      </c>
      <c r="D82" s="63" t="s">
        <v>41</v>
      </c>
      <c r="E82" s="37" t="s">
        <v>42</v>
      </c>
      <c r="F82" s="37" t="s">
        <v>42</v>
      </c>
    </row>
    <row r="83" spans="1:6" ht="16.5" thickBot="1">
      <c r="A83" s="228"/>
      <c r="B83" s="231"/>
      <c r="C83" s="232"/>
      <c r="D83" s="38" t="s">
        <v>43</v>
      </c>
      <c r="E83" s="38" t="s">
        <v>44</v>
      </c>
      <c r="F83" s="38" t="s">
        <v>45</v>
      </c>
    </row>
    <row r="84" spans="1:6" ht="15.75">
      <c r="A84" s="23" t="s">
        <v>89</v>
      </c>
      <c r="B84" s="1" t="s">
        <v>61</v>
      </c>
      <c r="C84" s="5">
        <v>1</v>
      </c>
      <c r="D84" s="6">
        <f>'[1]pré-secado'!F80</f>
        <v>25.93</v>
      </c>
      <c r="E84" s="7">
        <f>D84*C84</f>
        <v>25.93</v>
      </c>
      <c r="F84" s="8">
        <f aca="true" t="shared" si="6" ref="F84:F90">E84/$B$20</f>
        <v>14.405555555555555</v>
      </c>
    </row>
    <row r="85" spans="1:6" ht="15.75">
      <c r="A85" s="23" t="s">
        <v>90</v>
      </c>
      <c r="B85" s="1" t="s">
        <v>61</v>
      </c>
      <c r="C85" s="5">
        <v>3</v>
      </c>
      <c r="D85" s="6">
        <f>'[1]pré-secado'!F81</f>
        <v>17.93</v>
      </c>
      <c r="E85" s="7">
        <f>D85*C85</f>
        <v>53.79</v>
      </c>
      <c r="F85" s="8">
        <f t="shared" si="6"/>
        <v>29.883333333333333</v>
      </c>
    </row>
    <row r="86" spans="1:6" ht="15.75">
      <c r="A86" s="23" t="s">
        <v>91</v>
      </c>
      <c r="B86" s="1" t="s">
        <v>61</v>
      </c>
      <c r="C86" s="5">
        <v>1.5</v>
      </c>
      <c r="D86" s="6">
        <f>'[1]pré-secado'!F84</f>
        <v>20</v>
      </c>
      <c r="E86" s="7">
        <f>D86*C86</f>
        <v>30</v>
      </c>
      <c r="F86" s="8">
        <f t="shared" si="6"/>
        <v>16.666666666666668</v>
      </c>
    </row>
    <row r="87" spans="1:6" ht="15.75">
      <c r="A87" s="23" t="s">
        <v>92</v>
      </c>
      <c r="B87" s="1" t="s">
        <v>61</v>
      </c>
      <c r="C87" s="5">
        <v>1</v>
      </c>
      <c r="D87" s="6">
        <v>23.16</v>
      </c>
      <c r="E87" s="7">
        <f>D87*C87</f>
        <v>23.16</v>
      </c>
      <c r="F87" s="8">
        <f t="shared" si="6"/>
        <v>12.866666666666667</v>
      </c>
    </row>
    <row r="88" spans="1:6" ht="15.75">
      <c r="A88" s="24" t="s">
        <v>93</v>
      </c>
      <c r="B88" s="2" t="s">
        <v>61</v>
      </c>
      <c r="C88" s="16">
        <v>1.5</v>
      </c>
      <c r="D88" s="17">
        <f>'[1]pré-secado'!F85</f>
        <v>33.56</v>
      </c>
      <c r="E88" s="25">
        <f>D88*C88</f>
        <v>50.34</v>
      </c>
      <c r="F88" s="26">
        <f t="shared" si="6"/>
        <v>27.96666666666667</v>
      </c>
    </row>
    <row r="89" spans="1:6" ht="15.75">
      <c r="A89" s="27" t="s">
        <v>58</v>
      </c>
      <c r="B89" s="4"/>
      <c r="C89" s="4"/>
      <c r="D89" s="10"/>
      <c r="E89" s="11">
        <f>SUM(E84:E88)</f>
        <v>183.22</v>
      </c>
      <c r="F89" s="12">
        <f t="shared" si="6"/>
        <v>101.78888888888889</v>
      </c>
    </row>
    <row r="90" spans="1:6" ht="16.5" thickBot="1">
      <c r="A90" s="52" t="s">
        <v>122</v>
      </c>
      <c r="B90" s="53"/>
      <c r="C90" s="53"/>
      <c r="D90" s="54"/>
      <c r="E90" s="55">
        <f>SUM(E84:E88)*(B11+B12)</f>
        <v>1465.76</v>
      </c>
      <c r="F90" s="56">
        <f t="shared" si="6"/>
        <v>814.3111111111111</v>
      </c>
    </row>
    <row r="91" spans="1:6" ht="17.25" thickBot="1" thickTop="1">
      <c r="A91" s="1"/>
      <c r="B91" s="1"/>
      <c r="C91" s="1"/>
      <c r="D91" s="14"/>
      <c r="E91" s="1"/>
      <c r="F91" s="1"/>
    </row>
    <row r="92" spans="1:6" ht="21.75" thickBot="1">
      <c r="A92" s="234" t="s">
        <v>94</v>
      </c>
      <c r="B92" s="235"/>
      <c r="C92" s="235"/>
      <c r="D92" s="235"/>
      <c r="E92" s="235"/>
      <c r="F92" s="236"/>
    </row>
    <row r="93" spans="1:6" ht="16.5" thickBot="1">
      <c r="A93" s="65" t="s">
        <v>95</v>
      </c>
      <c r="B93" s="62" t="s">
        <v>96</v>
      </c>
      <c r="C93" s="62" t="s">
        <v>97</v>
      </c>
      <c r="D93" s="62" t="s">
        <v>98</v>
      </c>
      <c r="E93" s="67" t="s">
        <v>99</v>
      </c>
      <c r="F93" s="68" t="s">
        <v>12</v>
      </c>
    </row>
    <row r="94" spans="1:6" ht="15.75">
      <c r="A94" s="66" t="s">
        <v>100</v>
      </c>
      <c r="B94" s="69">
        <f>SUM(B95:B97)</f>
        <v>2879.4085</v>
      </c>
      <c r="C94" s="69">
        <f>B94</f>
        <v>2879.4085</v>
      </c>
      <c r="D94" s="69">
        <f>C94/$B$23</f>
        <v>10.543288699494951</v>
      </c>
      <c r="E94" s="64">
        <f>C94/$B$24</f>
        <v>12.118722643097643</v>
      </c>
      <c r="F94" s="71">
        <f>E94/E$102</f>
        <v>0.0712649404196142</v>
      </c>
    </row>
    <row r="95" spans="1:6" ht="15.75">
      <c r="A95" s="28" t="s">
        <v>101</v>
      </c>
      <c r="B95" s="33">
        <f>E40</f>
        <v>2202.33</v>
      </c>
      <c r="C95" s="30">
        <f>B95</f>
        <v>2202.33</v>
      </c>
      <c r="D95" s="30">
        <f aca="true" t="shared" si="7" ref="D95:D101">C95/$B$23</f>
        <v>8.064087121212122</v>
      </c>
      <c r="E95" s="33">
        <f aca="true" t="shared" si="8" ref="E95:E101">C95/$B$24</f>
        <v>9.269065656565656</v>
      </c>
      <c r="F95" s="70">
        <f aca="true" t="shared" si="9" ref="F95:F101">E95/E$102</f>
        <v>0.05450734629502169</v>
      </c>
    </row>
    <row r="96" spans="1:6" ht="15.75">
      <c r="A96" s="28" t="s">
        <v>102</v>
      </c>
      <c r="B96" s="30">
        <f>E46</f>
        <v>95.43700000000001</v>
      </c>
      <c r="C96" s="30">
        <f>B96</f>
        <v>95.43700000000001</v>
      </c>
      <c r="D96" s="30">
        <f t="shared" si="7"/>
        <v>0.3494536616161617</v>
      </c>
      <c r="E96" s="33">
        <f t="shared" si="8"/>
        <v>0.4016708754208755</v>
      </c>
      <c r="F96" s="70">
        <f t="shared" si="9"/>
        <v>0.002362051830723818</v>
      </c>
    </row>
    <row r="97" spans="1:6" ht="15.75">
      <c r="A97" s="28" t="s">
        <v>103</v>
      </c>
      <c r="B97" s="30">
        <f>E59</f>
        <v>581.6415000000001</v>
      </c>
      <c r="C97" s="30">
        <f>B97</f>
        <v>581.6415000000001</v>
      </c>
      <c r="D97" s="30">
        <f t="shared" si="7"/>
        <v>2.129747916666667</v>
      </c>
      <c r="E97" s="33">
        <f t="shared" si="8"/>
        <v>2.4479861111111116</v>
      </c>
      <c r="F97" s="70">
        <f t="shared" si="9"/>
        <v>0.014395542293868706</v>
      </c>
    </row>
    <row r="98" spans="1:6" ht="15.75">
      <c r="A98" s="66" t="s">
        <v>104</v>
      </c>
      <c r="B98" s="69">
        <f>SUM(B99:B100)</f>
        <v>2286.7270000000003</v>
      </c>
      <c r="C98" s="69">
        <f>B98*10</f>
        <v>22867.270000000004</v>
      </c>
      <c r="D98" s="69">
        <f t="shared" si="7"/>
        <v>83.73116540404042</v>
      </c>
      <c r="E98" s="64">
        <f t="shared" si="8"/>
        <v>96.24271885521887</v>
      </c>
      <c r="F98" s="71">
        <f t="shared" si="9"/>
        <v>0.5659615973590519</v>
      </c>
    </row>
    <row r="99" spans="1:6" ht="15.75">
      <c r="A99" s="28" t="s">
        <v>105</v>
      </c>
      <c r="B99" s="30">
        <f>E70</f>
        <v>2195.4700000000003</v>
      </c>
      <c r="C99" s="30">
        <f>B99*10</f>
        <v>21954.700000000004</v>
      </c>
      <c r="D99" s="30">
        <f t="shared" si="7"/>
        <v>80.38968434343437</v>
      </c>
      <c r="E99" s="33">
        <f t="shared" si="8"/>
        <v>92.40193602693604</v>
      </c>
      <c r="F99" s="70">
        <f t="shared" si="9"/>
        <v>0.5433756229553759</v>
      </c>
    </row>
    <row r="100" spans="1:6" ht="15.75">
      <c r="A100" s="28" t="s">
        <v>106</v>
      </c>
      <c r="B100" s="30">
        <f>E78</f>
        <v>91.25699999999999</v>
      </c>
      <c r="C100" s="30">
        <f>B100*10</f>
        <v>912.5699999999999</v>
      </c>
      <c r="D100" s="30">
        <f t="shared" si="7"/>
        <v>3.341481060606061</v>
      </c>
      <c r="E100" s="33">
        <f t="shared" si="8"/>
        <v>3.840782828282828</v>
      </c>
      <c r="F100" s="70">
        <f t="shared" si="9"/>
        <v>0.02258597440367608</v>
      </c>
    </row>
    <row r="101" spans="1:6" ht="16.5" thickBot="1">
      <c r="A101" s="66" t="s">
        <v>107</v>
      </c>
      <c r="B101" s="72">
        <f>E90</f>
        <v>1465.76</v>
      </c>
      <c r="C101" s="72">
        <f>B101*10</f>
        <v>14657.6</v>
      </c>
      <c r="D101" s="72">
        <f t="shared" si="7"/>
        <v>53.67050505050506</v>
      </c>
      <c r="E101" s="73">
        <f t="shared" si="8"/>
        <v>61.690235690235696</v>
      </c>
      <c r="F101" s="74">
        <f t="shared" si="9"/>
        <v>0.3627734622213338</v>
      </c>
    </row>
    <row r="102" spans="1:6" ht="19.5" thickBot="1">
      <c r="A102" s="35" t="s">
        <v>108</v>
      </c>
      <c r="B102" s="75">
        <f>SUM(B94+B98+B101)</f>
        <v>6631.8955000000005</v>
      </c>
      <c r="C102" s="76">
        <f>SUM(C94+C98+C101)</f>
        <v>40404.27850000001</v>
      </c>
      <c r="D102" s="77">
        <f>SUM(D94+D98+D101)</f>
        <v>147.94495915404042</v>
      </c>
      <c r="E102" s="76">
        <f>SUM(E94+E98+E101)</f>
        <v>170.05167718855222</v>
      </c>
      <c r="F102" s="78" t="s">
        <v>109</v>
      </c>
    </row>
    <row r="103" spans="1:6" ht="16.5" thickBot="1">
      <c r="A103" s="1"/>
      <c r="B103" s="1"/>
      <c r="C103" s="1"/>
      <c r="D103" s="1"/>
      <c r="E103" s="7"/>
      <c r="F103" s="1"/>
    </row>
    <row r="104" spans="1:6" ht="19.5" thickBot="1">
      <c r="A104" s="237" t="s">
        <v>94</v>
      </c>
      <c r="B104" s="238"/>
      <c r="C104" s="238"/>
      <c r="D104" s="238"/>
      <c r="E104" s="238"/>
      <c r="F104" s="239"/>
    </row>
    <row r="105" spans="1:6" ht="16.5" thickBot="1">
      <c r="A105" s="65" t="s">
        <v>95</v>
      </c>
      <c r="B105" s="62" t="s">
        <v>110</v>
      </c>
      <c r="C105" s="62" t="s">
        <v>111</v>
      </c>
      <c r="D105" s="62" t="s">
        <v>112</v>
      </c>
      <c r="E105" s="67" t="s">
        <v>113</v>
      </c>
      <c r="F105" s="80" t="s">
        <v>114</v>
      </c>
    </row>
    <row r="106" spans="1:6" ht="15.75" customHeight="1">
      <c r="A106" s="66" t="s">
        <v>100</v>
      </c>
      <c r="B106" s="81">
        <f aca="true" t="shared" si="10" ref="B106:E114">B94/$B$20</f>
        <v>1599.671388888889</v>
      </c>
      <c r="C106" s="81">
        <f t="shared" si="10"/>
        <v>1599.671388888889</v>
      </c>
      <c r="D106" s="81">
        <f t="shared" si="10"/>
        <v>5.857382610830529</v>
      </c>
      <c r="E106" s="81">
        <f t="shared" si="10"/>
        <v>6.732623690609802</v>
      </c>
      <c r="F106" s="81">
        <f aca="true" t="shared" si="11" ref="F106:F114">G94/$B$20</f>
        <v>0</v>
      </c>
    </row>
    <row r="107" spans="1:6" ht="16.5" customHeight="1">
      <c r="A107" s="79" t="s">
        <v>101</v>
      </c>
      <c r="B107" s="82">
        <f t="shared" si="10"/>
        <v>1223.5166666666667</v>
      </c>
      <c r="C107" s="82">
        <f t="shared" si="10"/>
        <v>1223.5166666666667</v>
      </c>
      <c r="D107" s="82">
        <f t="shared" si="10"/>
        <v>4.480048400673401</v>
      </c>
      <c r="E107" s="82">
        <f t="shared" si="10"/>
        <v>5.149480920314254</v>
      </c>
      <c r="F107" s="82">
        <f t="shared" si="11"/>
        <v>0</v>
      </c>
    </row>
    <row r="108" spans="1:6" ht="15.75">
      <c r="A108" s="79" t="s">
        <v>102</v>
      </c>
      <c r="B108" s="82">
        <f t="shared" si="10"/>
        <v>53.02055555555556</v>
      </c>
      <c r="C108" s="82">
        <f t="shared" si="10"/>
        <v>53.02055555555556</v>
      </c>
      <c r="D108" s="82">
        <f t="shared" si="10"/>
        <v>0.19414092312008982</v>
      </c>
      <c r="E108" s="82">
        <f t="shared" si="10"/>
        <v>0.22315048634493082</v>
      </c>
      <c r="F108" s="82">
        <f t="shared" si="11"/>
        <v>0</v>
      </c>
    </row>
    <row r="109" spans="1:6" ht="15.75">
      <c r="A109" s="79" t="s">
        <v>103</v>
      </c>
      <c r="B109" s="82">
        <f t="shared" si="10"/>
        <v>323.1341666666667</v>
      </c>
      <c r="C109" s="82">
        <f t="shared" si="10"/>
        <v>323.1341666666667</v>
      </c>
      <c r="D109" s="82">
        <f t="shared" si="10"/>
        <v>1.1831932870370372</v>
      </c>
      <c r="E109" s="82">
        <f t="shared" si="10"/>
        <v>1.3599922839506176</v>
      </c>
      <c r="F109" s="82">
        <f t="shared" si="11"/>
        <v>0</v>
      </c>
    </row>
    <row r="110" spans="1:6" ht="15.75">
      <c r="A110" s="66" t="s">
        <v>104</v>
      </c>
      <c r="B110" s="81">
        <f t="shared" si="10"/>
        <v>1270.403888888889</v>
      </c>
      <c r="C110" s="81">
        <f t="shared" si="10"/>
        <v>12704.03888888889</v>
      </c>
      <c r="D110" s="81">
        <f t="shared" si="10"/>
        <v>46.51731411335579</v>
      </c>
      <c r="E110" s="81">
        <f t="shared" si="10"/>
        <v>53.46817714178826</v>
      </c>
      <c r="F110" s="81">
        <f t="shared" si="11"/>
        <v>0</v>
      </c>
    </row>
    <row r="111" spans="1:6" ht="15.75">
      <c r="A111" s="79" t="s">
        <v>105</v>
      </c>
      <c r="B111" s="82">
        <f t="shared" si="10"/>
        <v>1219.7055555555557</v>
      </c>
      <c r="C111" s="82">
        <f t="shared" si="10"/>
        <v>12197.055555555558</v>
      </c>
      <c r="D111" s="82">
        <f t="shared" si="10"/>
        <v>44.66093574635243</v>
      </c>
      <c r="E111" s="82">
        <f t="shared" si="10"/>
        <v>51.33440890385336</v>
      </c>
      <c r="F111" s="82">
        <f t="shared" si="11"/>
        <v>0</v>
      </c>
    </row>
    <row r="112" spans="1:6" ht="15.75">
      <c r="A112" s="79" t="s">
        <v>106</v>
      </c>
      <c r="B112" s="82">
        <f t="shared" si="10"/>
        <v>50.69833333333332</v>
      </c>
      <c r="C112" s="82">
        <f t="shared" si="10"/>
        <v>506.9833333333333</v>
      </c>
      <c r="D112" s="82">
        <f t="shared" si="10"/>
        <v>1.8563783670033671</v>
      </c>
      <c r="E112" s="82">
        <f t="shared" si="10"/>
        <v>2.1337682379349046</v>
      </c>
      <c r="F112" s="82">
        <f t="shared" si="11"/>
        <v>0</v>
      </c>
    </row>
    <row r="113" spans="1:6" ht="16.5" thickBot="1">
      <c r="A113" s="66" t="s">
        <v>107</v>
      </c>
      <c r="B113" s="83">
        <f t="shared" si="10"/>
        <v>814.3111111111111</v>
      </c>
      <c r="C113" s="83">
        <f t="shared" si="10"/>
        <v>8143.111111111111</v>
      </c>
      <c r="D113" s="83">
        <f t="shared" si="10"/>
        <v>29.816947250280585</v>
      </c>
      <c r="E113" s="83">
        <f t="shared" si="10"/>
        <v>34.27235316124205</v>
      </c>
      <c r="F113" s="83">
        <f t="shared" si="11"/>
        <v>0</v>
      </c>
    </row>
    <row r="114" spans="1:6" ht="19.5" thickBot="1">
      <c r="A114" s="84" t="s">
        <v>108</v>
      </c>
      <c r="B114" s="86">
        <f t="shared" si="10"/>
        <v>3684.386388888889</v>
      </c>
      <c r="C114" s="87">
        <f t="shared" si="10"/>
        <v>22446.821388888893</v>
      </c>
      <c r="D114" s="86">
        <f t="shared" si="10"/>
        <v>82.1916439744669</v>
      </c>
      <c r="E114" s="88">
        <f t="shared" si="10"/>
        <v>94.47315399364012</v>
      </c>
      <c r="F114" s="85">
        <f t="shared" si="11"/>
        <v>0</v>
      </c>
    </row>
    <row r="115" spans="1:6" ht="15.75" customHeight="1">
      <c r="A115" s="240" t="s">
        <v>127</v>
      </c>
      <c r="B115" s="240"/>
      <c r="C115" s="240"/>
      <c r="D115" s="240"/>
      <c r="E115" s="240"/>
      <c r="F115" s="240"/>
    </row>
    <row r="116" spans="1:6" ht="15.75" customHeight="1">
      <c r="A116" s="241" t="s">
        <v>128</v>
      </c>
      <c r="B116" s="241"/>
      <c r="C116" s="241"/>
      <c r="D116" s="241"/>
      <c r="E116" s="241"/>
      <c r="F116" s="241"/>
    </row>
  </sheetData>
  <sheetProtection/>
  <mergeCells count="38">
    <mergeCell ref="G1:Q26"/>
    <mergeCell ref="A1:F2"/>
    <mergeCell ref="A29:A30"/>
    <mergeCell ref="B29:B30"/>
    <mergeCell ref="C29:C30"/>
    <mergeCell ref="A28:F28"/>
    <mergeCell ref="B3:C3"/>
    <mergeCell ref="B4:C4"/>
    <mergeCell ref="B5:C5"/>
    <mergeCell ref="B6:C6"/>
    <mergeCell ref="A40:D40"/>
    <mergeCell ref="B41:B42"/>
    <mergeCell ref="C41:C42"/>
    <mergeCell ref="A41:A42"/>
    <mergeCell ref="D3:F26"/>
    <mergeCell ref="A27:P27"/>
    <mergeCell ref="C63:C64"/>
    <mergeCell ref="A61:F61"/>
    <mergeCell ref="A70:D70"/>
    <mergeCell ref="A46:D46"/>
    <mergeCell ref="A60:D60"/>
    <mergeCell ref="A62:F62"/>
    <mergeCell ref="A104:F104"/>
    <mergeCell ref="A115:F115"/>
    <mergeCell ref="A116:F116"/>
    <mergeCell ref="B82:B83"/>
    <mergeCell ref="C82:C83"/>
    <mergeCell ref="A47:A48"/>
    <mergeCell ref="B47:B48"/>
    <mergeCell ref="C47:C48"/>
    <mergeCell ref="A63:A64"/>
    <mergeCell ref="B63:B64"/>
    <mergeCell ref="A82:A83"/>
    <mergeCell ref="A71:A72"/>
    <mergeCell ref="B71:B72"/>
    <mergeCell ref="C71:C72"/>
    <mergeCell ref="A81:F81"/>
    <mergeCell ref="A92:F9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3" max="3" width="21.421875" style="0" customWidth="1"/>
    <col min="4" max="4" width="17.421875" style="0" customWidth="1"/>
    <col min="5" max="5" width="16.28125" style="0" customWidth="1"/>
    <col min="6" max="6" width="17.7109375" style="0" customWidth="1"/>
    <col min="7" max="7" width="15.421875" style="0" customWidth="1"/>
    <col min="8" max="8" width="13.421875" style="0" customWidth="1"/>
    <col min="9" max="9" width="12.57421875" style="0" customWidth="1"/>
    <col min="10" max="10" width="14.57421875" style="0" customWidth="1"/>
    <col min="11" max="11" width="4.28125" style="0" customWidth="1"/>
  </cols>
  <sheetData>
    <row r="1" spans="1:10" ht="15.75">
      <c r="A1" s="271" t="s">
        <v>0</v>
      </c>
      <c r="B1" s="272"/>
      <c r="C1" s="272"/>
      <c r="D1" s="272"/>
      <c r="E1" s="272"/>
      <c r="F1" s="272"/>
      <c r="G1" s="272"/>
      <c r="H1" s="273"/>
      <c r="I1" s="184"/>
      <c r="J1" s="116"/>
    </row>
    <row r="2" spans="1:10" ht="18" customHeight="1" thickBot="1">
      <c r="A2" s="414"/>
      <c r="B2" s="415"/>
      <c r="C2" s="415"/>
      <c r="D2" s="275"/>
      <c r="E2" s="275"/>
      <c r="F2" s="275"/>
      <c r="G2" s="275"/>
      <c r="H2" s="276"/>
      <c r="I2" s="184"/>
      <c r="J2" s="116"/>
    </row>
    <row r="3" spans="1:10" ht="16.5" thickBot="1">
      <c r="A3" s="416" t="s">
        <v>1</v>
      </c>
      <c r="B3" s="417"/>
      <c r="C3" s="418"/>
      <c r="D3" s="419" t="s">
        <v>2</v>
      </c>
      <c r="E3" s="420"/>
      <c r="F3" s="420"/>
      <c r="G3" s="421"/>
      <c r="H3" s="215"/>
      <c r="I3" s="184"/>
      <c r="J3" s="116"/>
    </row>
    <row r="4" spans="1:10" ht="16.5" thickBot="1">
      <c r="A4" s="405" t="s">
        <v>3</v>
      </c>
      <c r="B4" s="406"/>
      <c r="C4" s="407"/>
      <c r="D4" s="422" t="s">
        <v>4</v>
      </c>
      <c r="E4" s="423"/>
      <c r="F4" s="423"/>
      <c r="G4" s="424"/>
      <c r="H4" s="215"/>
      <c r="I4" s="184"/>
      <c r="J4" s="116"/>
    </row>
    <row r="5" spans="1:10" ht="16.5" thickBot="1">
      <c r="A5" s="408" t="s">
        <v>5</v>
      </c>
      <c r="B5" s="409"/>
      <c r="C5" s="410"/>
      <c r="D5" s="425" t="s">
        <v>123</v>
      </c>
      <c r="E5" s="426"/>
      <c r="F5" s="426"/>
      <c r="G5" s="427"/>
      <c r="H5" s="215"/>
      <c r="I5" s="184"/>
      <c r="J5" s="116"/>
    </row>
    <row r="6" spans="1:10" ht="16.5" thickBot="1">
      <c r="A6" s="408" t="s">
        <v>7</v>
      </c>
      <c r="B6" s="409"/>
      <c r="C6" s="410"/>
      <c r="D6" s="428" t="s">
        <v>136</v>
      </c>
      <c r="E6" s="429"/>
      <c r="F6" s="429"/>
      <c r="G6" s="430"/>
      <c r="H6" s="215"/>
      <c r="I6" s="184"/>
      <c r="J6" s="116"/>
    </row>
    <row r="7" spans="1:10" ht="16.5" thickBot="1">
      <c r="A7" s="408" t="s">
        <v>125</v>
      </c>
      <c r="B7" s="409"/>
      <c r="C7" s="410"/>
      <c r="D7" s="150">
        <v>22</v>
      </c>
      <c r="E7" s="298" t="s">
        <v>9</v>
      </c>
      <c r="F7" s="298"/>
      <c r="G7" s="299"/>
      <c r="H7" s="215"/>
      <c r="I7" s="184"/>
      <c r="J7" s="116"/>
    </row>
    <row r="8" spans="1:10" ht="16.5" thickBot="1">
      <c r="A8" s="408" t="s">
        <v>10</v>
      </c>
      <c r="B8" s="409"/>
      <c r="C8" s="410"/>
      <c r="D8" s="224">
        <f>D7/D9</f>
        <v>110</v>
      </c>
      <c r="E8" s="284" t="s">
        <v>9</v>
      </c>
      <c r="F8" s="284"/>
      <c r="G8" s="285"/>
      <c r="H8" s="215"/>
      <c r="I8" s="184"/>
      <c r="J8" s="116"/>
    </row>
    <row r="9" spans="1:10" ht="16.5" thickBot="1">
      <c r="A9" s="408" t="s">
        <v>11</v>
      </c>
      <c r="B9" s="409"/>
      <c r="C9" s="410"/>
      <c r="D9" s="209">
        <v>0.2</v>
      </c>
      <c r="E9" s="294"/>
      <c r="F9" s="294"/>
      <c r="G9" s="295"/>
      <c r="H9" s="215"/>
      <c r="I9" s="184"/>
      <c r="J9" s="116"/>
    </row>
    <row r="10" spans="1:10" ht="16.5" thickBot="1">
      <c r="A10" s="408" t="s">
        <v>13</v>
      </c>
      <c r="B10" s="409"/>
      <c r="C10" s="410"/>
      <c r="D10" s="226">
        <v>0.28</v>
      </c>
      <c r="E10" s="296"/>
      <c r="F10" s="296"/>
      <c r="G10" s="297"/>
      <c r="H10" s="215"/>
      <c r="I10" s="184"/>
      <c r="J10" s="116"/>
    </row>
    <row r="11" spans="1:10" ht="16.5" thickBot="1">
      <c r="A11" s="408" t="s">
        <v>14</v>
      </c>
      <c r="B11" s="409"/>
      <c r="C11" s="410"/>
      <c r="D11" s="150">
        <v>6</v>
      </c>
      <c r="E11" s="298" t="s">
        <v>15</v>
      </c>
      <c r="F11" s="298"/>
      <c r="G11" s="299"/>
      <c r="H11" s="215"/>
      <c r="I11" s="184"/>
      <c r="J11" s="116"/>
    </row>
    <row r="12" spans="1:10" ht="16.5" thickBot="1">
      <c r="A12" s="411" t="s">
        <v>16</v>
      </c>
      <c r="B12" s="412"/>
      <c r="C12" s="413"/>
      <c r="D12" s="225">
        <v>2</v>
      </c>
      <c r="E12" s="292" t="s">
        <v>15</v>
      </c>
      <c r="F12" s="292"/>
      <c r="G12" s="293"/>
      <c r="H12" s="215"/>
      <c r="I12" s="184"/>
      <c r="J12" s="116"/>
    </row>
    <row r="13" spans="1:10" ht="16.5" thickBot="1">
      <c r="A13" s="405" t="s">
        <v>17</v>
      </c>
      <c r="B13" s="406"/>
      <c r="C13" s="407"/>
      <c r="D13" s="114">
        <v>0</v>
      </c>
      <c r="E13" s="286" t="s">
        <v>135</v>
      </c>
      <c r="F13" s="286"/>
      <c r="G13" s="287"/>
      <c r="H13" s="215"/>
      <c r="I13" s="184"/>
      <c r="J13" s="116"/>
    </row>
    <row r="14" spans="1:10" ht="16.5" thickBot="1">
      <c r="A14" s="405" t="s">
        <v>19</v>
      </c>
      <c r="B14" s="406"/>
      <c r="C14" s="407"/>
      <c r="D14" s="111">
        <v>10</v>
      </c>
      <c r="E14" s="288" t="s">
        <v>20</v>
      </c>
      <c r="F14" s="288"/>
      <c r="G14" s="289"/>
      <c r="H14" s="215"/>
      <c r="I14" s="184"/>
      <c r="J14" s="116"/>
    </row>
    <row r="15" spans="1:10" ht="16.5" thickBot="1">
      <c r="A15" s="405" t="s">
        <v>21</v>
      </c>
      <c r="B15" s="406"/>
      <c r="C15" s="407"/>
      <c r="D15" s="114">
        <v>1</v>
      </c>
      <c r="E15" s="286" t="s">
        <v>22</v>
      </c>
      <c r="F15" s="286"/>
      <c r="G15" s="287"/>
      <c r="H15" s="215"/>
      <c r="I15" s="184"/>
      <c r="J15" s="116"/>
    </row>
    <row r="16" spans="1:10" ht="16.5" thickBot="1">
      <c r="A16" s="405" t="s">
        <v>132</v>
      </c>
      <c r="B16" s="406"/>
      <c r="C16" s="407"/>
      <c r="D16" s="149">
        <v>13</v>
      </c>
      <c r="E16" s="284" t="s">
        <v>23</v>
      </c>
      <c r="F16" s="284"/>
      <c r="G16" s="285"/>
      <c r="H16" s="215"/>
      <c r="I16" s="184"/>
      <c r="J16" s="116"/>
    </row>
    <row r="17" spans="1:10" ht="16.5" thickBot="1">
      <c r="A17" s="405" t="s">
        <v>24</v>
      </c>
      <c r="B17" s="406"/>
      <c r="C17" s="407"/>
      <c r="D17" s="113">
        <v>0.12</v>
      </c>
      <c r="E17" s="286" t="s">
        <v>25</v>
      </c>
      <c r="F17" s="286"/>
      <c r="G17" s="287"/>
      <c r="H17" s="215"/>
      <c r="I17" s="184"/>
      <c r="J17" s="116"/>
    </row>
    <row r="18" spans="1:10" ht="16.5" thickBot="1">
      <c r="A18" s="405" t="s">
        <v>26</v>
      </c>
      <c r="B18" s="406"/>
      <c r="C18" s="407"/>
      <c r="D18" s="112">
        <v>0.58</v>
      </c>
      <c r="E18" s="288" t="s">
        <v>27</v>
      </c>
      <c r="F18" s="288"/>
      <c r="G18" s="289"/>
      <c r="H18" s="215"/>
      <c r="I18" s="184"/>
      <c r="J18" s="116"/>
    </row>
    <row r="19" spans="1:10" ht="16.5" thickBot="1">
      <c r="A19" s="405" t="s">
        <v>28</v>
      </c>
      <c r="B19" s="406"/>
      <c r="C19" s="407"/>
      <c r="D19" s="113">
        <v>0.87</v>
      </c>
      <c r="E19" s="290"/>
      <c r="F19" s="290"/>
      <c r="G19" s="291"/>
      <c r="H19" s="215"/>
      <c r="I19" s="184"/>
      <c r="J19" s="116"/>
    </row>
    <row r="20" spans="1:10" ht="16.5" thickBot="1">
      <c r="A20" s="405" t="s">
        <v>29</v>
      </c>
      <c r="B20" s="406"/>
      <c r="C20" s="407"/>
      <c r="D20" s="223">
        <v>1.8</v>
      </c>
      <c r="E20" s="280" t="s">
        <v>30</v>
      </c>
      <c r="F20" s="280"/>
      <c r="G20" s="281"/>
      <c r="H20" s="215"/>
      <c r="I20" s="184"/>
      <c r="J20" s="116"/>
    </row>
    <row r="21" spans="1:10" ht="16.5" thickBot="1">
      <c r="A21" s="405" t="s">
        <v>31</v>
      </c>
      <c r="B21" s="406"/>
      <c r="C21" s="407"/>
      <c r="D21" s="139">
        <f>D8*D14</f>
        <v>1100</v>
      </c>
      <c r="E21" s="217" t="s">
        <v>142</v>
      </c>
      <c r="F21" s="217">
        <f aca="true" t="shared" si="0" ref="F21:F26">($D$14)</f>
        <v>10</v>
      </c>
      <c r="G21" s="222" t="s">
        <v>20</v>
      </c>
      <c r="H21" s="215"/>
      <c r="I21" s="184"/>
      <c r="J21" s="116"/>
    </row>
    <row r="22" spans="1:10" ht="16.5" thickBot="1">
      <c r="A22" s="405" t="s">
        <v>32</v>
      </c>
      <c r="B22" s="406"/>
      <c r="C22" s="407"/>
      <c r="D22" s="138">
        <f>D7*D14</f>
        <v>220</v>
      </c>
      <c r="E22" s="216" t="s">
        <v>142</v>
      </c>
      <c r="F22" s="216">
        <f t="shared" si="0"/>
        <v>10</v>
      </c>
      <c r="G22" s="218" t="s">
        <v>20</v>
      </c>
      <c r="H22" s="215"/>
      <c r="I22" s="184"/>
      <c r="J22" s="116"/>
    </row>
    <row r="23" spans="1:10" ht="16.5" thickBot="1">
      <c r="A23" s="405" t="s">
        <v>33</v>
      </c>
      <c r="B23" s="406"/>
      <c r="C23" s="407"/>
      <c r="D23" s="138">
        <f>D24/D19</f>
        <v>182.0689655172414</v>
      </c>
      <c r="E23" s="216" t="s">
        <v>142</v>
      </c>
      <c r="F23" s="216">
        <f t="shared" si="0"/>
        <v>10</v>
      </c>
      <c r="G23" s="218" t="s">
        <v>20</v>
      </c>
      <c r="H23" s="215"/>
      <c r="I23" s="184"/>
      <c r="J23" s="116"/>
    </row>
    <row r="24" spans="1:10" ht="16.5" thickBot="1">
      <c r="A24" s="405" t="s">
        <v>34</v>
      </c>
      <c r="B24" s="406"/>
      <c r="C24" s="407"/>
      <c r="D24" s="138">
        <f>D22*(1-D10)</f>
        <v>158.4</v>
      </c>
      <c r="E24" s="216" t="s">
        <v>142</v>
      </c>
      <c r="F24" s="216">
        <f t="shared" si="0"/>
        <v>10</v>
      </c>
      <c r="G24" s="218" t="s">
        <v>20</v>
      </c>
      <c r="H24" s="215"/>
      <c r="I24" s="184"/>
      <c r="J24" s="116"/>
    </row>
    <row r="25" spans="1:10" ht="16.5" thickBot="1">
      <c r="A25" s="405" t="s">
        <v>35</v>
      </c>
      <c r="B25" s="406"/>
      <c r="C25" s="407"/>
      <c r="D25" s="138">
        <f>D24*D18</f>
        <v>91.872</v>
      </c>
      <c r="E25" s="216" t="s">
        <v>142</v>
      </c>
      <c r="F25" s="216">
        <f t="shared" si="0"/>
        <v>10</v>
      </c>
      <c r="G25" s="218" t="s">
        <v>20</v>
      </c>
      <c r="H25" s="215"/>
      <c r="I25" s="184"/>
      <c r="J25" s="116"/>
    </row>
    <row r="26" spans="1:10" ht="16.5" thickBot="1">
      <c r="A26" s="402" t="s">
        <v>36</v>
      </c>
      <c r="B26" s="403"/>
      <c r="C26" s="404"/>
      <c r="D26" s="219">
        <f>D24*D17</f>
        <v>19.008</v>
      </c>
      <c r="E26" s="220" t="s">
        <v>142</v>
      </c>
      <c r="F26" s="220">
        <f t="shared" si="0"/>
        <v>10</v>
      </c>
      <c r="G26" s="221" t="s">
        <v>20</v>
      </c>
      <c r="H26" s="215"/>
      <c r="I26" s="184"/>
      <c r="J26" s="116"/>
    </row>
    <row r="27" spans="1:10" ht="16.5" thickBot="1">
      <c r="A27" s="314" t="s">
        <v>139</v>
      </c>
      <c r="B27" s="314"/>
      <c r="C27" s="314"/>
      <c r="D27" s="138">
        <f>(((D24*1000)/D16)/$D$14)</f>
        <v>1218.4615384615386</v>
      </c>
      <c r="E27" s="282" t="s">
        <v>134</v>
      </c>
      <c r="F27" s="282"/>
      <c r="G27" s="283"/>
      <c r="H27" s="215"/>
      <c r="I27" s="184"/>
      <c r="J27" s="116"/>
    </row>
    <row r="28" spans="1:10" ht="16.5" thickBot="1">
      <c r="A28" s="321" t="s">
        <v>133</v>
      </c>
      <c r="B28" s="321"/>
      <c r="C28" s="321"/>
      <c r="D28" s="321"/>
      <c r="E28" s="321"/>
      <c r="F28" s="321"/>
      <c r="G28" s="321"/>
      <c r="H28" s="321"/>
      <c r="I28" s="184"/>
      <c r="J28" s="116"/>
    </row>
    <row r="29" spans="1:10" ht="16.5" thickBot="1">
      <c r="A29" s="331" t="s">
        <v>37</v>
      </c>
      <c r="B29" s="332"/>
      <c r="C29" s="332"/>
      <c r="D29" s="332"/>
      <c r="E29" s="332"/>
      <c r="F29" s="332"/>
      <c r="G29" s="332"/>
      <c r="H29" s="333"/>
      <c r="I29" s="184"/>
      <c r="J29" s="116"/>
    </row>
    <row r="30" spans="1:10" ht="15.75" customHeight="1">
      <c r="A30" s="249" t="s">
        <v>38</v>
      </c>
      <c r="B30" s="369"/>
      <c r="C30" s="369"/>
      <c r="D30" s="372" t="s">
        <v>39</v>
      </c>
      <c r="E30" s="369" t="s">
        <v>40</v>
      </c>
      <c r="F30" s="117" t="s">
        <v>41</v>
      </c>
      <c r="G30" s="115" t="s">
        <v>42</v>
      </c>
      <c r="H30" s="117" t="s">
        <v>42</v>
      </c>
      <c r="I30" s="184"/>
      <c r="J30" s="116"/>
    </row>
    <row r="31" spans="1:10" ht="16.5" customHeight="1">
      <c r="A31" s="370"/>
      <c r="B31" s="371"/>
      <c r="C31" s="371"/>
      <c r="D31" s="373"/>
      <c r="E31" s="371"/>
      <c r="F31" s="118" t="s">
        <v>43</v>
      </c>
      <c r="G31" s="110" t="s">
        <v>44</v>
      </c>
      <c r="H31" s="118" t="s">
        <v>45</v>
      </c>
      <c r="I31" s="184"/>
      <c r="J31" s="116"/>
    </row>
    <row r="32" spans="1:10" ht="15.75">
      <c r="A32" s="351" t="s">
        <v>118</v>
      </c>
      <c r="B32" s="351"/>
      <c r="C32" s="351"/>
      <c r="D32" s="151" t="s">
        <v>47</v>
      </c>
      <c r="E32" s="156">
        <v>1.5</v>
      </c>
      <c r="F32" s="157">
        <v>38.5</v>
      </c>
      <c r="G32" s="154">
        <f aca="true" t="shared" si="1" ref="G32:G42">F32*E32</f>
        <v>57.75</v>
      </c>
      <c r="H32" s="155">
        <f aca="true" t="shared" si="2" ref="H32:H43">G32/$D$20</f>
        <v>32.083333333333336</v>
      </c>
      <c r="I32" s="184"/>
      <c r="J32" s="116"/>
    </row>
    <row r="33" spans="1:10" ht="15.75">
      <c r="A33" s="346" t="s">
        <v>46</v>
      </c>
      <c r="B33" s="346"/>
      <c r="C33" s="346"/>
      <c r="D33" s="151" t="s">
        <v>47</v>
      </c>
      <c r="E33" s="156">
        <v>2</v>
      </c>
      <c r="F33" s="157">
        <v>87.74</v>
      </c>
      <c r="G33" s="154">
        <f t="shared" si="1"/>
        <v>175.48</v>
      </c>
      <c r="H33" s="155">
        <f t="shared" si="2"/>
        <v>97.48888888888888</v>
      </c>
      <c r="I33" s="184"/>
      <c r="J33" s="116"/>
    </row>
    <row r="34" spans="1:10" ht="15.75">
      <c r="A34" s="346" t="s">
        <v>48</v>
      </c>
      <c r="B34" s="346"/>
      <c r="C34" s="346"/>
      <c r="D34" s="151" t="s">
        <v>47</v>
      </c>
      <c r="E34" s="156">
        <v>0.5</v>
      </c>
      <c r="F34" s="157">
        <v>660</v>
      </c>
      <c r="G34" s="154">
        <f t="shared" si="1"/>
        <v>330</v>
      </c>
      <c r="H34" s="155">
        <f t="shared" si="2"/>
        <v>183.33333333333334</v>
      </c>
      <c r="I34" s="184"/>
      <c r="J34" s="116"/>
    </row>
    <row r="35" spans="1:10" ht="15.75">
      <c r="A35" s="345" t="s">
        <v>49</v>
      </c>
      <c r="B35" s="345"/>
      <c r="C35" s="345"/>
      <c r="D35" s="151" t="s">
        <v>47</v>
      </c>
      <c r="E35" s="156">
        <v>0.6</v>
      </c>
      <c r="F35" s="157">
        <v>1160</v>
      </c>
      <c r="G35" s="154">
        <f t="shared" si="1"/>
        <v>696</v>
      </c>
      <c r="H35" s="155">
        <f t="shared" si="2"/>
        <v>386.66666666666663</v>
      </c>
      <c r="I35" s="184"/>
      <c r="J35" s="116"/>
    </row>
    <row r="36" spans="1:10" ht="15.75">
      <c r="A36" s="345" t="s">
        <v>50</v>
      </c>
      <c r="B36" s="345"/>
      <c r="C36" s="345"/>
      <c r="D36" s="151" t="s">
        <v>47</v>
      </c>
      <c r="E36" s="156">
        <v>0.05</v>
      </c>
      <c r="F36" s="157">
        <v>800</v>
      </c>
      <c r="G36" s="154">
        <f t="shared" si="1"/>
        <v>40</v>
      </c>
      <c r="H36" s="155">
        <f t="shared" si="2"/>
        <v>22.22222222222222</v>
      </c>
      <c r="I36" s="184"/>
      <c r="J36" s="116"/>
    </row>
    <row r="37" spans="1:10" ht="15.75">
      <c r="A37" s="346" t="s">
        <v>51</v>
      </c>
      <c r="B37" s="346"/>
      <c r="C37" s="346"/>
      <c r="D37" s="151" t="s">
        <v>47</v>
      </c>
      <c r="E37" s="156">
        <v>0.3</v>
      </c>
      <c r="F37" s="157">
        <v>1290</v>
      </c>
      <c r="G37" s="154">
        <f t="shared" si="1"/>
        <v>387</v>
      </c>
      <c r="H37" s="155">
        <f t="shared" si="2"/>
        <v>215</v>
      </c>
      <c r="I37" s="184"/>
      <c r="J37" s="116"/>
    </row>
    <row r="38" spans="1:10" ht="15.75">
      <c r="A38" s="345" t="s">
        <v>52</v>
      </c>
      <c r="B38" s="345"/>
      <c r="C38" s="345"/>
      <c r="D38" s="151" t="s">
        <v>53</v>
      </c>
      <c r="E38" s="156">
        <v>1</v>
      </c>
      <c r="F38" s="157">
        <v>30</v>
      </c>
      <c r="G38" s="154">
        <f t="shared" si="1"/>
        <v>30</v>
      </c>
      <c r="H38" s="155">
        <f t="shared" si="2"/>
        <v>16.666666666666668</v>
      </c>
      <c r="I38" s="184"/>
      <c r="J38" s="116"/>
    </row>
    <row r="39" spans="1:10" ht="15.75">
      <c r="A39" s="346" t="s">
        <v>117</v>
      </c>
      <c r="B39" s="346"/>
      <c r="C39" s="346"/>
      <c r="D39" s="151" t="s">
        <v>55</v>
      </c>
      <c r="E39" s="156">
        <v>1.7</v>
      </c>
      <c r="F39" s="157">
        <v>12.7</v>
      </c>
      <c r="G39" s="154">
        <f t="shared" si="1"/>
        <v>21.59</v>
      </c>
      <c r="H39" s="155">
        <f t="shared" si="2"/>
        <v>11.994444444444444</v>
      </c>
      <c r="I39" s="184"/>
      <c r="J39" s="116"/>
    </row>
    <row r="40" spans="1:10" ht="15.75">
      <c r="A40" s="345" t="s">
        <v>54</v>
      </c>
      <c r="B40" s="345"/>
      <c r="C40" s="345"/>
      <c r="D40" s="151" t="s">
        <v>55</v>
      </c>
      <c r="E40" s="156">
        <v>3</v>
      </c>
      <c r="F40" s="157">
        <v>12</v>
      </c>
      <c r="G40" s="154">
        <f t="shared" si="1"/>
        <v>36</v>
      </c>
      <c r="H40" s="155">
        <f t="shared" si="2"/>
        <v>20</v>
      </c>
      <c r="I40" s="184"/>
      <c r="J40" s="116"/>
    </row>
    <row r="41" spans="1:10" ht="15.75">
      <c r="A41" s="345" t="s">
        <v>56</v>
      </c>
      <c r="B41" s="345"/>
      <c r="C41" s="345"/>
      <c r="D41" s="151" t="s">
        <v>23</v>
      </c>
      <c r="E41" s="156">
        <v>2.5</v>
      </c>
      <c r="F41" s="157">
        <v>11.9</v>
      </c>
      <c r="G41" s="154">
        <f t="shared" si="1"/>
        <v>29.75</v>
      </c>
      <c r="H41" s="155">
        <f t="shared" si="2"/>
        <v>16.52777777777778</v>
      </c>
      <c r="I41" s="184"/>
      <c r="J41" s="116"/>
    </row>
    <row r="42" spans="1:10" ht="15.75">
      <c r="A42" s="352" t="s">
        <v>57</v>
      </c>
      <c r="B42" s="352"/>
      <c r="C42" s="352"/>
      <c r="D42" s="119" t="s">
        <v>137</v>
      </c>
      <c r="E42" s="179">
        <v>25</v>
      </c>
      <c r="F42" s="180">
        <v>29</v>
      </c>
      <c r="G42" s="181">
        <f t="shared" si="1"/>
        <v>725</v>
      </c>
      <c r="H42" s="182">
        <f t="shared" si="2"/>
        <v>402.77777777777777</v>
      </c>
      <c r="I42" s="184"/>
      <c r="J42" s="116"/>
    </row>
    <row r="43" spans="1:10" ht="15.75">
      <c r="A43" s="347" t="s">
        <v>58</v>
      </c>
      <c r="B43" s="347"/>
      <c r="C43" s="347"/>
      <c r="D43" s="347"/>
      <c r="E43" s="347"/>
      <c r="F43" s="347"/>
      <c r="G43" s="183">
        <f>SUM(G33:G42)</f>
        <v>2470.8199999999997</v>
      </c>
      <c r="H43" s="141">
        <f t="shared" si="2"/>
        <v>1372.6777777777777</v>
      </c>
      <c r="I43" s="184"/>
      <c r="J43" s="116"/>
    </row>
    <row r="44" spans="1:10" ht="9" customHeight="1" thickBot="1">
      <c r="A44" s="321"/>
      <c r="B44" s="321"/>
      <c r="C44" s="321"/>
      <c r="D44" s="321"/>
      <c r="E44" s="321"/>
      <c r="F44" s="321"/>
      <c r="G44" s="321"/>
      <c r="H44" s="321"/>
      <c r="I44" s="184"/>
      <c r="J44" s="116"/>
    </row>
    <row r="45" spans="1:10" ht="15.75">
      <c r="A45" s="348" t="s">
        <v>59</v>
      </c>
      <c r="B45" s="349"/>
      <c r="C45" s="349"/>
      <c r="D45" s="349"/>
      <c r="E45" s="349"/>
      <c r="F45" s="349"/>
      <c r="G45" s="349"/>
      <c r="H45" s="350"/>
      <c r="I45" s="184"/>
      <c r="J45" s="116"/>
    </row>
    <row r="46" spans="1:10" ht="15.75">
      <c r="A46" s="341" t="s">
        <v>60</v>
      </c>
      <c r="B46" s="341"/>
      <c r="C46" s="341"/>
      <c r="D46" s="119" t="s">
        <v>61</v>
      </c>
      <c r="E46" s="120">
        <v>2.5</v>
      </c>
      <c r="F46" s="121">
        <v>20</v>
      </c>
      <c r="G46" s="122">
        <f>F46*E46</f>
        <v>50</v>
      </c>
      <c r="H46" s="140">
        <f>G46/$D$20</f>
        <v>27.77777777777778</v>
      </c>
      <c r="I46" s="184"/>
      <c r="J46" s="116"/>
    </row>
    <row r="47" spans="1:10" ht="15.75">
      <c r="A47" s="341" t="s">
        <v>62</v>
      </c>
      <c r="B47" s="341"/>
      <c r="C47" s="341"/>
      <c r="D47" s="119" t="s">
        <v>61</v>
      </c>
      <c r="E47" s="120">
        <v>0.3</v>
      </c>
      <c r="F47" s="121">
        <v>19</v>
      </c>
      <c r="G47" s="122">
        <f>F47*E47</f>
        <v>5.7</v>
      </c>
      <c r="H47" s="140">
        <f>G47/$D$20</f>
        <v>3.1666666666666665</v>
      </c>
      <c r="I47" s="184"/>
      <c r="J47" s="116"/>
    </row>
    <row r="48" spans="1:10" ht="15.75">
      <c r="A48" s="341" t="s">
        <v>63</v>
      </c>
      <c r="B48" s="341"/>
      <c r="C48" s="341"/>
      <c r="D48" s="119" t="s">
        <v>61</v>
      </c>
      <c r="E48" s="120">
        <v>2.2</v>
      </c>
      <c r="F48" s="121">
        <v>19</v>
      </c>
      <c r="G48" s="122">
        <f>F48*E48</f>
        <v>41.800000000000004</v>
      </c>
      <c r="H48" s="140">
        <f>G48/$D$20</f>
        <v>23.222222222222225</v>
      </c>
      <c r="I48" s="184"/>
      <c r="J48" s="116"/>
    </row>
    <row r="49" spans="1:10" ht="16.5" thickBot="1">
      <c r="A49" s="342" t="s">
        <v>58</v>
      </c>
      <c r="B49" s="343"/>
      <c r="C49" s="343"/>
      <c r="D49" s="343"/>
      <c r="E49" s="343"/>
      <c r="F49" s="344"/>
      <c r="G49" s="123">
        <f>SUM(G46:G48)</f>
        <v>97.5</v>
      </c>
      <c r="H49" s="141">
        <f>G49/$D$20</f>
        <v>54.166666666666664</v>
      </c>
      <c r="I49" s="184"/>
      <c r="J49" s="116"/>
    </row>
    <row r="50" spans="1:10" ht="12.75" customHeight="1" thickBot="1">
      <c r="A50" s="326"/>
      <c r="B50" s="321"/>
      <c r="C50" s="321"/>
      <c r="D50" s="321"/>
      <c r="E50" s="321"/>
      <c r="F50" s="321"/>
      <c r="G50" s="321"/>
      <c r="H50" s="321"/>
      <c r="I50" s="184"/>
      <c r="J50" s="116"/>
    </row>
    <row r="51" spans="1:10" ht="15.75">
      <c r="A51" s="328" t="s">
        <v>64</v>
      </c>
      <c r="B51" s="329"/>
      <c r="C51" s="329"/>
      <c r="D51" s="329"/>
      <c r="E51" s="329"/>
      <c r="F51" s="329"/>
      <c r="G51" s="329"/>
      <c r="H51" s="330"/>
      <c r="I51" s="184"/>
      <c r="J51" s="116"/>
    </row>
    <row r="52" spans="1:10" ht="15.75">
      <c r="A52" s="301" t="s">
        <v>65</v>
      </c>
      <c r="B52" s="302"/>
      <c r="C52" s="303"/>
      <c r="D52" s="119" t="s">
        <v>61</v>
      </c>
      <c r="E52" s="120">
        <v>1.33</v>
      </c>
      <c r="F52" s="121">
        <v>23</v>
      </c>
      <c r="G52" s="122">
        <f aca="true" t="shared" si="3" ref="G52:G61">F52*E52</f>
        <v>30.590000000000003</v>
      </c>
      <c r="H52" s="140">
        <f aca="true" t="shared" si="4" ref="H52:H63">G52/$D$20</f>
        <v>16.994444444444447</v>
      </c>
      <c r="I52" s="184"/>
      <c r="J52" s="116"/>
    </row>
    <row r="53" spans="1:10" ht="15.75">
      <c r="A53" s="317" t="s">
        <v>66</v>
      </c>
      <c r="B53" s="318"/>
      <c r="C53" s="319"/>
      <c r="D53" s="119" t="s">
        <v>61</v>
      </c>
      <c r="E53" s="120">
        <v>0.3</v>
      </c>
      <c r="F53" s="121">
        <v>19</v>
      </c>
      <c r="G53" s="122">
        <f>F53*E53</f>
        <v>5.7</v>
      </c>
      <c r="H53" s="140">
        <f t="shared" si="4"/>
        <v>3.1666666666666665</v>
      </c>
      <c r="I53" s="184"/>
      <c r="J53" s="116"/>
    </row>
    <row r="54" spans="1:10" ht="15.75">
      <c r="A54" s="317" t="s">
        <v>67</v>
      </c>
      <c r="B54" s="318"/>
      <c r="C54" s="319"/>
      <c r="D54" s="119" t="s">
        <v>61</v>
      </c>
      <c r="E54" s="120">
        <v>0.3</v>
      </c>
      <c r="F54" s="121">
        <v>19</v>
      </c>
      <c r="G54" s="122">
        <f>F54*E54</f>
        <v>5.7</v>
      </c>
      <c r="H54" s="140">
        <f t="shared" si="4"/>
        <v>3.1666666666666665</v>
      </c>
      <c r="I54" s="184"/>
      <c r="J54" s="116"/>
    </row>
    <row r="55" spans="1:10" ht="15.75">
      <c r="A55" s="335" t="s">
        <v>68</v>
      </c>
      <c r="B55" s="336"/>
      <c r="C55" s="337"/>
      <c r="D55" s="151" t="s">
        <v>61</v>
      </c>
      <c r="E55" s="152">
        <v>0.6</v>
      </c>
      <c r="F55" s="153">
        <v>24</v>
      </c>
      <c r="G55" s="154">
        <f t="shared" si="3"/>
        <v>14.399999999999999</v>
      </c>
      <c r="H55" s="155">
        <f t="shared" si="4"/>
        <v>7.999999999999999</v>
      </c>
      <c r="I55" s="184"/>
      <c r="J55" s="116"/>
    </row>
    <row r="56" spans="1:10" ht="15.75">
      <c r="A56" s="317" t="s">
        <v>69</v>
      </c>
      <c r="B56" s="318"/>
      <c r="C56" s="319"/>
      <c r="D56" s="119" t="s">
        <v>61</v>
      </c>
      <c r="E56" s="120">
        <v>1</v>
      </c>
      <c r="F56" s="121">
        <v>19</v>
      </c>
      <c r="G56" s="122">
        <f>F56*E56</f>
        <v>19</v>
      </c>
      <c r="H56" s="140">
        <f t="shared" si="4"/>
        <v>10.555555555555555</v>
      </c>
      <c r="I56" s="184"/>
      <c r="J56" s="116"/>
    </row>
    <row r="57" spans="1:10" ht="15.75">
      <c r="A57" s="301" t="s">
        <v>70</v>
      </c>
      <c r="B57" s="302"/>
      <c r="C57" s="303"/>
      <c r="D57" s="119" t="s">
        <v>61</v>
      </c>
      <c r="E57" s="120">
        <v>30</v>
      </c>
      <c r="F57" s="121">
        <v>5</v>
      </c>
      <c r="G57" s="122">
        <f t="shared" si="3"/>
        <v>150</v>
      </c>
      <c r="H57" s="140">
        <f t="shared" si="4"/>
        <v>83.33333333333333</v>
      </c>
      <c r="I57" s="184"/>
      <c r="J57" s="116"/>
    </row>
    <row r="58" spans="1:10" ht="15.75">
      <c r="A58" s="301" t="s">
        <v>71</v>
      </c>
      <c r="B58" s="302"/>
      <c r="C58" s="303"/>
      <c r="D58" s="119" t="s">
        <v>61</v>
      </c>
      <c r="E58" s="120">
        <v>8</v>
      </c>
      <c r="F58" s="121">
        <v>34</v>
      </c>
      <c r="G58" s="122">
        <f t="shared" si="3"/>
        <v>272</v>
      </c>
      <c r="H58" s="140">
        <f t="shared" si="4"/>
        <v>151.11111111111111</v>
      </c>
      <c r="I58" s="184"/>
      <c r="J58" s="116"/>
    </row>
    <row r="59" spans="1:10" ht="15.75">
      <c r="A59" s="301" t="s">
        <v>72</v>
      </c>
      <c r="B59" s="302"/>
      <c r="C59" s="303"/>
      <c r="D59" s="119" t="s">
        <v>61</v>
      </c>
      <c r="E59" s="120">
        <v>10</v>
      </c>
      <c r="F59" s="121">
        <v>5</v>
      </c>
      <c r="G59" s="122">
        <f t="shared" si="3"/>
        <v>50</v>
      </c>
      <c r="H59" s="140">
        <f t="shared" si="4"/>
        <v>27.77777777777778</v>
      </c>
      <c r="I59" s="184"/>
      <c r="J59" s="116"/>
    </row>
    <row r="60" spans="1:10" ht="15.75">
      <c r="A60" s="301" t="s">
        <v>73</v>
      </c>
      <c r="B60" s="302"/>
      <c r="C60" s="303"/>
      <c r="D60" s="119" t="s">
        <v>61</v>
      </c>
      <c r="E60" s="120">
        <v>8</v>
      </c>
      <c r="F60" s="121">
        <v>5</v>
      </c>
      <c r="G60" s="122">
        <f t="shared" si="3"/>
        <v>40</v>
      </c>
      <c r="H60" s="140">
        <f t="shared" si="4"/>
        <v>22.22222222222222</v>
      </c>
      <c r="I60" s="184"/>
      <c r="J60" s="116"/>
    </row>
    <row r="61" spans="1:10" ht="15.75">
      <c r="A61" s="301" t="s">
        <v>74</v>
      </c>
      <c r="B61" s="302"/>
      <c r="C61" s="303"/>
      <c r="D61" s="119" t="s">
        <v>61</v>
      </c>
      <c r="E61" s="120">
        <v>2</v>
      </c>
      <c r="F61" s="121">
        <v>18</v>
      </c>
      <c r="G61" s="122">
        <f t="shared" si="3"/>
        <v>36</v>
      </c>
      <c r="H61" s="140">
        <f t="shared" si="4"/>
        <v>20</v>
      </c>
      <c r="I61" s="184"/>
      <c r="J61" s="116"/>
    </row>
    <row r="62" spans="1:10" ht="15.75">
      <c r="A62" s="327" t="s">
        <v>58</v>
      </c>
      <c r="B62" s="327"/>
      <c r="C62" s="327"/>
      <c r="D62" s="327"/>
      <c r="E62" s="327"/>
      <c r="F62" s="327"/>
      <c r="G62" s="125">
        <f>SUM(G52:G61)</f>
        <v>623.39</v>
      </c>
      <c r="H62" s="142">
        <f t="shared" si="4"/>
        <v>346.3277777777778</v>
      </c>
      <c r="I62" s="184"/>
      <c r="J62" s="116"/>
    </row>
    <row r="63" spans="1:10" ht="16.5" thickBot="1">
      <c r="A63" s="312" t="s">
        <v>75</v>
      </c>
      <c r="B63" s="312"/>
      <c r="C63" s="312"/>
      <c r="D63" s="312"/>
      <c r="E63" s="312"/>
      <c r="F63" s="312"/>
      <c r="G63" s="147">
        <f>G62+G49+G43</f>
        <v>3191.7099999999996</v>
      </c>
      <c r="H63" s="148">
        <f t="shared" si="4"/>
        <v>1773.172222222222</v>
      </c>
      <c r="I63" s="184"/>
      <c r="J63" s="116"/>
    </row>
    <row r="64" spans="1:10" ht="12" customHeight="1" thickBot="1" thickTop="1">
      <c r="A64" s="322"/>
      <c r="B64" s="322"/>
      <c r="C64" s="322"/>
      <c r="D64" s="322"/>
      <c r="E64" s="322"/>
      <c r="F64" s="322"/>
      <c r="G64" s="322"/>
      <c r="H64" s="322"/>
      <c r="I64" s="184"/>
      <c r="J64" s="116"/>
    </row>
    <row r="65" spans="1:10" ht="17.25" thickBot="1" thickTop="1">
      <c r="A65" s="323" t="s">
        <v>76</v>
      </c>
      <c r="B65" s="323"/>
      <c r="C65" s="323"/>
      <c r="D65" s="323"/>
      <c r="E65" s="323"/>
      <c r="F65" s="323"/>
      <c r="G65" s="323"/>
      <c r="H65" s="323"/>
      <c r="I65" s="184"/>
      <c r="J65" s="116"/>
    </row>
    <row r="66" spans="1:10" ht="16.5" thickTop="1">
      <c r="A66" s="394" t="s">
        <v>38</v>
      </c>
      <c r="B66" s="395"/>
      <c r="C66" s="396"/>
      <c r="D66" s="400" t="s">
        <v>39</v>
      </c>
      <c r="E66" s="400" t="s">
        <v>40</v>
      </c>
      <c r="F66" s="117" t="s">
        <v>41</v>
      </c>
      <c r="G66" s="115" t="s">
        <v>42</v>
      </c>
      <c r="H66" s="117" t="s">
        <v>42</v>
      </c>
      <c r="I66" s="184"/>
      <c r="J66" s="116"/>
    </row>
    <row r="67" spans="1:10" ht="15.75">
      <c r="A67" s="397"/>
      <c r="B67" s="398"/>
      <c r="C67" s="399"/>
      <c r="D67" s="401"/>
      <c r="E67" s="401"/>
      <c r="F67" s="118" t="s">
        <v>43</v>
      </c>
      <c r="G67" s="110" t="s">
        <v>44</v>
      </c>
      <c r="H67" s="118" t="s">
        <v>45</v>
      </c>
      <c r="I67" s="184"/>
      <c r="J67" s="116"/>
    </row>
    <row r="68" spans="1:10" ht="15.75">
      <c r="A68" s="310" t="s">
        <v>77</v>
      </c>
      <c r="B68" s="310"/>
      <c r="C68" s="310"/>
      <c r="D68" s="151" t="s">
        <v>47</v>
      </c>
      <c r="E68" s="156">
        <v>0.2</v>
      </c>
      <c r="F68" s="153">
        <f>F35</f>
        <v>1160</v>
      </c>
      <c r="G68" s="154">
        <f>F68*E68</f>
        <v>232</v>
      </c>
      <c r="H68" s="155">
        <f aca="true" t="shared" si="5" ref="H68:H74">G68/$D$20</f>
        <v>128.88888888888889</v>
      </c>
      <c r="I68" s="184"/>
      <c r="J68" s="116"/>
    </row>
    <row r="69" spans="1:10" ht="15.75">
      <c r="A69" s="311" t="s">
        <v>78</v>
      </c>
      <c r="B69" s="311"/>
      <c r="C69" s="311"/>
      <c r="D69" s="151" t="s">
        <v>47</v>
      </c>
      <c r="E69" s="156">
        <f>0.25/5</f>
        <v>0.05</v>
      </c>
      <c r="F69" s="153">
        <f>F34</f>
        <v>660</v>
      </c>
      <c r="G69" s="154">
        <f>F69*E69</f>
        <v>33</v>
      </c>
      <c r="H69" s="155">
        <f t="shared" si="5"/>
        <v>18.333333333333332</v>
      </c>
      <c r="I69" s="184"/>
      <c r="J69" s="116"/>
    </row>
    <row r="70" spans="1:10" ht="15.75">
      <c r="A70" s="311" t="s">
        <v>79</v>
      </c>
      <c r="B70" s="311"/>
      <c r="C70" s="311"/>
      <c r="D70" s="151" t="s">
        <v>47</v>
      </c>
      <c r="E70" s="156">
        <f>0.5/5</f>
        <v>0.1</v>
      </c>
      <c r="F70" s="153">
        <v>811</v>
      </c>
      <c r="G70" s="154">
        <f>F70*E70</f>
        <v>81.10000000000001</v>
      </c>
      <c r="H70" s="155">
        <f t="shared" si="5"/>
        <v>45.05555555555556</v>
      </c>
      <c r="I70" s="184"/>
      <c r="J70" s="116"/>
    </row>
    <row r="71" spans="1:10" ht="15.75">
      <c r="A71" s="327" t="s">
        <v>138</v>
      </c>
      <c r="B71" s="327"/>
      <c r="C71" s="327"/>
      <c r="D71" s="327"/>
      <c r="E71" s="327"/>
      <c r="F71" s="327"/>
      <c r="G71" s="125">
        <f>SUM(G68:G70)</f>
        <v>346.1</v>
      </c>
      <c r="H71" s="142">
        <f t="shared" si="5"/>
        <v>192.27777777777777</v>
      </c>
      <c r="I71" s="184"/>
      <c r="J71" s="116"/>
    </row>
    <row r="72" spans="1:10" ht="15.75">
      <c r="A72" s="310" t="s">
        <v>81</v>
      </c>
      <c r="B72" s="310"/>
      <c r="C72" s="310"/>
      <c r="D72" s="151" t="s">
        <v>47</v>
      </c>
      <c r="E72" s="156">
        <v>0.12</v>
      </c>
      <c r="F72" s="153">
        <f>F33</f>
        <v>87.74</v>
      </c>
      <c r="G72" s="154">
        <f>F72*E72</f>
        <v>10.528799999999999</v>
      </c>
      <c r="H72" s="155">
        <f t="shared" si="5"/>
        <v>5.849333333333332</v>
      </c>
      <c r="I72" s="184"/>
      <c r="J72" s="116"/>
    </row>
    <row r="73" spans="1:10" ht="15.75">
      <c r="A73" s="355" t="s">
        <v>119</v>
      </c>
      <c r="B73" s="355"/>
      <c r="C73" s="355"/>
      <c r="D73" s="151" t="s">
        <v>55</v>
      </c>
      <c r="E73" s="156">
        <v>8</v>
      </c>
      <c r="F73" s="153">
        <v>30</v>
      </c>
      <c r="G73" s="154">
        <f>F73*E73</f>
        <v>240</v>
      </c>
      <c r="H73" s="155">
        <f t="shared" si="5"/>
        <v>133.33333333333334</v>
      </c>
      <c r="I73" s="184"/>
      <c r="J73" s="116"/>
    </row>
    <row r="74" spans="1:10" ht="16.5" thickBot="1">
      <c r="A74" s="342" t="s">
        <v>82</v>
      </c>
      <c r="B74" s="343"/>
      <c r="C74" s="343"/>
      <c r="D74" s="343"/>
      <c r="E74" s="343"/>
      <c r="F74" s="343"/>
      <c r="G74" s="126">
        <f>((G71+G72)*D11+D12)+G73</f>
        <v>2381.7728</v>
      </c>
      <c r="H74" s="143">
        <f t="shared" si="5"/>
        <v>1323.207111111111</v>
      </c>
      <c r="I74" s="184"/>
      <c r="J74" s="116"/>
    </row>
    <row r="75" spans="1:10" ht="9" customHeight="1">
      <c r="A75" s="315"/>
      <c r="B75" s="315"/>
      <c r="C75" s="315"/>
      <c r="D75" s="315"/>
      <c r="E75" s="315"/>
      <c r="F75" s="315"/>
      <c r="G75" s="315"/>
      <c r="H75" s="315"/>
      <c r="I75" s="184"/>
      <c r="J75" s="116"/>
    </row>
    <row r="76" spans="1:10" ht="15.75">
      <c r="A76" s="354" t="s">
        <v>83</v>
      </c>
      <c r="B76" s="354"/>
      <c r="C76" s="354"/>
      <c r="D76" s="354"/>
      <c r="E76" s="354"/>
      <c r="F76" s="354"/>
      <c r="G76" s="354"/>
      <c r="H76" s="354"/>
      <c r="I76" s="184"/>
      <c r="J76" s="116"/>
    </row>
    <row r="77" spans="1:10" ht="15.75">
      <c r="A77" s="304" t="s">
        <v>124</v>
      </c>
      <c r="B77" s="305"/>
      <c r="C77" s="306"/>
      <c r="D77" s="151" t="s">
        <v>61</v>
      </c>
      <c r="E77" s="156">
        <v>0.3</v>
      </c>
      <c r="F77" s="157">
        <v>17</v>
      </c>
      <c r="G77" s="154">
        <f>F77*E77</f>
        <v>5.1</v>
      </c>
      <c r="H77" s="155">
        <f aca="true" t="shared" si="6" ref="H77:H85">G77/$D$20</f>
        <v>2.833333333333333</v>
      </c>
      <c r="I77" s="184"/>
      <c r="J77" s="116"/>
    </row>
    <row r="78" spans="1:10" ht="15.75">
      <c r="A78" s="307" t="s">
        <v>84</v>
      </c>
      <c r="B78" s="308"/>
      <c r="C78" s="309"/>
      <c r="D78" s="151" t="s">
        <v>61</v>
      </c>
      <c r="E78" s="156">
        <v>0.3</v>
      </c>
      <c r="F78" s="157">
        <v>17</v>
      </c>
      <c r="G78" s="154">
        <f>F78*E78</f>
        <v>5.1</v>
      </c>
      <c r="H78" s="140">
        <f t="shared" si="6"/>
        <v>2.833333333333333</v>
      </c>
      <c r="I78" s="184"/>
      <c r="J78" s="116"/>
    </row>
    <row r="79" spans="1:10" ht="15.75">
      <c r="A79" s="307" t="s">
        <v>85</v>
      </c>
      <c r="B79" s="308"/>
      <c r="C79" s="309"/>
      <c r="D79" s="151" t="s">
        <v>61</v>
      </c>
      <c r="E79" s="156">
        <v>0.3</v>
      </c>
      <c r="F79" s="157">
        <v>17</v>
      </c>
      <c r="G79" s="154">
        <f>F79*E79</f>
        <v>5.1</v>
      </c>
      <c r="H79" s="140">
        <f t="shared" si="6"/>
        <v>2.833333333333333</v>
      </c>
      <c r="I79" s="184"/>
      <c r="J79" s="116"/>
    </row>
    <row r="80" spans="1:10" ht="16.5" thickBot="1">
      <c r="A80" s="338" t="s">
        <v>86</v>
      </c>
      <c r="B80" s="339"/>
      <c r="C80" s="340"/>
      <c r="D80" s="162" t="s">
        <v>61</v>
      </c>
      <c r="E80" s="163">
        <v>0.3</v>
      </c>
      <c r="F80" s="164">
        <v>17</v>
      </c>
      <c r="G80" s="158">
        <f>F80*E80</f>
        <v>5.1</v>
      </c>
      <c r="H80" s="159">
        <f t="shared" si="6"/>
        <v>2.833333333333333</v>
      </c>
      <c r="I80" s="184"/>
      <c r="J80" s="116"/>
    </row>
    <row r="81" spans="1:10" ht="16.5" thickBot="1">
      <c r="A81" s="300" t="s">
        <v>138</v>
      </c>
      <c r="B81" s="298"/>
      <c r="C81" s="298"/>
      <c r="D81" s="298"/>
      <c r="E81" s="298"/>
      <c r="F81" s="299"/>
      <c r="G81" s="169">
        <f>SUM(G77:G80)</f>
        <v>20.4</v>
      </c>
      <c r="H81" s="168">
        <f t="shared" si="6"/>
        <v>11.333333333333332</v>
      </c>
      <c r="I81" s="184"/>
      <c r="J81" s="116"/>
    </row>
    <row r="82" spans="1:10" ht="15.75">
      <c r="A82" s="356" t="s">
        <v>87</v>
      </c>
      <c r="B82" s="357"/>
      <c r="C82" s="358"/>
      <c r="D82" s="165" t="s">
        <v>61</v>
      </c>
      <c r="E82" s="166">
        <v>0.3</v>
      </c>
      <c r="F82" s="167">
        <v>17</v>
      </c>
      <c r="G82" s="160">
        <f>F82*E82</f>
        <v>5.1</v>
      </c>
      <c r="H82" s="161">
        <f t="shared" si="6"/>
        <v>2.833333333333333</v>
      </c>
      <c r="I82" s="184"/>
      <c r="J82" s="116"/>
    </row>
    <row r="83" spans="1:10" ht="15.75">
      <c r="A83" s="359" t="s">
        <v>120</v>
      </c>
      <c r="B83" s="360"/>
      <c r="C83" s="361"/>
      <c r="D83" s="151" t="s">
        <v>61</v>
      </c>
      <c r="E83" s="156">
        <v>0.3</v>
      </c>
      <c r="F83" s="157">
        <v>17</v>
      </c>
      <c r="G83" s="154">
        <f>F83*E83</f>
        <v>5.1</v>
      </c>
      <c r="H83" s="140">
        <f t="shared" si="6"/>
        <v>2.833333333333333</v>
      </c>
      <c r="I83" s="184"/>
      <c r="J83" s="116"/>
    </row>
    <row r="84" spans="1:10" ht="16.5" thickBot="1">
      <c r="A84" s="327" t="s">
        <v>58</v>
      </c>
      <c r="B84" s="327"/>
      <c r="C84" s="327"/>
      <c r="D84" s="327"/>
      <c r="E84" s="327"/>
      <c r="F84" s="327"/>
      <c r="G84" s="128">
        <f>(G81*(D11+D12))+(G82+G83)</f>
        <v>173.39999999999998</v>
      </c>
      <c r="H84" s="144">
        <f t="shared" si="6"/>
        <v>96.33333333333331</v>
      </c>
      <c r="I84" s="184"/>
      <c r="J84" s="116"/>
    </row>
    <row r="85" spans="1:10" ht="16.5" thickBot="1">
      <c r="A85" s="353" t="s">
        <v>121</v>
      </c>
      <c r="B85" s="353"/>
      <c r="C85" s="353"/>
      <c r="D85" s="353"/>
      <c r="E85" s="353"/>
      <c r="F85" s="353"/>
      <c r="G85" s="127">
        <f>G84+G74</f>
        <v>2555.1728000000003</v>
      </c>
      <c r="H85" s="145">
        <f t="shared" si="6"/>
        <v>1419.5404444444446</v>
      </c>
      <c r="I85" s="184"/>
      <c r="J85" s="116"/>
    </row>
    <row r="86" spans="1:10" ht="10.5" customHeight="1" thickTop="1">
      <c r="A86" s="316"/>
      <c r="B86" s="316"/>
      <c r="C86" s="316"/>
      <c r="D86" s="316"/>
      <c r="E86" s="316"/>
      <c r="F86" s="316"/>
      <c r="G86" s="316"/>
      <c r="H86" s="316"/>
      <c r="I86" s="184"/>
      <c r="J86" s="116"/>
    </row>
    <row r="87" spans="1:10" ht="16.5" thickBot="1">
      <c r="A87" s="368" t="s">
        <v>88</v>
      </c>
      <c r="B87" s="368"/>
      <c r="C87" s="368"/>
      <c r="D87" s="368"/>
      <c r="E87" s="368"/>
      <c r="F87" s="368"/>
      <c r="G87" s="368"/>
      <c r="H87" s="368"/>
      <c r="I87" s="184"/>
      <c r="J87" s="116"/>
    </row>
    <row r="88" spans="1:10" ht="16.5" thickTop="1">
      <c r="A88" s="249" t="s">
        <v>38</v>
      </c>
      <c r="B88" s="369"/>
      <c r="C88" s="369"/>
      <c r="D88" s="372" t="s">
        <v>39</v>
      </c>
      <c r="E88" s="369" t="s">
        <v>40</v>
      </c>
      <c r="F88" s="117" t="s">
        <v>41</v>
      </c>
      <c r="G88" s="115" t="s">
        <v>42</v>
      </c>
      <c r="H88" s="117" t="s">
        <v>42</v>
      </c>
      <c r="I88" s="184"/>
      <c r="J88" s="116"/>
    </row>
    <row r="89" spans="1:10" ht="15.75">
      <c r="A89" s="370"/>
      <c r="B89" s="371"/>
      <c r="C89" s="371"/>
      <c r="D89" s="373"/>
      <c r="E89" s="371"/>
      <c r="F89" s="118" t="s">
        <v>43</v>
      </c>
      <c r="G89" s="110" t="s">
        <v>44</v>
      </c>
      <c r="H89" s="118" t="s">
        <v>45</v>
      </c>
      <c r="I89" s="184"/>
      <c r="J89" s="116"/>
    </row>
    <row r="90" spans="1:10" ht="15.75">
      <c r="A90" s="365" t="s">
        <v>89</v>
      </c>
      <c r="B90" s="366"/>
      <c r="C90" s="367"/>
      <c r="D90" s="119" t="s">
        <v>61</v>
      </c>
      <c r="E90" s="120">
        <v>1</v>
      </c>
      <c r="F90" s="121">
        <v>26</v>
      </c>
      <c r="G90" s="122">
        <f>F90*E90</f>
        <v>26</v>
      </c>
      <c r="H90" s="140">
        <f aca="true" t="shared" si="7" ref="H90:H96">G90/$D$20</f>
        <v>14.444444444444445</v>
      </c>
      <c r="I90" s="184"/>
      <c r="J90" s="116"/>
    </row>
    <row r="91" spans="1:10" ht="15.75">
      <c r="A91" s="365" t="s">
        <v>90</v>
      </c>
      <c r="B91" s="366"/>
      <c r="C91" s="367"/>
      <c r="D91" s="119" t="s">
        <v>61</v>
      </c>
      <c r="E91" s="120">
        <v>3</v>
      </c>
      <c r="F91" s="121">
        <v>18</v>
      </c>
      <c r="G91" s="122">
        <f>F91*E91</f>
        <v>54</v>
      </c>
      <c r="H91" s="140">
        <f t="shared" si="7"/>
        <v>30</v>
      </c>
      <c r="I91" s="184"/>
      <c r="J91" s="116"/>
    </row>
    <row r="92" spans="1:10" ht="15.75">
      <c r="A92" s="365" t="s">
        <v>91</v>
      </c>
      <c r="B92" s="366"/>
      <c r="C92" s="367"/>
      <c r="D92" s="119" t="s">
        <v>61</v>
      </c>
      <c r="E92" s="120">
        <v>1.5</v>
      </c>
      <c r="F92" s="121">
        <v>21</v>
      </c>
      <c r="G92" s="122">
        <f>F92*E92</f>
        <v>31.5</v>
      </c>
      <c r="H92" s="140">
        <f t="shared" si="7"/>
        <v>17.5</v>
      </c>
      <c r="I92" s="184"/>
      <c r="J92" s="116"/>
    </row>
    <row r="93" spans="1:10" ht="15.75">
      <c r="A93" s="365" t="s">
        <v>92</v>
      </c>
      <c r="B93" s="366"/>
      <c r="C93" s="367"/>
      <c r="D93" s="119" t="s">
        <v>61</v>
      </c>
      <c r="E93" s="120">
        <v>1</v>
      </c>
      <c r="F93" s="121">
        <v>24</v>
      </c>
      <c r="G93" s="122">
        <f>F93*E93</f>
        <v>24</v>
      </c>
      <c r="H93" s="140">
        <f t="shared" si="7"/>
        <v>13.333333333333332</v>
      </c>
      <c r="I93" s="184"/>
      <c r="J93" s="116"/>
    </row>
    <row r="94" spans="1:10" ht="16.5" thickBot="1">
      <c r="A94" s="362" t="s">
        <v>93</v>
      </c>
      <c r="B94" s="363"/>
      <c r="C94" s="364"/>
      <c r="D94" s="170" t="s">
        <v>61</v>
      </c>
      <c r="E94" s="171">
        <v>1.5</v>
      </c>
      <c r="F94" s="172">
        <v>34</v>
      </c>
      <c r="G94" s="173">
        <f>F94*E94</f>
        <v>51</v>
      </c>
      <c r="H94" s="159">
        <f t="shared" si="7"/>
        <v>28.333333333333332</v>
      </c>
      <c r="I94" s="184"/>
      <c r="J94" s="116"/>
    </row>
    <row r="95" spans="1:10" ht="16.5" thickBot="1">
      <c r="A95" s="380" t="s">
        <v>58</v>
      </c>
      <c r="B95" s="381"/>
      <c r="C95" s="381"/>
      <c r="D95" s="381"/>
      <c r="E95" s="381"/>
      <c r="F95" s="382"/>
      <c r="G95" s="174">
        <f>SUM(G90:G94)</f>
        <v>186.5</v>
      </c>
      <c r="H95" s="175">
        <f t="shared" si="7"/>
        <v>103.61111111111111</v>
      </c>
      <c r="I95" s="184"/>
      <c r="J95" s="116"/>
    </row>
    <row r="96" spans="1:10" ht="16.5" thickBot="1">
      <c r="A96" s="383" t="s">
        <v>122</v>
      </c>
      <c r="B96" s="384"/>
      <c r="C96" s="384"/>
      <c r="D96" s="384"/>
      <c r="E96" s="384"/>
      <c r="F96" s="384"/>
      <c r="G96" s="127">
        <f>SUM(G90:G94)*(D11+D12)</f>
        <v>1492</v>
      </c>
      <c r="H96" s="146">
        <f t="shared" si="7"/>
        <v>828.8888888888889</v>
      </c>
      <c r="I96" s="184"/>
      <c r="J96" s="116"/>
    </row>
    <row r="97" spans="1:10" ht="14.25" customHeight="1" thickBot="1">
      <c r="A97" s="324"/>
      <c r="B97" s="324"/>
      <c r="C97" s="324"/>
      <c r="D97" s="324"/>
      <c r="E97" s="324"/>
      <c r="F97" s="324"/>
      <c r="G97" s="324"/>
      <c r="H97" s="324"/>
      <c r="I97" s="184"/>
      <c r="J97" s="116"/>
    </row>
    <row r="98" spans="1:10" ht="16.5" thickBot="1">
      <c r="A98" s="331" t="s">
        <v>94</v>
      </c>
      <c r="B98" s="332"/>
      <c r="C98" s="332"/>
      <c r="D98" s="332"/>
      <c r="E98" s="332"/>
      <c r="F98" s="332"/>
      <c r="G98" s="332"/>
      <c r="H98" s="333"/>
      <c r="I98" s="184"/>
      <c r="J98" s="116"/>
    </row>
    <row r="99" spans="1:10" ht="16.5" thickBot="1">
      <c r="A99" s="385" t="s">
        <v>95</v>
      </c>
      <c r="B99" s="286"/>
      <c r="C99" s="286"/>
      <c r="D99" s="178" t="s">
        <v>96</v>
      </c>
      <c r="E99" s="131" t="s">
        <v>97</v>
      </c>
      <c r="F99" s="131" t="s">
        <v>98</v>
      </c>
      <c r="G99" s="132" t="s">
        <v>99</v>
      </c>
      <c r="H99" s="187" t="s">
        <v>12</v>
      </c>
      <c r="I99" s="191" t="s">
        <v>141</v>
      </c>
      <c r="J99" s="201" t="s">
        <v>143</v>
      </c>
    </row>
    <row r="100" spans="1:10" ht="16.5" thickBot="1">
      <c r="A100" s="391" t="s">
        <v>100</v>
      </c>
      <c r="B100" s="392"/>
      <c r="C100" s="393"/>
      <c r="D100" s="176">
        <f>(SUM(D101:D103))</f>
        <v>319.171</v>
      </c>
      <c r="E100" s="176">
        <f>D100*$D$14</f>
        <v>3191.71</v>
      </c>
      <c r="F100" s="176">
        <f>E100/$D$23</f>
        <v>17.53022537878788</v>
      </c>
      <c r="G100" s="177">
        <f>E100/$D$24</f>
        <v>20.149684343434345</v>
      </c>
      <c r="H100" s="188">
        <f>G100/G$108</f>
        <v>0.07309800020786271</v>
      </c>
      <c r="I100" s="192">
        <f>(D100/$D$27)</f>
        <v>0.26194589646464644</v>
      </c>
      <c r="J100" s="204">
        <f>(G100/$D$18)/1000</f>
        <v>0.0347408350748868</v>
      </c>
    </row>
    <row r="101" spans="1:10" ht="16.5" thickBot="1">
      <c r="A101" s="377" t="s">
        <v>101</v>
      </c>
      <c r="B101" s="378"/>
      <c r="C101" s="379"/>
      <c r="D101" s="124">
        <f>G43/$D$14</f>
        <v>247.08199999999997</v>
      </c>
      <c r="E101" s="208">
        <f>D101*$D$14</f>
        <v>2470.8199999999997</v>
      </c>
      <c r="F101" s="122">
        <f aca="true" t="shared" si="8" ref="F101:F107">E101/$D$23</f>
        <v>13.570791666666663</v>
      </c>
      <c r="G101" s="124">
        <f aca="true" t="shared" si="9" ref="G101:G107">E101/$D$24</f>
        <v>15.598611111111108</v>
      </c>
      <c r="H101" s="189">
        <f aca="true" t="shared" si="10" ref="H101:H107">G101/G$108</f>
        <v>0.056587848167155314</v>
      </c>
      <c r="I101" s="192">
        <f aca="true" t="shared" si="11" ref="I101:I108">(D101/$D$27)</f>
        <v>0.2027819444444444</v>
      </c>
      <c r="J101" s="204">
        <f aca="true" t="shared" si="12" ref="J101:J108">(G101/$D$18)/1000</f>
        <v>0.0268941570881226</v>
      </c>
    </row>
    <row r="102" spans="1:10" ht="16.5" thickBot="1">
      <c r="A102" s="377" t="s">
        <v>102</v>
      </c>
      <c r="B102" s="378"/>
      <c r="C102" s="379"/>
      <c r="D102" s="122">
        <f>G49/$D$14</f>
        <v>9.75</v>
      </c>
      <c r="E102" s="208">
        <f>D102*$D$14</f>
        <v>97.5</v>
      </c>
      <c r="F102" s="122">
        <f t="shared" si="8"/>
        <v>0.5355113636363635</v>
      </c>
      <c r="G102" s="124">
        <f t="shared" si="9"/>
        <v>0.615530303030303</v>
      </c>
      <c r="H102" s="189">
        <f t="shared" si="10"/>
        <v>0.002232989532340536</v>
      </c>
      <c r="I102" s="192">
        <f t="shared" si="11"/>
        <v>0.008001893939393939</v>
      </c>
      <c r="J102" s="204">
        <f t="shared" si="12"/>
        <v>0.0010612591431556947</v>
      </c>
    </row>
    <row r="103" spans="1:10" ht="16.5" thickBot="1">
      <c r="A103" s="377" t="s">
        <v>103</v>
      </c>
      <c r="B103" s="378"/>
      <c r="C103" s="379"/>
      <c r="D103" s="122">
        <f>G62/$D$14</f>
        <v>62.339</v>
      </c>
      <c r="E103" s="208">
        <f>D103*$D$14</f>
        <v>623.39</v>
      </c>
      <c r="F103" s="122">
        <f t="shared" si="8"/>
        <v>3.423922348484848</v>
      </c>
      <c r="G103" s="124">
        <f t="shared" si="9"/>
        <v>3.935542929292929</v>
      </c>
      <c r="H103" s="189">
        <f t="shared" si="10"/>
        <v>0.014277162508366841</v>
      </c>
      <c r="I103" s="192">
        <f t="shared" si="11"/>
        <v>0.05116205808080807</v>
      </c>
      <c r="J103" s="204">
        <f t="shared" si="12"/>
        <v>0.006785418843608499</v>
      </c>
    </row>
    <row r="104" spans="1:10" ht="16.5" thickBot="1">
      <c r="A104" s="374" t="s">
        <v>104</v>
      </c>
      <c r="B104" s="375"/>
      <c r="C104" s="376"/>
      <c r="D104" s="129">
        <f>SUM(D105:D106)</f>
        <v>2555.1728000000003</v>
      </c>
      <c r="E104" s="129">
        <f>D104*10</f>
        <v>25551.728000000003</v>
      </c>
      <c r="F104" s="129">
        <f t="shared" si="8"/>
        <v>140.34093030303032</v>
      </c>
      <c r="G104" s="130">
        <f t="shared" si="9"/>
        <v>161.31141414141416</v>
      </c>
      <c r="H104" s="190">
        <f t="shared" si="10"/>
        <v>0.5851973452021805</v>
      </c>
      <c r="I104" s="192">
        <f t="shared" si="11"/>
        <v>2.0970483838383838</v>
      </c>
      <c r="J104" s="204">
        <f t="shared" si="12"/>
        <v>0.2781231278300244</v>
      </c>
    </row>
    <row r="105" spans="1:10" ht="16.5" thickBot="1">
      <c r="A105" s="377" t="s">
        <v>105</v>
      </c>
      <c r="B105" s="378"/>
      <c r="C105" s="379"/>
      <c r="D105" s="122">
        <f>G74</f>
        <v>2381.7728</v>
      </c>
      <c r="E105" s="122">
        <f>D105*10</f>
        <v>23817.728000000003</v>
      </c>
      <c r="F105" s="122">
        <f t="shared" si="8"/>
        <v>130.81706666666668</v>
      </c>
      <c r="G105" s="124">
        <f t="shared" si="9"/>
        <v>150.36444444444444</v>
      </c>
      <c r="H105" s="189">
        <f t="shared" si="10"/>
        <v>0.5454844852116318</v>
      </c>
      <c r="I105" s="192">
        <f t="shared" si="11"/>
        <v>1.9547377777777777</v>
      </c>
      <c r="J105" s="204">
        <f t="shared" si="12"/>
        <v>0.25924904214559386</v>
      </c>
    </row>
    <row r="106" spans="1:10" ht="16.5" thickBot="1">
      <c r="A106" s="377" t="s">
        <v>106</v>
      </c>
      <c r="B106" s="378"/>
      <c r="C106" s="379"/>
      <c r="D106" s="122">
        <f>G84</f>
        <v>173.39999999999998</v>
      </c>
      <c r="E106" s="122">
        <f>D106*10</f>
        <v>1733.9999999999998</v>
      </c>
      <c r="F106" s="122">
        <f t="shared" si="8"/>
        <v>9.523863636363634</v>
      </c>
      <c r="G106" s="124">
        <f t="shared" si="9"/>
        <v>10.946969696969695</v>
      </c>
      <c r="H106" s="189">
        <f t="shared" si="10"/>
        <v>0.03971285999054861</v>
      </c>
      <c r="I106" s="192">
        <f t="shared" si="11"/>
        <v>0.14231060606060603</v>
      </c>
      <c r="J106" s="204">
        <f t="shared" si="12"/>
        <v>0.01887408568443051</v>
      </c>
    </row>
    <row r="107" spans="1:10" ht="16.5" thickBot="1">
      <c r="A107" s="374" t="s">
        <v>107</v>
      </c>
      <c r="B107" s="375"/>
      <c r="C107" s="376"/>
      <c r="D107" s="129">
        <f>G96</f>
        <v>1492</v>
      </c>
      <c r="E107" s="129">
        <f>D107*10</f>
        <v>14920</v>
      </c>
      <c r="F107" s="129">
        <f t="shared" si="8"/>
        <v>81.94696969696969</v>
      </c>
      <c r="G107" s="130">
        <f t="shared" si="9"/>
        <v>94.19191919191918</v>
      </c>
      <c r="H107" s="190">
        <f t="shared" si="10"/>
        <v>0.3417046545899569</v>
      </c>
      <c r="I107" s="193">
        <f t="shared" si="11"/>
        <v>1.2244949494949493</v>
      </c>
      <c r="J107" s="204">
        <f t="shared" si="12"/>
        <v>0.16239986067572276</v>
      </c>
    </row>
    <row r="108" spans="1:10" ht="16.5" thickBot="1">
      <c r="A108" s="388" t="s">
        <v>108</v>
      </c>
      <c r="B108" s="389"/>
      <c r="C108" s="390"/>
      <c r="D108" s="197">
        <f>SUM(D100+D104+D107)</f>
        <v>4366.343800000001</v>
      </c>
      <c r="E108" s="197">
        <f>SUM(E100+E104+E107)</f>
        <v>43663.438</v>
      </c>
      <c r="F108" s="197">
        <f>SUM(F100+F104+F107)</f>
        <v>239.8181253787879</v>
      </c>
      <c r="G108" s="197">
        <f>SUM(G100+G104+G107)</f>
        <v>275.65301767676766</v>
      </c>
      <c r="H108" s="198">
        <v>1</v>
      </c>
      <c r="I108" s="194">
        <f t="shared" si="11"/>
        <v>3.58348922979798</v>
      </c>
      <c r="J108" s="205">
        <f t="shared" si="12"/>
        <v>0.4752638235806339</v>
      </c>
    </row>
    <row r="109" spans="1:10" ht="15.75">
      <c r="A109" s="325"/>
      <c r="B109" s="325"/>
      <c r="C109" s="325"/>
      <c r="D109" s="325"/>
      <c r="E109" s="325"/>
      <c r="F109" s="325"/>
      <c r="G109" s="325"/>
      <c r="H109" s="325"/>
      <c r="I109" s="184"/>
      <c r="J109" s="116"/>
    </row>
    <row r="110" spans="1:10" ht="16.5" thickBot="1">
      <c r="A110" s="387" t="s">
        <v>94</v>
      </c>
      <c r="B110" s="387"/>
      <c r="C110" s="387"/>
      <c r="D110" s="387"/>
      <c r="E110" s="387"/>
      <c r="F110" s="387"/>
      <c r="G110" s="387"/>
      <c r="H110" s="387"/>
      <c r="I110" s="184"/>
      <c r="J110" s="116"/>
    </row>
    <row r="111" spans="1:10" ht="16.5" thickBot="1">
      <c r="A111" s="385" t="s">
        <v>95</v>
      </c>
      <c r="B111" s="286"/>
      <c r="C111" s="386"/>
      <c r="D111" s="131" t="s">
        <v>110</v>
      </c>
      <c r="E111" s="131" t="s">
        <v>111</v>
      </c>
      <c r="F111" s="131" t="s">
        <v>112</v>
      </c>
      <c r="G111" s="132" t="s">
        <v>113</v>
      </c>
      <c r="H111" s="185" t="s">
        <v>114</v>
      </c>
      <c r="I111" s="210" t="s">
        <v>140</v>
      </c>
      <c r="J111" s="211"/>
    </row>
    <row r="112" spans="1:10" ht="15.75">
      <c r="A112" s="391" t="s">
        <v>100</v>
      </c>
      <c r="B112" s="392"/>
      <c r="C112" s="393"/>
      <c r="D112" s="133">
        <f aca="true" t="shared" si="13" ref="D112:G120">D100/$D$20</f>
        <v>177.31722222222223</v>
      </c>
      <c r="E112" s="133">
        <f t="shared" si="13"/>
        <v>1773.1722222222222</v>
      </c>
      <c r="F112" s="133">
        <f t="shared" si="13"/>
        <v>9.7390140993266</v>
      </c>
      <c r="G112" s="133">
        <f t="shared" si="13"/>
        <v>11.194269079685746</v>
      </c>
      <c r="H112" s="186">
        <f>E112/($D$25*1000)</f>
        <v>0.019300463930492666</v>
      </c>
      <c r="I112" s="206">
        <f>(D112/$D$27)</f>
        <v>0.1455254980359147</v>
      </c>
      <c r="J112" s="212"/>
    </row>
    <row r="113" spans="1:10" ht="15.75">
      <c r="A113" s="377" t="s">
        <v>101</v>
      </c>
      <c r="B113" s="378"/>
      <c r="C113" s="379"/>
      <c r="D113" s="134">
        <f t="shared" si="13"/>
        <v>137.26777777777775</v>
      </c>
      <c r="E113" s="134">
        <f t="shared" si="13"/>
        <v>1372.6777777777777</v>
      </c>
      <c r="F113" s="134">
        <f t="shared" si="13"/>
        <v>7.539328703703702</v>
      </c>
      <c r="G113" s="134">
        <f t="shared" si="13"/>
        <v>8.665895061728394</v>
      </c>
      <c r="H113" s="186">
        <f>E113/($D$25*1000)</f>
        <v>0.014941198382290336</v>
      </c>
      <c r="I113" s="199">
        <f aca="true" t="shared" si="14" ref="I113:I120">(D113/$D$27)</f>
        <v>0.11265663580246911</v>
      </c>
      <c r="J113" s="213"/>
    </row>
    <row r="114" spans="1:10" ht="15.75">
      <c r="A114" s="377" t="s">
        <v>102</v>
      </c>
      <c r="B114" s="378"/>
      <c r="C114" s="379"/>
      <c r="D114" s="134">
        <f t="shared" si="13"/>
        <v>5.416666666666667</v>
      </c>
      <c r="E114" s="134">
        <f t="shared" si="13"/>
        <v>54.166666666666664</v>
      </c>
      <c r="F114" s="134">
        <f t="shared" si="13"/>
        <v>0.2975063131313131</v>
      </c>
      <c r="G114" s="134">
        <f t="shared" si="13"/>
        <v>0.3419612794612794</v>
      </c>
      <c r="H114" s="186">
        <f aca="true" t="shared" si="15" ref="H114:H120">E114/($D$25*1000)</f>
        <v>0.0005895884128642749</v>
      </c>
      <c r="I114" s="199">
        <f t="shared" si="14"/>
        <v>0.004445496632996633</v>
      </c>
      <c r="J114" s="213"/>
    </row>
    <row r="115" spans="1:10" ht="15.75">
      <c r="A115" s="377" t="s">
        <v>103</v>
      </c>
      <c r="B115" s="378"/>
      <c r="C115" s="379"/>
      <c r="D115" s="134">
        <f t="shared" si="13"/>
        <v>34.632777777777775</v>
      </c>
      <c r="E115" s="134">
        <f t="shared" si="13"/>
        <v>346.3277777777778</v>
      </c>
      <c r="F115" s="134">
        <f t="shared" si="13"/>
        <v>1.9021790824915823</v>
      </c>
      <c r="G115" s="134">
        <f t="shared" si="13"/>
        <v>2.1864127384960717</v>
      </c>
      <c r="H115" s="186">
        <f t="shared" si="15"/>
        <v>0.003769677135338055</v>
      </c>
      <c r="I115" s="199">
        <f t="shared" si="14"/>
        <v>0.02842336560044893</v>
      </c>
      <c r="J115" s="213"/>
    </row>
    <row r="116" spans="1:10" ht="15.75">
      <c r="A116" s="374" t="s">
        <v>104</v>
      </c>
      <c r="B116" s="375"/>
      <c r="C116" s="376"/>
      <c r="D116" s="135">
        <f t="shared" si="13"/>
        <v>1419.5404444444446</v>
      </c>
      <c r="E116" s="135">
        <f t="shared" si="13"/>
        <v>14195.404444444446</v>
      </c>
      <c r="F116" s="135">
        <f t="shared" si="13"/>
        <v>77.96718350168351</v>
      </c>
      <c r="G116" s="135">
        <f t="shared" si="13"/>
        <v>89.61745230078564</v>
      </c>
      <c r="H116" s="186">
        <f t="shared" si="15"/>
        <v>0.154512848794458</v>
      </c>
      <c r="I116" s="206">
        <f t="shared" si="14"/>
        <v>1.1650268799102133</v>
      </c>
      <c r="J116" s="212"/>
    </row>
    <row r="117" spans="1:10" ht="15.75">
      <c r="A117" s="377" t="s">
        <v>105</v>
      </c>
      <c r="B117" s="378"/>
      <c r="C117" s="379"/>
      <c r="D117" s="134">
        <f t="shared" si="13"/>
        <v>1323.207111111111</v>
      </c>
      <c r="E117" s="134">
        <f t="shared" si="13"/>
        <v>13232.071111111112</v>
      </c>
      <c r="F117" s="134">
        <f t="shared" si="13"/>
        <v>72.67614814814816</v>
      </c>
      <c r="G117" s="134">
        <f t="shared" si="13"/>
        <v>83.5358024691358</v>
      </c>
      <c r="H117" s="186">
        <f t="shared" si="15"/>
        <v>0.14402724563644106</v>
      </c>
      <c r="I117" s="199">
        <f t="shared" si="14"/>
        <v>1.0859654320987653</v>
      </c>
      <c r="J117" s="213"/>
    </row>
    <row r="118" spans="1:10" ht="15.75">
      <c r="A118" s="377" t="s">
        <v>106</v>
      </c>
      <c r="B118" s="378"/>
      <c r="C118" s="379"/>
      <c r="D118" s="134">
        <f t="shared" si="13"/>
        <v>96.33333333333331</v>
      </c>
      <c r="E118" s="134">
        <f t="shared" si="13"/>
        <v>963.3333333333331</v>
      </c>
      <c r="F118" s="134">
        <f t="shared" si="13"/>
        <v>5.291035353535352</v>
      </c>
      <c r="G118" s="134">
        <f t="shared" si="13"/>
        <v>6.08164983164983</v>
      </c>
      <c r="H118" s="186">
        <f t="shared" si="15"/>
        <v>0.01048560315801695</v>
      </c>
      <c r="I118" s="199">
        <f t="shared" si="14"/>
        <v>0.07906144781144779</v>
      </c>
      <c r="J118" s="213"/>
    </row>
    <row r="119" spans="1:10" ht="16.5" thickBot="1">
      <c r="A119" s="374" t="s">
        <v>107</v>
      </c>
      <c r="B119" s="375"/>
      <c r="C119" s="376"/>
      <c r="D119" s="135">
        <f t="shared" si="13"/>
        <v>828.8888888888889</v>
      </c>
      <c r="E119" s="135">
        <f t="shared" si="13"/>
        <v>8288.888888888889</v>
      </c>
      <c r="F119" s="135">
        <f t="shared" si="13"/>
        <v>45.52609427609427</v>
      </c>
      <c r="G119" s="135">
        <f t="shared" si="13"/>
        <v>52.32884399551065</v>
      </c>
      <c r="H119" s="186">
        <f t="shared" si="15"/>
        <v>0.09022214481984597</v>
      </c>
      <c r="I119" s="207">
        <f t="shared" si="14"/>
        <v>0.6802749719416386</v>
      </c>
      <c r="J119" s="212"/>
    </row>
    <row r="120" spans="1:10" ht="16.5" thickBot="1">
      <c r="A120" s="388" t="s">
        <v>108</v>
      </c>
      <c r="B120" s="389"/>
      <c r="C120" s="390"/>
      <c r="D120" s="196">
        <f t="shared" si="13"/>
        <v>2425.746555555556</v>
      </c>
      <c r="E120" s="196">
        <f t="shared" si="13"/>
        <v>24257.465555555555</v>
      </c>
      <c r="F120" s="196">
        <f t="shared" si="13"/>
        <v>133.2322918771044</v>
      </c>
      <c r="G120" s="196">
        <f t="shared" si="13"/>
        <v>153.14056537598202</v>
      </c>
      <c r="H120" s="195">
        <f t="shared" si="15"/>
        <v>0.2640354575447966</v>
      </c>
      <c r="I120" s="200">
        <f t="shared" si="14"/>
        <v>1.9908273498877667</v>
      </c>
      <c r="J120" s="212"/>
    </row>
    <row r="121" spans="1:10" ht="24.75" customHeight="1">
      <c r="A121" s="136"/>
      <c r="B121" s="136"/>
      <c r="C121" s="136"/>
      <c r="D121" s="137"/>
      <c r="E121" s="137"/>
      <c r="F121" s="137"/>
      <c r="G121" s="137"/>
      <c r="H121" s="137"/>
      <c r="I121" s="184"/>
      <c r="J121" s="214"/>
    </row>
    <row r="122" spans="1:11" ht="15.75">
      <c r="A122" s="334" t="s">
        <v>115</v>
      </c>
      <c r="B122" s="334"/>
      <c r="C122" s="334"/>
      <c r="D122" s="334"/>
      <c r="E122" s="334"/>
      <c r="F122" s="334"/>
      <c r="G122" s="334"/>
      <c r="H122" s="334"/>
      <c r="I122" s="184"/>
      <c r="J122" s="202"/>
      <c r="K122" s="203"/>
    </row>
    <row r="123" spans="1:10" ht="15.75">
      <c r="A123" s="320" t="s">
        <v>116</v>
      </c>
      <c r="B123" s="320"/>
      <c r="C123" s="320"/>
      <c r="D123" s="320"/>
      <c r="E123" s="320"/>
      <c r="F123" s="320"/>
      <c r="G123" s="320"/>
      <c r="H123" s="320"/>
      <c r="I123" s="184"/>
      <c r="J123" s="116"/>
    </row>
    <row r="124" spans="1:10" ht="15.75">
      <c r="A124" s="320" t="s">
        <v>131</v>
      </c>
      <c r="B124" s="320"/>
      <c r="C124" s="320"/>
      <c r="D124" s="320"/>
      <c r="E124" s="320"/>
      <c r="F124" s="320"/>
      <c r="G124" s="320"/>
      <c r="H124" s="320"/>
      <c r="I124" s="184"/>
      <c r="J124" s="116"/>
    </row>
    <row r="125" spans="1:9" ht="12.75">
      <c r="A125" s="313"/>
      <c r="B125" s="313"/>
      <c r="C125" s="313"/>
      <c r="D125" s="313"/>
      <c r="E125" s="313"/>
      <c r="F125" s="313"/>
      <c r="G125" s="313"/>
      <c r="H125" s="313"/>
      <c r="I125" s="313"/>
    </row>
  </sheetData>
  <sheetProtection/>
  <mergeCells count="145">
    <mergeCell ref="D6:G6"/>
    <mergeCell ref="E7:G7"/>
    <mergeCell ref="A1:H2"/>
    <mergeCell ref="A3:C3"/>
    <mergeCell ref="A4:C4"/>
    <mergeCell ref="A5:C5"/>
    <mergeCell ref="D3:G3"/>
    <mergeCell ref="D4:G4"/>
    <mergeCell ref="D5:G5"/>
    <mergeCell ref="A10:C10"/>
    <mergeCell ref="A11:C11"/>
    <mergeCell ref="A12:C12"/>
    <mergeCell ref="A13:C13"/>
    <mergeCell ref="A6:C6"/>
    <mergeCell ref="A7:C7"/>
    <mergeCell ref="A8:C8"/>
    <mergeCell ref="A9:C9"/>
    <mergeCell ref="A25:C25"/>
    <mergeCell ref="A14:C14"/>
    <mergeCell ref="A15:C15"/>
    <mergeCell ref="A16:C16"/>
    <mergeCell ref="A17:C17"/>
    <mergeCell ref="A18:C18"/>
    <mergeCell ref="A19:C19"/>
    <mergeCell ref="D66:D67"/>
    <mergeCell ref="E66:E67"/>
    <mergeCell ref="A39:C39"/>
    <mergeCell ref="A40:C40"/>
    <mergeCell ref="A26:C26"/>
    <mergeCell ref="A20:C20"/>
    <mergeCell ref="A21:C21"/>
    <mergeCell ref="A22:C22"/>
    <mergeCell ref="A23:C23"/>
    <mergeCell ref="A24:C24"/>
    <mergeCell ref="A120:C120"/>
    <mergeCell ref="A119:C119"/>
    <mergeCell ref="A118:C118"/>
    <mergeCell ref="A117:C117"/>
    <mergeCell ref="A114:C114"/>
    <mergeCell ref="A29:H29"/>
    <mergeCell ref="A30:C31"/>
    <mergeCell ref="D30:D31"/>
    <mergeCell ref="E30:E31"/>
    <mergeCell ref="A66:C67"/>
    <mergeCell ref="A101:C101"/>
    <mergeCell ref="A102:C102"/>
    <mergeCell ref="A103:C103"/>
    <mergeCell ref="A107:C107"/>
    <mergeCell ref="A116:C116"/>
    <mergeCell ref="A115:C115"/>
    <mergeCell ref="A113:C113"/>
    <mergeCell ref="A112:C112"/>
    <mergeCell ref="A104:C104"/>
    <mergeCell ref="A105:C105"/>
    <mergeCell ref="A106:C106"/>
    <mergeCell ref="A95:F95"/>
    <mergeCell ref="A96:F96"/>
    <mergeCell ref="A111:C111"/>
    <mergeCell ref="A110:H110"/>
    <mergeCell ref="A108:C108"/>
    <mergeCell ref="A99:C99"/>
    <mergeCell ref="A100:C100"/>
    <mergeCell ref="A94:C94"/>
    <mergeCell ref="A93:C93"/>
    <mergeCell ref="A92:C92"/>
    <mergeCell ref="A91:C91"/>
    <mergeCell ref="A90:C90"/>
    <mergeCell ref="A87:H87"/>
    <mergeCell ref="A88:C89"/>
    <mergeCell ref="D88:D89"/>
    <mergeCell ref="E88:E89"/>
    <mergeCell ref="A73:C73"/>
    <mergeCell ref="A74:F74"/>
    <mergeCell ref="A71:F71"/>
    <mergeCell ref="A72:C72"/>
    <mergeCell ref="A82:C82"/>
    <mergeCell ref="A83:C83"/>
    <mergeCell ref="A32:C32"/>
    <mergeCell ref="A33:C33"/>
    <mergeCell ref="A34:C34"/>
    <mergeCell ref="A35:C35"/>
    <mergeCell ref="A38:C38"/>
    <mergeCell ref="A41:C41"/>
    <mergeCell ref="A47:C47"/>
    <mergeCell ref="A48:C48"/>
    <mergeCell ref="A49:F49"/>
    <mergeCell ref="A36:C36"/>
    <mergeCell ref="A37:C37"/>
    <mergeCell ref="A43:F43"/>
    <mergeCell ref="A45:H45"/>
    <mergeCell ref="A42:C42"/>
    <mergeCell ref="A122:H122"/>
    <mergeCell ref="A55:C55"/>
    <mergeCell ref="A56:C56"/>
    <mergeCell ref="A57:C57"/>
    <mergeCell ref="A58:C58"/>
    <mergeCell ref="A70:C70"/>
    <mergeCell ref="A80:C80"/>
    <mergeCell ref="A85:F85"/>
    <mergeCell ref="A84:F84"/>
    <mergeCell ref="A76:H76"/>
    <mergeCell ref="A44:H44"/>
    <mergeCell ref="A64:H64"/>
    <mergeCell ref="A65:H65"/>
    <mergeCell ref="A97:H97"/>
    <mergeCell ref="A109:H109"/>
    <mergeCell ref="A50:H50"/>
    <mergeCell ref="A62:F62"/>
    <mergeCell ref="A51:H51"/>
    <mergeCell ref="A98:H98"/>
    <mergeCell ref="A46:C46"/>
    <mergeCell ref="A125:I125"/>
    <mergeCell ref="A27:C27"/>
    <mergeCell ref="A75:H75"/>
    <mergeCell ref="A86:H86"/>
    <mergeCell ref="A52:C52"/>
    <mergeCell ref="A53:C53"/>
    <mergeCell ref="A54:C54"/>
    <mergeCell ref="A123:H123"/>
    <mergeCell ref="A124:H124"/>
    <mergeCell ref="A28:H28"/>
    <mergeCell ref="A81:F81"/>
    <mergeCell ref="A59:C59"/>
    <mergeCell ref="A60:C60"/>
    <mergeCell ref="A61:C61"/>
    <mergeCell ref="A77:C77"/>
    <mergeCell ref="A78:C78"/>
    <mergeCell ref="A79:C79"/>
    <mergeCell ref="A68:C68"/>
    <mergeCell ref="A69:C69"/>
    <mergeCell ref="A63:F63"/>
    <mergeCell ref="E12:G12"/>
    <mergeCell ref="E13:G13"/>
    <mergeCell ref="E14:G14"/>
    <mergeCell ref="E15:G15"/>
    <mergeCell ref="E8:G8"/>
    <mergeCell ref="E9:G9"/>
    <mergeCell ref="E10:G10"/>
    <mergeCell ref="E11:G11"/>
    <mergeCell ref="E20:G20"/>
    <mergeCell ref="E27:G27"/>
    <mergeCell ref="E16:G16"/>
    <mergeCell ref="E17:G17"/>
    <mergeCell ref="E18:G18"/>
    <mergeCell ref="E19:G19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Nussio</dc:creator>
  <cp:keywords/>
  <dc:description/>
  <cp:lastModifiedBy>Mariana (Mafalda)</cp:lastModifiedBy>
  <cp:lastPrinted>2004-10-28T01:58:25Z</cp:lastPrinted>
  <dcterms:created xsi:type="dcterms:W3CDTF">2001-12-10T03:52:40Z</dcterms:created>
  <dcterms:modified xsi:type="dcterms:W3CDTF">2011-10-27T12:38:59Z</dcterms:modified>
  <cp:category/>
  <cp:version/>
  <cp:contentType/>
  <cp:contentStatus/>
</cp:coreProperties>
</file>