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runnocerozi/Google Drive (brunno.cerozi@usp.br)/Google Cloud/Active Documents/Aulas Ministradas/Graduação/LZT1696 - Piscicultura/Aula Formulação Rações/Formulacoes/"/>
    </mc:Choice>
  </mc:AlternateContent>
  <xr:revisionPtr revIDLastSave="0" documentId="13_ncr:1_{4EBF1FB0-9F45-4C41-8D76-A8DD1FABAC33}" xr6:coauthVersionLast="45" xr6:coauthVersionMax="45" xr10:uidLastSave="{00000000-0000-0000-0000-000000000000}"/>
  <bookViews>
    <workbookView xWindow="120" yWindow="460" windowWidth="31540" windowHeight="16840" activeTab="3" xr2:uid="{00000000-000D-0000-FFFF-FFFF00000000}"/>
  </bookViews>
  <sheets>
    <sheet name="INGREDIENTES" sheetId="6" r:id="rId1"/>
    <sheet name="EXIGENCIAS" sheetId="8" r:id="rId2"/>
    <sheet name="SOLVER" sheetId="10" r:id="rId3"/>
    <sheet name="TENTATIVA" sheetId="9" r:id="rId4"/>
  </sheets>
  <definedNames>
    <definedName name="AAS">TENTATIVA!$V$3:$V$15</definedName>
    <definedName name="AMIDO">TENTATIVA!$Q$3:$Q$15</definedName>
    <definedName name="BLOCO">EXIGENCIAS!$B$15:$G$35</definedName>
    <definedName name="CA">TENTATIVA!$R$3:$R$15</definedName>
    <definedName name="ED">TENTATIVA!$N$3:$N$15</definedName>
    <definedName name="EE">TENTATIVA!$P$3:$P$15</definedName>
    <definedName name="EXIGE">EXIGENCIAS!$J$16:$L$35</definedName>
    <definedName name="FB">TENTATIVA!$O$3:$O$15</definedName>
    <definedName name="LA">INGREDIENTES!$C$22:$C$34</definedName>
    <definedName name="LE">INGREDIENTES!$C$13:$C$21</definedName>
    <definedName name="LP">INGREDIENTES!$C$4:$C$12</definedName>
    <definedName name="LYS">TENTATIVA!$T$3:$T$15</definedName>
    <definedName name="MET">TENTATIVA!$U$3:$U$15</definedName>
    <definedName name="PB">TENTATIVA!$M$3:$M$15</definedName>
    <definedName name="PDISP">TENTATIVA!$S$3:$S$15</definedName>
    <definedName name="_xlnm.Print_Area" localSheetId="1">EXIGENCIAS!$A$1:$G$21</definedName>
    <definedName name="solver_adj" localSheetId="2" hidden="1">SOLVER!$C$19:$C$31</definedName>
    <definedName name="solver_cvg" localSheetId="2" hidden="1">0.0001</definedName>
    <definedName name="solver_drv" localSheetId="2" hidden="1">2</definedName>
    <definedName name="solver_eng" localSheetId="2" hidden="1">2</definedName>
    <definedName name="solver_est" localSheetId="2" hidden="1">1</definedName>
    <definedName name="solver_itr" localSheetId="2" hidden="1">2147483647</definedName>
    <definedName name="solver_lhs1" localSheetId="2" hidden="1">SOLVER!$C$23</definedName>
    <definedName name="solver_lhs10" localSheetId="2" hidden="1">SOLVER!$G$32</definedName>
    <definedName name="solver_lhs11" localSheetId="2" hidden="1">SOLVER!$H$32</definedName>
    <definedName name="solver_lhs12" localSheetId="2" hidden="1">SOLVER!$H$32</definedName>
    <definedName name="solver_lhs13" localSheetId="2" hidden="1">SOLVER!$I$32</definedName>
    <definedName name="solver_lhs14" localSheetId="2" hidden="1">SOLVER!$J$32</definedName>
    <definedName name="solver_lhs15" localSheetId="2" hidden="1">SOLVER!$K$32</definedName>
    <definedName name="solver_lhs2" localSheetId="2" hidden="1">SOLVER!$C$24</definedName>
    <definedName name="solver_lhs3" localSheetId="2" hidden="1">SOLVER!$C$30</definedName>
    <definedName name="solver_lhs4" localSheetId="2" hidden="1">SOLVER!$C$31</definedName>
    <definedName name="solver_lhs5" localSheetId="2" hidden="1">SOLVER!$C$32</definedName>
    <definedName name="solver_lhs6" localSheetId="2" hidden="1">SOLVER!$D$32</definedName>
    <definedName name="solver_lhs7" localSheetId="2" hidden="1">SOLVER!$E$32</definedName>
    <definedName name="solver_lhs8" localSheetId="2" hidden="1">SOLVER!$F$32</definedName>
    <definedName name="solver_lhs9" localSheetId="2" hidden="1">SOLVER!$G$32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15</definedName>
    <definedName name="solver_nwt" localSheetId="2" hidden="1">1</definedName>
    <definedName name="solver_opt" localSheetId="2" hidden="1">SOLVER!$L$32</definedName>
    <definedName name="solver_pre" localSheetId="2" hidden="1">0.000001</definedName>
    <definedName name="solver_rbv" localSheetId="2" hidden="1">2</definedName>
    <definedName name="solver_rel1" localSheetId="2" hidden="1">1</definedName>
    <definedName name="solver_rel10" localSheetId="2" hidden="1">3</definedName>
    <definedName name="solver_rel11" localSheetId="2" hidden="1">1</definedName>
    <definedName name="solver_rel12" localSheetId="2" hidden="1">3</definedName>
    <definedName name="solver_rel13" localSheetId="2" hidden="1">3</definedName>
    <definedName name="solver_rel14" localSheetId="2" hidden="1">3</definedName>
    <definedName name="solver_rel15" localSheetId="2" hidden="1">3</definedName>
    <definedName name="solver_rel2" localSheetId="2" hidden="1">1</definedName>
    <definedName name="solver_rel3" localSheetId="2" hidden="1">2</definedName>
    <definedName name="solver_rel4" localSheetId="2" hidden="1">2</definedName>
    <definedName name="solver_rel5" localSheetId="2" hidden="1">2</definedName>
    <definedName name="solver_rel6" localSheetId="2" hidden="1">3</definedName>
    <definedName name="solver_rel7" localSheetId="2" hidden="1">3</definedName>
    <definedName name="solver_rel8" localSheetId="2" hidden="1">1</definedName>
    <definedName name="solver_rel9" localSheetId="2" hidden="1">1</definedName>
    <definedName name="solver_rhs1" localSheetId="2" hidden="1">SOLVER!$N$23</definedName>
    <definedName name="solver_rhs10" localSheetId="2" hidden="1">SOLVER!$G$33</definedName>
    <definedName name="solver_rhs11" localSheetId="2" hidden="1">SOLVER!$H$34</definedName>
    <definedName name="solver_rhs12" localSheetId="2" hidden="1">SOLVER!$H$33</definedName>
    <definedName name="solver_rhs13" localSheetId="2" hidden="1">SOLVER!$I$33</definedName>
    <definedName name="solver_rhs14" localSheetId="2" hidden="1">SOLVER!$J$33</definedName>
    <definedName name="solver_rhs15" localSheetId="2" hidden="1">SOLVER!$K$33</definedName>
    <definedName name="solver_rhs2" localSheetId="2" hidden="1">SOLVER!$N$24</definedName>
    <definedName name="solver_rhs3" localSheetId="2" hidden="1">SOLVER!$N$30</definedName>
    <definedName name="solver_rhs4" localSheetId="2" hidden="1">SOLVER!$N$31</definedName>
    <definedName name="solver_rhs5" localSheetId="2" hidden="1">SOLVER!$C$33</definedName>
    <definedName name="solver_rhs6" localSheetId="2" hidden="1">SOLVER!$D$33</definedName>
    <definedName name="solver_rhs7" localSheetId="2" hidden="1">SOLVER!$E$33</definedName>
    <definedName name="solver_rhs8" localSheetId="2" hidden="1">SOLVER!$F$33</definedName>
    <definedName name="solver_rhs9" localSheetId="2" hidden="1">SOLVER!$G$34</definedName>
    <definedName name="solver_rlx" localSheetId="2" hidden="1">2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val" localSheetId="2" hidden="1">0</definedName>
    <definedName name="solver_ver" localSheetId="2" hidden="1">3</definedName>
    <definedName name="TA">INGREDIENTES!$B$22:$M$34</definedName>
    <definedName name="TE">INGREDIENTES!$B$13:$M$21</definedName>
    <definedName name="TOT">TENTATIVA!$D$3:$D$15</definedName>
    <definedName name="TP">INGREDIENTES!$B$4:$M$12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9" l="1"/>
  <c r="H34" i="10" l="1"/>
  <c r="L20" i="10"/>
  <c r="L21" i="10"/>
  <c r="L22" i="10"/>
  <c r="L23" i="10"/>
  <c r="L24" i="10"/>
  <c r="L25" i="10"/>
  <c r="L26" i="10"/>
  <c r="L27" i="10"/>
  <c r="L28" i="10"/>
  <c r="L29" i="10"/>
  <c r="L30" i="10"/>
  <c r="L31" i="10"/>
  <c r="L19" i="10"/>
  <c r="F20" i="10"/>
  <c r="G20" i="10"/>
  <c r="H20" i="10"/>
  <c r="I20" i="10"/>
  <c r="J20" i="10"/>
  <c r="K20" i="10"/>
  <c r="F21" i="10"/>
  <c r="G21" i="10"/>
  <c r="H21" i="10"/>
  <c r="I21" i="10"/>
  <c r="J21" i="10"/>
  <c r="K21" i="10"/>
  <c r="F22" i="10"/>
  <c r="G22" i="10"/>
  <c r="H22" i="10"/>
  <c r="I22" i="10"/>
  <c r="J22" i="10"/>
  <c r="K22" i="10"/>
  <c r="F23" i="10"/>
  <c r="G23" i="10"/>
  <c r="H23" i="10"/>
  <c r="I23" i="10"/>
  <c r="J23" i="10"/>
  <c r="K23" i="10"/>
  <c r="F24" i="10"/>
  <c r="G24" i="10"/>
  <c r="H24" i="10"/>
  <c r="I24" i="10"/>
  <c r="J24" i="10"/>
  <c r="K24" i="10"/>
  <c r="F25" i="10"/>
  <c r="G25" i="10"/>
  <c r="H25" i="10"/>
  <c r="I25" i="10"/>
  <c r="J25" i="10"/>
  <c r="K25" i="10"/>
  <c r="F26" i="10"/>
  <c r="G26" i="10"/>
  <c r="H26" i="10"/>
  <c r="I26" i="10"/>
  <c r="J26" i="10"/>
  <c r="K26" i="10"/>
  <c r="F27" i="10"/>
  <c r="G27" i="10"/>
  <c r="H27" i="10"/>
  <c r="I27" i="10"/>
  <c r="J27" i="10"/>
  <c r="K27" i="10"/>
  <c r="F28" i="10"/>
  <c r="G28" i="10"/>
  <c r="H28" i="10"/>
  <c r="I28" i="10"/>
  <c r="J28" i="10"/>
  <c r="K28" i="10"/>
  <c r="F29" i="10"/>
  <c r="G29" i="10"/>
  <c r="H29" i="10"/>
  <c r="I29" i="10"/>
  <c r="J29" i="10"/>
  <c r="K29" i="10"/>
  <c r="F30" i="10"/>
  <c r="G30" i="10"/>
  <c r="H30" i="10"/>
  <c r="I30" i="10"/>
  <c r="J30" i="10"/>
  <c r="K30" i="10"/>
  <c r="F31" i="10"/>
  <c r="G31" i="10"/>
  <c r="H31" i="10"/>
  <c r="I31" i="10"/>
  <c r="J31" i="10"/>
  <c r="K31" i="10"/>
  <c r="G19" i="10"/>
  <c r="H19" i="10"/>
  <c r="I19" i="10"/>
  <c r="J19" i="10"/>
  <c r="K19" i="10"/>
  <c r="F19" i="10"/>
  <c r="E20" i="10"/>
  <c r="E21" i="10"/>
  <c r="E22" i="10"/>
  <c r="E23" i="10"/>
  <c r="E24" i="10"/>
  <c r="E25" i="10"/>
  <c r="E26" i="10"/>
  <c r="E27" i="10"/>
  <c r="E28" i="10"/>
  <c r="E29" i="10"/>
  <c r="E30" i="10"/>
  <c r="E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19" i="10"/>
  <c r="C32" i="10"/>
  <c r="B30" i="10"/>
  <c r="B31" i="10"/>
  <c r="B20" i="10"/>
  <c r="B21" i="10"/>
  <c r="B22" i="10"/>
  <c r="B23" i="10"/>
  <c r="B24" i="10"/>
  <c r="B25" i="10"/>
  <c r="B26" i="10"/>
  <c r="B27" i="10"/>
  <c r="B28" i="10"/>
  <c r="B29" i="10"/>
  <c r="B19" i="10"/>
  <c r="E18" i="10"/>
  <c r="F18" i="10"/>
  <c r="G18" i="10"/>
  <c r="H18" i="10"/>
  <c r="I18" i="10"/>
  <c r="J18" i="10"/>
  <c r="K18" i="10"/>
  <c r="D18" i="10"/>
  <c r="B18" i="10"/>
  <c r="G32" i="10" l="1"/>
  <c r="K32" i="10"/>
  <c r="L32" i="10"/>
  <c r="F32" i="10"/>
  <c r="J32" i="10"/>
  <c r="H32" i="10"/>
  <c r="I32" i="10"/>
  <c r="D32" i="10"/>
  <c r="E32" i="10"/>
  <c r="H17" i="8"/>
  <c r="H18" i="8" s="1"/>
  <c r="D16" i="9"/>
  <c r="L13" i="8"/>
  <c r="F21" i="8"/>
  <c r="L21" i="8" s="1"/>
  <c r="F20" i="8"/>
  <c r="L20" i="8" s="1"/>
  <c r="F19" i="8"/>
  <c r="L19" i="8" s="1"/>
  <c r="F18" i="8"/>
  <c r="L18" i="8" s="1"/>
  <c r="D21" i="8"/>
  <c r="K21" i="8" s="1"/>
  <c r="D20" i="8"/>
  <c r="K20" i="8" s="1"/>
  <c r="D19" i="8"/>
  <c r="K19" i="8" s="1"/>
  <c r="D18" i="8"/>
  <c r="K18" i="8" s="1"/>
  <c r="B21" i="8"/>
  <c r="J21" i="8" s="1"/>
  <c r="B20" i="8"/>
  <c r="J20" i="8" s="1"/>
  <c r="B19" i="8"/>
  <c r="J19" i="8" s="1"/>
  <c r="B18" i="8"/>
  <c r="J18" i="8" s="1"/>
  <c r="H2" i="9"/>
  <c r="L14" i="8"/>
  <c r="V2" i="9"/>
  <c r="S2" i="9"/>
  <c r="T2" i="9"/>
  <c r="U2" i="9"/>
  <c r="N2" i="9"/>
  <c r="O2" i="9"/>
  <c r="P2" i="9"/>
  <c r="Q2" i="9"/>
  <c r="R2" i="9"/>
  <c r="M2" i="9"/>
  <c r="H16" i="9" l="1"/>
  <c r="I16" i="9" s="1"/>
  <c r="N18" i="8"/>
  <c r="G11" i="9" s="1"/>
  <c r="H19" i="8"/>
  <c r="H20" i="8" l="1"/>
  <c r="N19" i="8"/>
  <c r="G12" i="9" s="1"/>
  <c r="B17" i="8"/>
  <c r="D17" i="8"/>
  <c r="F17" i="8"/>
  <c r="M13" i="8"/>
  <c r="L17" i="8"/>
  <c r="K17" i="8"/>
  <c r="J17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22" i="8"/>
  <c r="F35" i="8"/>
  <c r="L35" i="8" s="1"/>
  <c r="D35" i="8"/>
  <c r="K35" i="8" s="1"/>
  <c r="B35" i="8"/>
  <c r="J35" i="8" s="1"/>
  <c r="F34" i="8"/>
  <c r="L34" i="8" s="1"/>
  <c r="D34" i="8"/>
  <c r="K34" i="8" s="1"/>
  <c r="B34" i="8"/>
  <c r="J34" i="8" s="1"/>
  <c r="F33" i="8"/>
  <c r="L33" i="8" s="1"/>
  <c r="D33" i="8"/>
  <c r="K33" i="8" s="1"/>
  <c r="B33" i="8"/>
  <c r="J33" i="8" s="1"/>
  <c r="F32" i="8"/>
  <c r="L32" i="8" s="1"/>
  <c r="D32" i="8"/>
  <c r="K32" i="8" s="1"/>
  <c r="B32" i="8"/>
  <c r="J32" i="8" s="1"/>
  <c r="F31" i="8"/>
  <c r="L31" i="8" s="1"/>
  <c r="D31" i="8"/>
  <c r="K31" i="8" s="1"/>
  <c r="B31" i="8"/>
  <c r="J31" i="8" s="1"/>
  <c r="F30" i="8"/>
  <c r="L30" i="8" s="1"/>
  <c r="D30" i="8"/>
  <c r="K30" i="8" s="1"/>
  <c r="B30" i="8"/>
  <c r="J30" i="8" s="1"/>
  <c r="F29" i="8"/>
  <c r="L29" i="8" s="1"/>
  <c r="D29" i="8"/>
  <c r="K29" i="8" s="1"/>
  <c r="B29" i="8"/>
  <c r="J29" i="8" s="1"/>
  <c r="G28" i="8"/>
  <c r="F28" i="8" s="1"/>
  <c r="L28" i="8" s="1"/>
  <c r="E28" i="8"/>
  <c r="D28" i="8" s="1"/>
  <c r="K28" i="8" s="1"/>
  <c r="C28" i="8"/>
  <c r="B28" i="8" s="1"/>
  <c r="J28" i="8" s="1"/>
  <c r="F27" i="8"/>
  <c r="L27" i="8" s="1"/>
  <c r="D27" i="8"/>
  <c r="K27" i="8" s="1"/>
  <c r="B27" i="8"/>
  <c r="J27" i="8" s="1"/>
  <c r="F26" i="8"/>
  <c r="L26" i="8" s="1"/>
  <c r="D26" i="8"/>
  <c r="K26" i="8" s="1"/>
  <c r="B26" i="8"/>
  <c r="J26" i="8" s="1"/>
  <c r="F25" i="8"/>
  <c r="L25" i="8" s="1"/>
  <c r="D25" i="8"/>
  <c r="K25" i="8" s="1"/>
  <c r="B25" i="8"/>
  <c r="J25" i="8" s="1"/>
  <c r="F24" i="8"/>
  <c r="L24" i="8" s="1"/>
  <c r="D24" i="8"/>
  <c r="K24" i="8" s="1"/>
  <c r="B24" i="8"/>
  <c r="J24" i="8" s="1"/>
  <c r="F23" i="8"/>
  <c r="L23" i="8" s="1"/>
  <c r="D23" i="8"/>
  <c r="K23" i="8" s="1"/>
  <c r="B23" i="8"/>
  <c r="J23" i="8" s="1"/>
  <c r="F22" i="8"/>
  <c r="L22" i="8" s="1"/>
  <c r="D22" i="8"/>
  <c r="K22" i="8" s="1"/>
  <c r="B22" i="8"/>
  <c r="J22" i="8" s="1"/>
  <c r="F13" i="8"/>
  <c r="D13" i="8"/>
  <c r="B13" i="8"/>
  <c r="F8" i="8"/>
  <c r="D8" i="8"/>
  <c r="B8" i="8"/>
  <c r="B4" i="6"/>
  <c r="B13" i="6"/>
  <c r="B22" i="6"/>
  <c r="B23" i="6" l="1"/>
  <c r="B24" i="6" s="1"/>
  <c r="B25" i="6" s="1"/>
  <c r="B26" i="6" s="1"/>
  <c r="B27" i="6" s="1"/>
  <c r="L12" i="9"/>
  <c r="B5" i="6"/>
  <c r="B14" i="6"/>
  <c r="L6" i="9" s="1"/>
  <c r="N17" i="8"/>
  <c r="G6" i="9" s="1"/>
  <c r="H21" i="8"/>
  <c r="N20" i="8"/>
  <c r="G8" i="9" s="1"/>
  <c r="B15" i="6"/>
  <c r="B16" i="6" s="1"/>
  <c r="B17" i="6" s="1"/>
  <c r="L10" i="9" l="1"/>
  <c r="L11" i="9"/>
  <c r="B6" i="6"/>
  <c r="B18" i="6"/>
  <c r="U6" i="9"/>
  <c r="S6" i="9"/>
  <c r="Q6" i="9"/>
  <c r="O6" i="9"/>
  <c r="M6" i="9"/>
  <c r="V6" i="9"/>
  <c r="T6" i="9"/>
  <c r="R6" i="9"/>
  <c r="P6" i="9"/>
  <c r="N6" i="9"/>
  <c r="B28" i="6"/>
  <c r="B29" i="6" s="1"/>
  <c r="B30" i="6" s="1"/>
  <c r="B31" i="6" s="1"/>
  <c r="B32" i="6" s="1"/>
  <c r="B33" i="6" s="1"/>
  <c r="B34" i="6" s="1"/>
  <c r="O12" i="9"/>
  <c r="V11" i="9"/>
  <c r="R11" i="9"/>
  <c r="N11" i="9"/>
  <c r="S10" i="9"/>
  <c r="O10" i="9"/>
  <c r="V12" i="9"/>
  <c r="R12" i="9"/>
  <c r="N12" i="9"/>
  <c r="S11" i="9"/>
  <c r="O11" i="9"/>
  <c r="V10" i="9"/>
  <c r="R10" i="9"/>
  <c r="P10" i="9"/>
  <c r="N10" i="9"/>
  <c r="H22" i="8"/>
  <c r="N21" i="8"/>
  <c r="G9" i="9" s="1"/>
  <c r="B7" i="6" l="1"/>
  <c r="B8" i="6" s="1"/>
  <c r="T10" i="9"/>
  <c r="M11" i="9"/>
  <c r="Q11" i="9"/>
  <c r="U11" i="9"/>
  <c r="P12" i="9"/>
  <c r="T12" i="9"/>
  <c r="M10" i="9"/>
  <c r="Q10" i="9"/>
  <c r="U10" i="9"/>
  <c r="P11" i="9"/>
  <c r="T11" i="9"/>
  <c r="M12" i="9"/>
  <c r="S12" i="9"/>
  <c r="Q12" i="9"/>
  <c r="U12" i="9"/>
  <c r="L13" i="9"/>
  <c r="L14" i="9"/>
  <c r="L15" i="9"/>
  <c r="B9" i="6"/>
  <c r="B10" i="6" s="1"/>
  <c r="B11" i="6" s="1"/>
  <c r="B12" i="6" s="1"/>
  <c r="U4" i="9"/>
  <c r="S4" i="9"/>
  <c r="Q4" i="9"/>
  <c r="V3" i="9"/>
  <c r="T3" i="9"/>
  <c r="R3" i="9"/>
  <c r="P3" i="9"/>
  <c r="N3" i="9"/>
  <c r="V4" i="9"/>
  <c r="T4" i="9"/>
  <c r="R4" i="9"/>
  <c r="U3" i="9"/>
  <c r="S3" i="9"/>
  <c r="Q3" i="9"/>
  <c r="O3" i="9"/>
  <c r="M3" i="9"/>
  <c r="B19" i="6"/>
  <c r="L3" i="9"/>
  <c r="H23" i="8"/>
  <c r="N22" i="8"/>
  <c r="L4" i="9" l="1"/>
  <c r="M5" i="9"/>
  <c r="U5" i="9"/>
  <c r="N4" i="9"/>
  <c r="M4" i="9"/>
  <c r="P4" i="9"/>
  <c r="O4" i="9"/>
  <c r="Q5" i="9"/>
  <c r="P5" i="9"/>
  <c r="T5" i="9"/>
  <c r="B20" i="6"/>
  <c r="B21" i="6" s="1"/>
  <c r="P7" i="9"/>
  <c r="L9" i="9"/>
  <c r="L7" i="9"/>
  <c r="L5" i="9"/>
  <c r="O5" i="9"/>
  <c r="S5" i="9"/>
  <c r="N5" i="9"/>
  <c r="R5" i="9"/>
  <c r="V5" i="9"/>
  <c r="P13" i="9"/>
  <c r="R15" i="9"/>
  <c r="S14" i="9"/>
  <c r="O14" i="9"/>
  <c r="U15" i="9"/>
  <c r="M15" i="9"/>
  <c r="T14" i="9"/>
  <c r="P14" i="9"/>
  <c r="P15" i="9"/>
  <c r="U14" i="9"/>
  <c r="Q14" i="9"/>
  <c r="M14" i="9"/>
  <c r="S15" i="9"/>
  <c r="V14" i="9"/>
  <c r="R14" i="9"/>
  <c r="N14" i="9"/>
  <c r="H24" i="8"/>
  <c r="N23" i="8"/>
  <c r="U7" i="9" l="1"/>
  <c r="M9" i="9"/>
  <c r="M7" i="9"/>
  <c r="Q9" i="9"/>
  <c r="R9" i="9"/>
  <c r="Q7" i="9"/>
  <c r="V7" i="9"/>
  <c r="N7" i="9"/>
  <c r="O7" i="9"/>
  <c r="O9" i="9"/>
  <c r="U9" i="9"/>
  <c r="R7" i="9"/>
  <c r="N9" i="9"/>
  <c r="V9" i="9"/>
  <c r="S7" i="9"/>
  <c r="S9" i="9"/>
  <c r="P9" i="9"/>
  <c r="N8" i="9"/>
  <c r="V8" i="9"/>
  <c r="Q8" i="9"/>
  <c r="P8" i="9"/>
  <c r="H9" i="9" s="1"/>
  <c r="I9" i="9" s="1"/>
  <c r="O8" i="9"/>
  <c r="L8" i="9"/>
  <c r="R8" i="9"/>
  <c r="M8" i="9"/>
  <c r="U8" i="9"/>
  <c r="T8" i="9"/>
  <c r="S8" i="9"/>
  <c r="O13" i="9"/>
  <c r="Q13" i="9"/>
  <c r="N13" i="9"/>
  <c r="V13" i="9"/>
  <c r="M13" i="9"/>
  <c r="H6" i="9" s="1"/>
  <c r="I6" i="9" s="1"/>
  <c r="U13" i="9"/>
  <c r="H14" i="9" s="1"/>
  <c r="R13" i="9"/>
  <c r="T7" i="9"/>
  <c r="T9" i="9"/>
  <c r="T13" i="9"/>
  <c r="S13" i="9"/>
  <c r="O15" i="9"/>
  <c r="T15" i="9"/>
  <c r="Q15" i="9"/>
  <c r="N15" i="9"/>
  <c r="H7" i="9" s="1"/>
  <c r="V15" i="9"/>
  <c r="H25" i="8"/>
  <c r="N24" i="8"/>
  <c r="H8" i="9" l="1"/>
  <c r="I8" i="9" s="1"/>
  <c r="H12" i="9"/>
  <c r="I12" i="9" s="1"/>
  <c r="H11" i="9"/>
  <c r="I11" i="9" s="1"/>
  <c r="I7" i="9"/>
  <c r="H13" i="9"/>
  <c r="H15" i="9"/>
  <c r="H10" i="9"/>
  <c r="I10" i="9" s="1"/>
  <c r="H26" i="8"/>
  <c r="N25" i="8"/>
  <c r="H27" i="8" l="1"/>
  <c r="N26" i="8"/>
  <c r="G13" i="9" s="1"/>
  <c r="I13" i="9" s="1"/>
  <c r="H28" i="8" l="1"/>
  <c r="N27" i="8"/>
  <c r="G14" i="9" s="1"/>
  <c r="I14" i="9" s="1"/>
  <c r="H29" i="8" l="1"/>
  <c r="N28" i="8"/>
  <c r="G15" i="9" s="1"/>
  <c r="I15" i="9" s="1"/>
  <c r="H30" i="8" l="1"/>
  <c r="N29" i="8"/>
  <c r="H31" i="8" l="1"/>
  <c r="N30" i="8"/>
  <c r="H32" i="8" l="1"/>
  <c r="N31" i="8"/>
  <c r="H33" i="8" l="1"/>
  <c r="N32" i="8"/>
  <c r="H34" i="8" l="1"/>
  <c r="N33" i="8"/>
  <c r="H35" i="8" l="1"/>
  <c r="N35" i="8" s="1"/>
  <c r="N34" i="8"/>
</calcChain>
</file>

<file path=xl/sharedStrings.xml><?xml version="1.0" encoding="utf-8"?>
<sst xmlns="http://schemas.openxmlformats.org/spreadsheetml/2006/main" count="180" uniqueCount="119">
  <si>
    <t>1</t>
  </si>
  <si>
    <t>ED (Kcal/kg)</t>
  </si>
  <si>
    <t>Arginina</t>
  </si>
  <si>
    <t>Histidina</t>
  </si>
  <si>
    <t>Isoleucina</t>
  </si>
  <si>
    <t>Leucina</t>
  </si>
  <si>
    <t xml:space="preserve">Lysina </t>
  </si>
  <si>
    <t>Methionina</t>
  </si>
  <si>
    <t>Cistina</t>
  </si>
  <si>
    <t>Fenilalanina</t>
  </si>
  <si>
    <t>Tirosina</t>
  </si>
  <si>
    <t>Treonina</t>
  </si>
  <si>
    <t>Triptofano</t>
  </si>
  <si>
    <t>Valina</t>
  </si>
  <si>
    <t>Omega - 3</t>
  </si>
  <si>
    <t>0,5 - 1,0</t>
  </si>
  <si>
    <t>EXIGENCIAS NUTRICIONAIS PELA TILAPIA DO NILO</t>
  </si>
  <si>
    <t>FASE DE PRODUCAO</t>
  </si>
  <si>
    <t>0,5 - 10</t>
  </si>
  <si>
    <t>10 - 150</t>
  </si>
  <si>
    <t>JUVENIS</t>
  </si>
  <si>
    <t xml:space="preserve">Relaçao Ca:Pdisp </t>
  </si>
  <si>
    <t>Omega - 6</t>
  </si>
  <si>
    <t>Amido</t>
  </si>
  <si>
    <t>AAS</t>
  </si>
  <si>
    <t>%</t>
  </si>
  <si>
    <t>Kcal/kg</t>
  </si>
  <si>
    <t>PROTÉICOS</t>
  </si>
  <si>
    <t xml:space="preserve">Vísceras Aves, Farinha     </t>
  </si>
  <si>
    <t>ENERGÉTICOS</t>
  </si>
  <si>
    <t xml:space="preserve">Trigo, Farelo </t>
  </si>
  <si>
    <t>Milho, Farinha</t>
  </si>
  <si>
    <t>Arroz, Quirera</t>
  </si>
  <si>
    <t>Óleo de Milho</t>
  </si>
  <si>
    <t>Sem ingrediente</t>
  </si>
  <si>
    <t>ADITIVOS</t>
  </si>
  <si>
    <t>L- Lisina HCL</t>
  </si>
  <si>
    <t>Premix</t>
  </si>
  <si>
    <t>PB</t>
  </si>
  <si>
    <t>ED</t>
  </si>
  <si>
    <t>FB</t>
  </si>
  <si>
    <t>EE</t>
  </si>
  <si>
    <t>Ca</t>
  </si>
  <si>
    <t>P disp</t>
  </si>
  <si>
    <t>Ingredientes</t>
  </si>
  <si>
    <t>Peso dos animais, g</t>
  </si>
  <si>
    <t>Relaçao ED:PB</t>
  </si>
  <si>
    <t>FB, %</t>
  </si>
  <si>
    <t>EE, % mínimo</t>
  </si>
  <si>
    <t>Ca, % mínimo</t>
  </si>
  <si>
    <t>P disp, % mínimo</t>
  </si>
  <si>
    <t>ALEVINOS</t>
  </si>
  <si>
    <t>PB,%</t>
  </si>
  <si>
    <t>Itens</t>
  </si>
  <si>
    <t>Methionine+Cistina</t>
  </si>
  <si>
    <t>Fenilalanina+Tirosina</t>
  </si>
  <si>
    <t>&gt; 150</t>
  </si>
  <si>
    <t xml:space="preserve">FINAL </t>
  </si>
  <si>
    <t>REPRODUTORES</t>
  </si>
  <si>
    <t>ÁCIDOS GRAXOS</t>
  </si>
  <si>
    <t>FASE</t>
  </si>
  <si>
    <t>FASES</t>
  </si>
  <si>
    <t>kcal/kg</t>
  </si>
  <si>
    <t>LYS</t>
  </si>
  <si>
    <t>MET</t>
  </si>
  <si>
    <t>Peixe, Farinha-54</t>
  </si>
  <si>
    <t>Soja, Farelo-45</t>
  </si>
  <si>
    <t>Carne e Ossos, Far.-38</t>
  </si>
  <si>
    <t>Carne e Ossos, Far.-41</t>
  </si>
  <si>
    <t>Carne e Ossos Far.-45</t>
  </si>
  <si>
    <t xml:space="preserve">Levedura de Cana </t>
  </si>
  <si>
    <t>Milho, Glúten-60</t>
  </si>
  <si>
    <t>Sorgo BT</t>
  </si>
  <si>
    <t>Óleo de Peixe</t>
  </si>
  <si>
    <t xml:space="preserve">Óleo de Soja </t>
  </si>
  <si>
    <t>L-Triptofano</t>
  </si>
  <si>
    <t>DL-Metionina</t>
  </si>
  <si>
    <t>L-Treonina</t>
  </si>
  <si>
    <t>Fosfato bicálcico</t>
  </si>
  <si>
    <t>Calcário calcítico</t>
  </si>
  <si>
    <t>BHT - Antioxidante</t>
  </si>
  <si>
    <t>Sal comum</t>
  </si>
  <si>
    <t>Vitamina C -35</t>
  </si>
  <si>
    <t>Cloreto de Colina-70</t>
  </si>
  <si>
    <t>Ração</t>
  </si>
  <si>
    <t>INGREDIENTES PARA PEIXES TROPICAIS</t>
  </si>
  <si>
    <t>INGREDIENTES</t>
  </si>
  <si>
    <t>TOTAL</t>
  </si>
  <si>
    <t>NUTRIENTES</t>
  </si>
  <si>
    <t>EXIGE</t>
  </si>
  <si>
    <t>FORNECE</t>
  </si>
  <si>
    <t>EXC/DEF</t>
  </si>
  <si>
    <t>AMIDO</t>
  </si>
  <si>
    <t>P Disp</t>
  </si>
  <si>
    <t xml:space="preserve"> (Kcal kg-1)</t>
  </si>
  <si>
    <t>MILHO</t>
  </si>
  <si>
    <t>SORGO</t>
  </si>
  <si>
    <t>FAR. SOJA</t>
  </si>
  <si>
    <t>FAR. ALGODÃO</t>
  </si>
  <si>
    <t>FAR. CARNE</t>
  </si>
  <si>
    <t>ÓLEO DE SOJA</t>
  </si>
  <si>
    <t>FAR. TRIGO</t>
  </si>
  <si>
    <t>DL-MET</t>
  </si>
  <si>
    <t>L-LYS</t>
  </si>
  <si>
    <t>FOSF.BICAL</t>
  </si>
  <si>
    <t>CALCARIO</t>
  </si>
  <si>
    <t>PREMIX</t>
  </si>
  <si>
    <t>SAL</t>
  </si>
  <si>
    <t>CUSTO</t>
  </si>
  <si>
    <t>EM</t>
  </si>
  <si>
    <t>P</t>
  </si>
  <si>
    <t>QUANT</t>
  </si>
  <si>
    <t>EXIGÊNCIA</t>
  </si>
  <si>
    <t>IGUAL</t>
  </si>
  <si>
    <t>MIN</t>
  </si>
  <si>
    <t>MAX</t>
  </si>
  <si>
    <t>MIN/MAX</t>
  </si>
  <si>
    <t>LIMITES</t>
  </si>
  <si>
    <t>Celulose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</si>
</sst>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[$€-2]\ * #,##0.00_ ;_ [$€-2]\ * \-#,##0.00_ ;_ [$€-2]\ * &quot;-&quot;??_ "/>
    <numFmt numFmtId="166" formatCode="0.00_ ;[Red]\-0.00\ "/>
    <numFmt numFmtId="167" formatCode="0_ ;[Red]\-0\ "/>
    <numFmt numFmtId="168" formatCode="0.00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6">
    <xf numFmtId="0" fontId="0" fillId="0" borderId="0" xfId="0"/>
    <xf numFmtId="0" fontId="4" fillId="0" borderId="0" xfId="0" applyFont="1"/>
    <xf numFmtId="4" fontId="4" fillId="0" borderId="0" xfId="0" applyNumberFormat="1" applyFont="1"/>
    <xf numFmtId="4" fontId="4" fillId="0" borderId="0" xfId="0" applyNumberFormat="1" applyFont="1" applyBorder="1"/>
    <xf numFmtId="0" fontId="3" fillId="0" borderId="0" xfId="0" applyFont="1"/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2" fontId="4" fillId="0" borderId="12" xfId="0" applyNumberFormat="1" applyFont="1" applyBorder="1"/>
    <xf numFmtId="0" fontId="3" fillId="0" borderId="9" xfId="0" applyFont="1" applyBorder="1" applyAlignment="1">
      <alignment horizontal="center" vertical="center" wrapText="1"/>
    </xf>
    <xf numFmtId="2" fontId="4" fillId="0" borderId="19" xfId="0" applyNumberFormat="1" applyFont="1" applyBorder="1"/>
    <xf numFmtId="0" fontId="4" fillId="0" borderId="19" xfId="0" applyFont="1" applyBorder="1"/>
    <xf numFmtId="0" fontId="3" fillId="0" borderId="10" xfId="0" applyFont="1" applyBorder="1" applyAlignment="1">
      <alignment horizontal="center" vertical="center" wrapText="1"/>
    </xf>
    <xf numFmtId="2" fontId="4" fillId="0" borderId="14" xfId="0" applyNumberFormat="1" applyFont="1" applyBorder="1"/>
    <xf numFmtId="0" fontId="4" fillId="0" borderId="14" xfId="0" applyFont="1" applyBorder="1"/>
    <xf numFmtId="0" fontId="4" fillId="0" borderId="12" xfId="0" applyFont="1" applyBorder="1"/>
    <xf numFmtId="4" fontId="4" fillId="0" borderId="12" xfId="0" applyNumberFormat="1" applyFont="1" applyBorder="1"/>
    <xf numFmtId="3" fontId="4" fillId="0" borderId="12" xfId="0" applyNumberFormat="1" applyFont="1" applyBorder="1"/>
    <xf numFmtId="4" fontId="4" fillId="0" borderId="19" xfId="0" applyNumberFormat="1" applyFont="1" applyBorder="1"/>
    <xf numFmtId="3" fontId="4" fillId="0" borderId="19" xfId="0" applyNumberFormat="1" applyFont="1" applyBorder="1"/>
    <xf numFmtId="4" fontId="4" fillId="0" borderId="14" xfId="0" applyNumberFormat="1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/>
    <xf numFmtId="4" fontId="3" fillId="0" borderId="7" xfId="0" applyNumberFormat="1" applyFont="1" applyBorder="1"/>
    <xf numFmtId="4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left" vertical="center" wrapText="1"/>
    </xf>
    <xf numFmtId="4" fontId="3" fillId="0" borderId="4" xfId="0" applyNumberFormat="1" applyFont="1" applyBorder="1"/>
    <xf numFmtId="49" fontId="5" fillId="0" borderId="0" xfId="0" applyNumberFormat="1" applyFont="1" applyFill="1"/>
    <xf numFmtId="49" fontId="5" fillId="0" borderId="0" xfId="0" applyNumberFormat="1" applyFont="1" applyFill="1" applyAlignment="1"/>
    <xf numFmtId="2" fontId="5" fillId="0" borderId="0" xfId="0" applyNumberFormat="1" applyFont="1" applyFill="1"/>
    <xf numFmtId="0" fontId="5" fillId="0" borderId="0" xfId="0" applyFont="1"/>
    <xf numFmtId="4" fontId="5" fillId="0" borderId="0" xfId="0" applyNumberFormat="1" applyFont="1" applyFill="1"/>
    <xf numFmtId="0" fontId="5" fillId="0" borderId="0" xfId="0" applyFont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left" vertical="center" wrapText="1"/>
    </xf>
    <xf numFmtId="49" fontId="5" fillId="0" borderId="35" xfId="0" applyNumberFormat="1" applyFont="1" applyFill="1" applyBorder="1"/>
    <xf numFmtId="49" fontId="5" fillId="0" borderId="36" xfId="0" applyNumberFormat="1" applyFont="1" applyFill="1" applyBorder="1"/>
    <xf numFmtId="2" fontId="5" fillId="0" borderId="3" xfId="0" applyNumberFormat="1" applyFont="1" applyFill="1" applyBorder="1" applyAlignment="1">
      <alignment horizontal="center"/>
    </xf>
    <xf numFmtId="49" fontId="5" fillId="0" borderId="34" xfId="0" applyNumberFormat="1" applyFont="1" applyFill="1" applyBorder="1"/>
    <xf numFmtId="2" fontId="5" fillId="0" borderId="2" xfId="2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8" xfId="2" applyNumberFormat="1" applyFont="1" applyFill="1" applyBorder="1" applyAlignment="1">
      <alignment horizontal="center"/>
    </xf>
    <xf numFmtId="49" fontId="5" fillId="0" borderId="42" xfId="0" applyNumberFormat="1" applyFont="1" applyFill="1" applyBorder="1"/>
    <xf numFmtId="2" fontId="5" fillId="0" borderId="1" xfId="2" applyNumberFormat="1" applyFont="1" applyFill="1" applyBorder="1" applyAlignment="1">
      <alignment horizontal="center"/>
    </xf>
    <xf numFmtId="2" fontId="5" fillId="0" borderId="7" xfId="2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49" fontId="5" fillId="0" borderId="35" xfId="0" applyNumberFormat="1" applyFont="1" applyBorder="1"/>
    <xf numFmtId="49" fontId="5" fillId="0" borderId="36" xfId="0" applyNumberFormat="1" applyFont="1" applyBorder="1"/>
    <xf numFmtId="2" fontId="5" fillId="0" borderId="11" xfId="0" applyNumberFormat="1" applyFont="1" applyBorder="1"/>
    <xf numFmtId="2" fontId="5" fillId="0" borderId="9" xfId="0" applyNumberFormat="1" applyFont="1" applyBorder="1"/>
    <xf numFmtId="2" fontId="5" fillId="0" borderId="10" xfId="0" applyNumberFormat="1" applyFont="1" applyBorder="1"/>
    <xf numFmtId="2" fontId="5" fillId="0" borderId="43" xfId="0" applyNumberFormat="1" applyFont="1" applyBorder="1"/>
    <xf numFmtId="2" fontId="5" fillId="0" borderId="44" xfId="0" applyNumberFormat="1" applyFont="1" applyBorder="1"/>
    <xf numFmtId="2" fontId="5" fillId="0" borderId="45" xfId="0" applyNumberFormat="1" applyFont="1" applyBorder="1"/>
    <xf numFmtId="0" fontId="5" fillId="5" borderId="33" xfId="0" applyFont="1" applyFill="1" applyBorder="1"/>
    <xf numFmtId="0" fontId="5" fillId="5" borderId="27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1" fontId="5" fillId="5" borderId="27" xfId="0" applyNumberFormat="1" applyFont="1" applyFill="1" applyBorder="1" applyAlignment="1">
      <alignment horizontal="center"/>
    </xf>
    <xf numFmtId="49" fontId="5" fillId="0" borderId="33" xfId="0" applyNumberFormat="1" applyFont="1" applyFill="1" applyBorder="1"/>
    <xf numFmtId="49" fontId="5" fillId="0" borderId="23" xfId="0" applyNumberFormat="1" applyFont="1" applyFill="1" applyBorder="1"/>
    <xf numFmtId="49" fontId="5" fillId="5" borderId="31" xfId="0" applyNumberFormat="1" applyFont="1" applyFill="1" applyBorder="1" applyAlignment="1">
      <alignment horizontal="center"/>
    </xf>
    <xf numFmtId="49" fontId="5" fillId="5" borderId="41" xfId="0" applyNumberFormat="1" applyFont="1" applyFill="1" applyBorder="1" applyAlignment="1">
      <alignment horizontal="center"/>
    </xf>
    <xf numFmtId="2" fontId="5" fillId="0" borderId="29" xfId="2" applyNumberFormat="1" applyFont="1" applyFill="1" applyBorder="1" applyAlignment="1">
      <alignment horizontal="center"/>
    </xf>
    <xf numFmtId="2" fontId="5" fillId="0" borderId="30" xfId="2" applyNumberFormat="1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/>
    </xf>
    <xf numFmtId="0" fontId="5" fillId="0" borderId="19" xfId="0" applyFont="1" applyBorder="1"/>
    <xf numFmtId="2" fontId="5" fillId="0" borderId="19" xfId="0" applyNumberFormat="1" applyFont="1" applyBorder="1"/>
    <xf numFmtId="0" fontId="5" fillId="10" borderId="19" xfId="0" applyFont="1" applyFill="1" applyBorder="1" applyAlignment="1">
      <alignment horizontal="center"/>
    </xf>
    <xf numFmtId="0" fontId="5" fillId="12" borderId="19" xfId="0" applyFont="1" applyFill="1" applyBorder="1" applyAlignment="1">
      <alignment horizontal="center"/>
    </xf>
    <xf numFmtId="0" fontId="3" fillId="7" borderId="41" xfId="0" applyFont="1" applyFill="1" applyBorder="1" applyAlignment="1">
      <alignment horizontal="center"/>
    </xf>
    <xf numFmtId="0" fontId="0" fillId="0" borderId="27" xfId="0" applyBorder="1"/>
    <xf numFmtId="0" fontId="8" fillId="18" borderId="19" xfId="0" applyFont="1" applyFill="1" applyBorder="1" applyAlignment="1">
      <alignment horizontal="left"/>
    </xf>
    <xf numFmtId="0" fontId="8" fillId="18" borderId="19" xfId="0" applyFont="1" applyFill="1" applyBorder="1" applyAlignment="1">
      <alignment horizontal="center"/>
    </xf>
    <xf numFmtId="0" fontId="8" fillId="18" borderId="19" xfId="0" applyFont="1" applyFill="1" applyBorder="1"/>
    <xf numFmtId="2" fontId="5" fillId="0" borderId="17" xfId="2" applyNumberFormat="1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8" xfId="0" applyNumberFormat="1" applyFont="1" applyFill="1" applyBorder="1"/>
    <xf numFmtId="49" fontId="5" fillId="0" borderId="11" xfId="0" applyNumberFormat="1" applyFont="1" applyFill="1" applyBorder="1"/>
    <xf numFmtId="49" fontId="5" fillId="0" borderId="9" xfId="0" applyNumberFormat="1" applyFont="1" applyBorder="1"/>
    <xf numFmtId="0" fontId="5" fillId="0" borderId="2" xfId="0" applyNumberFormat="1" applyFont="1" applyFill="1" applyBorder="1"/>
    <xf numFmtId="0" fontId="5" fillId="0" borderId="5" xfId="0" applyFont="1" applyFill="1" applyBorder="1"/>
    <xf numFmtId="2" fontId="5" fillId="0" borderId="3" xfId="2" applyNumberFormat="1" applyFont="1" applyFill="1" applyBorder="1" applyAlignment="1">
      <alignment horizontal="center"/>
    </xf>
    <xf numFmtId="49" fontId="5" fillId="5" borderId="37" xfId="0" applyNumberFormat="1" applyFont="1" applyFill="1" applyBorder="1" applyAlignment="1">
      <alignment horizontal="center"/>
    </xf>
    <xf numFmtId="49" fontId="5" fillId="0" borderId="2" xfId="0" applyNumberFormat="1" applyFont="1" applyFill="1" applyBorder="1"/>
    <xf numFmtId="49" fontId="5" fillId="0" borderId="30" xfId="0" applyNumberFormat="1" applyFont="1" applyFill="1" applyBorder="1"/>
    <xf numFmtId="49" fontId="5" fillId="0" borderId="9" xfId="0" applyNumberFormat="1" applyFont="1" applyFill="1" applyBorder="1"/>
    <xf numFmtId="2" fontId="5" fillId="0" borderId="27" xfId="0" applyNumberFormat="1" applyFont="1" applyBorder="1"/>
    <xf numFmtId="2" fontId="5" fillId="0" borderId="9" xfId="0" applyNumberFormat="1" applyFont="1" applyFill="1" applyBorder="1"/>
    <xf numFmtId="0" fontId="5" fillId="0" borderId="48" xfId="0" applyNumberFormat="1" applyFont="1" applyFill="1" applyBorder="1" applyAlignment="1">
      <alignment horizontal="center"/>
    </xf>
    <xf numFmtId="0" fontId="5" fillId="0" borderId="39" xfId="0" applyFont="1" applyBorder="1"/>
    <xf numFmtId="0" fontId="3" fillId="15" borderId="27" xfId="0" applyFont="1" applyFill="1" applyBorder="1" applyAlignment="1">
      <alignment horizontal="center"/>
    </xf>
    <xf numFmtId="0" fontId="1" fillId="0" borderId="50" xfId="0" applyFont="1" applyBorder="1"/>
    <xf numFmtId="0" fontId="1" fillId="0" borderId="9" xfId="0" applyFont="1" applyBorder="1"/>
    <xf numFmtId="0" fontId="1" fillId="0" borderId="9" xfId="0" applyFont="1" applyFill="1" applyBorder="1"/>
    <xf numFmtId="0" fontId="1" fillId="0" borderId="10" xfId="0" applyFont="1" applyFill="1" applyBorder="1"/>
    <xf numFmtId="2" fontId="0" fillId="0" borderId="50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8" fillId="15" borderId="25" xfId="0" applyFont="1" applyFill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13" borderId="49" xfId="0" applyNumberFormat="1" applyFill="1" applyBorder="1"/>
    <xf numFmtId="2" fontId="0" fillId="0" borderId="27" xfId="0" applyNumberFormat="1" applyBorder="1"/>
    <xf numFmtId="166" fontId="5" fillId="0" borderId="51" xfId="0" applyNumberFormat="1" applyFont="1" applyBorder="1"/>
    <xf numFmtId="166" fontId="0" fillId="13" borderId="49" xfId="0" applyNumberFormat="1" applyFill="1" applyBorder="1"/>
    <xf numFmtId="1" fontId="0" fillId="0" borderId="9" xfId="0" applyNumberFormat="1" applyBorder="1"/>
    <xf numFmtId="167" fontId="5" fillId="0" borderId="51" xfId="0" applyNumberFormat="1" applyFont="1" applyBorder="1"/>
    <xf numFmtId="2" fontId="1" fillId="0" borderId="11" xfId="0" applyNumberFormat="1" applyFont="1" applyBorder="1"/>
    <xf numFmtId="2" fontId="0" fillId="0" borderId="0" xfId="0" applyNumberFormat="1" applyAlignment="1">
      <alignment horizontal="center"/>
    </xf>
    <xf numFmtId="2" fontId="0" fillId="0" borderId="27" xfId="0" applyNumberFormat="1" applyBorder="1" applyAlignment="1">
      <alignment horizontal="center"/>
    </xf>
    <xf numFmtId="0" fontId="1" fillId="9" borderId="27" xfId="0" applyFont="1" applyFill="1" applyBorder="1"/>
    <xf numFmtId="0" fontId="1" fillId="5" borderId="27" xfId="0" applyFont="1" applyFill="1" applyBorder="1"/>
    <xf numFmtId="2" fontId="0" fillId="6" borderId="27" xfId="0" applyNumberFormat="1" applyFill="1" applyBorder="1" applyAlignment="1">
      <alignment horizontal="center"/>
    </xf>
    <xf numFmtId="2" fontId="0" fillId="16" borderId="27" xfId="0" applyNumberFormat="1" applyFill="1" applyBorder="1" applyAlignment="1">
      <alignment horizontal="center"/>
    </xf>
    <xf numFmtId="2" fontId="0" fillId="16" borderId="27" xfId="0" applyNumberFormat="1" applyFill="1" applyBorder="1"/>
    <xf numFmtId="0" fontId="3" fillId="18" borderId="27" xfId="0" applyFont="1" applyFill="1" applyBorder="1" applyAlignment="1">
      <alignment horizontal="center"/>
    </xf>
    <xf numFmtId="0" fontId="3" fillId="11" borderId="27" xfId="0" applyFont="1" applyFill="1" applyBorder="1" applyAlignment="1">
      <alignment horizontal="center"/>
    </xf>
    <xf numFmtId="0" fontId="0" fillId="6" borderId="27" xfId="0" applyFill="1" applyBorder="1"/>
    <xf numFmtId="0" fontId="0" fillId="0" borderId="27" xfId="0" applyBorder="1" applyAlignment="1">
      <alignment horizontal="center"/>
    </xf>
    <xf numFmtId="2" fontId="0" fillId="9" borderId="27" xfId="0" applyNumberForma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18" borderId="27" xfId="0" applyFill="1" applyBorder="1" applyAlignment="1">
      <alignment horizontal="center"/>
    </xf>
    <xf numFmtId="0" fontId="1" fillId="18" borderId="27" xfId="0" applyFont="1" applyFill="1" applyBorder="1" applyAlignment="1">
      <alignment horizontal="center"/>
    </xf>
    <xf numFmtId="2" fontId="0" fillId="7" borderId="27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3" fillId="13" borderId="49" xfId="0" applyFont="1" applyFill="1" applyBorder="1"/>
    <xf numFmtId="0" fontId="5" fillId="0" borderId="0" xfId="0" applyFont="1" applyAlignment="1">
      <alignment horizontal="center"/>
    </xf>
    <xf numFmtId="0" fontId="5" fillId="12" borderId="47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48" xfId="0" applyFont="1" applyFill="1" applyBorder="1" applyAlignment="1">
      <alignment horizontal="center"/>
    </xf>
    <xf numFmtId="0" fontId="5" fillId="12" borderId="23" xfId="0" applyFont="1" applyFill="1" applyBorder="1" applyAlignment="1">
      <alignment horizontal="center"/>
    </xf>
    <xf numFmtId="0" fontId="5" fillId="12" borderId="39" xfId="0" applyFont="1" applyFill="1" applyBorder="1" applyAlignment="1">
      <alignment horizontal="center"/>
    </xf>
    <xf numFmtId="0" fontId="5" fillId="12" borderId="25" xfId="0" applyFont="1" applyFill="1" applyBorder="1" applyAlignment="1">
      <alignment horizontal="center"/>
    </xf>
    <xf numFmtId="0" fontId="8" fillId="14" borderId="31" xfId="0" applyFont="1" applyFill="1" applyBorder="1" applyAlignment="1">
      <alignment horizontal="center"/>
    </xf>
    <xf numFmtId="0" fontId="8" fillId="14" borderId="49" xfId="0" applyFont="1" applyFill="1" applyBorder="1" applyAlignment="1">
      <alignment horizontal="center"/>
    </xf>
    <xf numFmtId="0" fontId="8" fillId="14" borderId="32" xfId="0" applyFont="1" applyFill="1" applyBorder="1" applyAlignment="1">
      <alignment horizontal="center"/>
    </xf>
    <xf numFmtId="0" fontId="8" fillId="7" borderId="33" xfId="0" applyFont="1" applyFill="1" applyBorder="1" applyAlignment="1">
      <alignment horizontal="center"/>
    </xf>
    <xf numFmtId="0" fontId="8" fillId="7" borderId="40" xfId="0" applyFont="1" applyFill="1" applyBorder="1" applyAlignment="1">
      <alignment horizontal="center"/>
    </xf>
    <xf numFmtId="0" fontId="8" fillId="7" borderId="41" xfId="0" applyFont="1" applyFill="1" applyBorder="1" applyAlignment="1">
      <alignment horizontal="center"/>
    </xf>
    <xf numFmtId="0" fontId="5" fillId="6" borderId="47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48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6" borderId="39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5" fillId="10" borderId="22" xfId="0" applyFont="1" applyFill="1" applyBorder="1" applyAlignment="1">
      <alignment horizontal="center"/>
    </xf>
    <xf numFmtId="0" fontId="5" fillId="10" borderId="38" xfId="0" applyFont="1" applyFill="1" applyBorder="1" applyAlignment="1">
      <alignment horizontal="center"/>
    </xf>
    <xf numFmtId="0" fontId="5" fillId="10" borderId="24" xfId="0" applyFont="1" applyFill="1" applyBorder="1" applyAlignment="1">
      <alignment horizontal="center"/>
    </xf>
    <xf numFmtId="0" fontId="5" fillId="10" borderId="47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5" fillId="10" borderId="48" xfId="0" applyFont="1" applyFill="1" applyBorder="1" applyAlignment="1">
      <alignment horizontal="center"/>
    </xf>
    <xf numFmtId="0" fontId="5" fillId="10" borderId="23" xfId="0" applyFont="1" applyFill="1" applyBorder="1" applyAlignment="1">
      <alignment horizontal="center"/>
    </xf>
    <xf numFmtId="0" fontId="5" fillId="10" borderId="39" xfId="0" applyFont="1" applyFill="1" applyBorder="1" applyAlignment="1">
      <alignment horizontal="center"/>
    </xf>
    <xf numFmtId="0" fontId="5" fillId="10" borderId="25" xfId="0" applyFont="1" applyFill="1" applyBorder="1" applyAlignment="1">
      <alignment horizontal="center"/>
    </xf>
    <xf numFmtId="0" fontId="5" fillId="12" borderId="22" xfId="0" applyFont="1" applyFill="1" applyBorder="1" applyAlignment="1">
      <alignment horizontal="center"/>
    </xf>
    <xf numFmtId="0" fontId="5" fillId="12" borderId="38" xfId="0" applyFont="1" applyFill="1" applyBorder="1" applyAlignment="1">
      <alignment horizontal="center"/>
    </xf>
    <xf numFmtId="0" fontId="5" fillId="12" borderId="24" xfId="0" applyFont="1" applyFill="1" applyBorder="1" applyAlignment="1">
      <alignment horizontal="center"/>
    </xf>
    <xf numFmtId="4" fontId="3" fillId="3" borderId="15" xfId="0" applyNumberFormat="1" applyFont="1" applyFill="1" applyBorder="1" applyAlignment="1">
      <alignment horizontal="center" vertical="center" textRotation="90" wrapText="1"/>
    </xf>
    <xf numFmtId="4" fontId="3" fillId="3" borderId="16" xfId="0" applyNumberFormat="1" applyFont="1" applyFill="1" applyBorder="1" applyAlignment="1">
      <alignment horizontal="center" vertical="center" textRotation="90" wrapText="1"/>
    </xf>
    <xf numFmtId="4" fontId="3" fillId="3" borderId="21" xfId="0" applyNumberFormat="1" applyFont="1" applyFill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textRotation="90" wrapText="1"/>
    </xf>
    <xf numFmtId="0" fontId="3" fillId="2" borderId="16" xfId="0" applyFont="1" applyFill="1" applyBorder="1" applyAlignment="1">
      <alignment horizontal="center" vertical="center" textRotation="90" wrapText="1"/>
    </xf>
    <xf numFmtId="0" fontId="3" fillId="2" borderId="21" xfId="0" applyFont="1" applyFill="1" applyBorder="1" applyAlignment="1">
      <alignment horizontal="center" vertical="center" textRotation="90" wrapText="1"/>
    </xf>
    <xf numFmtId="0" fontId="3" fillId="4" borderId="15" xfId="0" applyFont="1" applyFill="1" applyBorder="1" applyAlignment="1">
      <alignment horizontal="center" vertical="center" textRotation="90" wrapText="1"/>
    </xf>
    <xf numFmtId="0" fontId="3" fillId="4" borderId="16" xfId="0" applyFont="1" applyFill="1" applyBorder="1" applyAlignment="1">
      <alignment horizontal="center" vertical="center" textRotation="90" wrapText="1"/>
    </xf>
    <xf numFmtId="0" fontId="3" fillId="4" borderId="21" xfId="0" applyFont="1" applyFill="1" applyBorder="1" applyAlignment="1">
      <alignment horizontal="center" vertical="center" textRotation="90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2" xfId="0" applyNumberFormat="1" applyFont="1" applyFill="1" applyBorder="1"/>
    <xf numFmtId="2" fontId="5" fillId="0" borderId="3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49" fontId="6" fillId="5" borderId="26" xfId="0" applyNumberFormat="1" applyFont="1" applyFill="1" applyBorder="1" applyAlignment="1">
      <alignment horizontal="center"/>
    </xf>
    <xf numFmtId="49" fontId="6" fillId="5" borderId="28" xfId="0" applyNumberFormat="1" applyFont="1" applyFill="1" applyBorder="1" applyAlignment="1">
      <alignment horizontal="center"/>
    </xf>
    <xf numFmtId="49" fontId="6" fillId="5" borderId="20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16" fontId="5" fillId="0" borderId="31" xfId="0" applyNumberFormat="1" applyFont="1" applyFill="1" applyBorder="1" applyAlignment="1">
      <alignment horizontal="center" vertical="center" wrapText="1"/>
    </xf>
    <xf numFmtId="16" fontId="5" fillId="0" borderId="3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38" xfId="2" applyNumberFormat="1" applyFont="1" applyFill="1" applyBorder="1" applyAlignment="1">
      <alignment horizontal="center" vertical="center"/>
    </xf>
    <xf numFmtId="49" fontId="5" fillId="0" borderId="24" xfId="2" applyNumberFormat="1" applyFont="1" applyFill="1" applyBorder="1" applyAlignment="1">
      <alignment horizontal="center" vertical="center"/>
    </xf>
    <xf numFmtId="49" fontId="5" fillId="0" borderId="39" xfId="2" applyNumberFormat="1" applyFont="1" applyFill="1" applyBorder="1" applyAlignment="1">
      <alignment horizontal="center" vertical="center"/>
    </xf>
    <xf numFmtId="49" fontId="5" fillId="0" borderId="25" xfId="2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1" xfId="0" applyBorder="1" applyAlignment="1">
      <alignment horizontal="center"/>
    </xf>
    <xf numFmtId="49" fontId="5" fillId="5" borderId="33" xfId="0" applyNumberFormat="1" applyFont="1" applyFill="1" applyBorder="1" applyAlignment="1">
      <alignment horizontal="center"/>
    </xf>
    <xf numFmtId="49" fontId="5" fillId="5" borderId="40" xfId="0" applyNumberFormat="1" applyFont="1" applyFill="1" applyBorder="1" applyAlignment="1">
      <alignment horizontal="center"/>
    </xf>
    <xf numFmtId="49" fontId="5" fillId="5" borderId="41" xfId="0" applyNumberFormat="1" applyFont="1" applyFill="1" applyBorder="1" applyAlignment="1">
      <alignment horizontal="center"/>
    </xf>
    <xf numFmtId="49" fontId="5" fillId="5" borderId="15" xfId="0" applyNumberFormat="1" applyFont="1" applyFill="1" applyBorder="1" applyAlignment="1">
      <alignment horizontal="center"/>
    </xf>
    <xf numFmtId="49" fontId="5" fillId="5" borderId="21" xfId="0" applyNumberFormat="1" applyFont="1" applyFill="1" applyBorder="1" applyAlignment="1">
      <alignment horizontal="center"/>
    </xf>
    <xf numFmtId="49" fontId="5" fillId="0" borderId="46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1" fillId="17" borderId="27" xfId="0" applyFont="1" applyFill="1" applyBorder="1" applyAlignment="1">
      <alignment horizontal="center"/>
    </xf>
    <xf numFmtId="0" fontId="7" fillId="5" borderId="3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168" fontId="0" fillId="0" borderId="0" xfId="0" applyNumberForma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2" fontId="0" fillId="0" borderId="0" xfId="0" applyNumberFormat="1" applyFill="1" applyBorder="1"/>
    <xf numFmtId="49" fontId="5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</cellXfs>
  <cellStyles count="3">
    <cellStyle name="Euro" xfId="1" xr:uid="{00000000-0005-0000-0000-000000000000}"/>
    <cellStyle name="Normal" xfId="0" builtinId="0"/>
    <cellStyle name="Separador de milhares_A_Blanca Stella Pardo Gamboa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Link="$K$3" fmlaRange="LP" noThreeD="1" sel="3" val="0"/>
</file>

<file path=xl/ctrlProps/ctrlProp10.xml><?xml version="1.0" encoding="utf-8"?>
<formControlPr xmlns="http://schemas.microsoft.com/office/spreadsheetml/2009/9/main" objectType="Drop" dropStyle="combo" dx="16" fmlaLink="$K$12" fmlaRange="LA" noThreeD="1" sel="6" val="4"/>
</file>

<file path=xl/ctrlProps/ctrlProp11.xml><?xml version="1.0" encoding="utf-8"?>
<formControlPr xmlns="http://schemas.microsoft.com/office/spreadsheetml/2009/9/main" objectType="Drop" dropStyle="combo" dx="16" fmlaLink="$K$13" fmlaRange="LA" noThreeD="1" sel="9" val="4"/>
</file>

<file path=xl/ctrlProps/ctrlProp12.xml><?xml version="1.0" encoding="utf-8"?>
<formControlPr xmlns="http://schemas.microsoft.com/office/spreadsheetml/2009/9/main" objectType="Drop" dropStyle="combo" dx="16" fmlaLink="$K$14" fmlaRange="LA" noThreeD="1" sel="13" val="5"/>
</file>

<file path=xl/ctrlProps/ctrlProp13.xml><?xml version="1.0" encoding="utf-8"?>
<formControlPr xmlns="http://schemas.microsoft.com/office/spreadsheetml/2009/9/main" objectType="Drop" dropStyle="combo" dx="16" fmlaLink="$K$15" fmlaRange="LA" noThreeD="1" sel="7" val="4"/>
</file>

<file path=xl/ctrlProps/ctrlProp2.xml><?xml version="1.0" encoding="utf-8"?>
<formControlPr xmlns="http://schemas.microsoft.com/office/spreadsheetml/2009/9/main" objectType="Drop" dropStyle="combo" dx="16" fmlaLink="$K$4" fmlaRange="LP" noThreeD="1" sel="8" val="0"/>
</file>

<file path=xl/ctrlProps/ctrlProp3.xml><?xml version="1.0" encoding="utf-8"?>
<formControlPr xmlns="http://schemas.microsoft.com/office/spreadsheetml/2009/9/main" objectType="Drop" dropStyle="combo" dx="16" fmlaLink="$K$5" fmlaRange="LP" noThreeD="1" sel="9" val="0"/>
</file>

<file path=xl/ctrlProps/ctrlProp4.xml><?xml version="1.0" encoding="utf-8"?>
<formControlPr xmlns="http://schemas.microsoft.com/office/spreadsheetml/2009/9/main" objectType="Drop" dropStyle="combo" dx="16" fmlaLink="$K$6" fmlaRange="LE" noThreeD="1" sel="2" val="0"/>
</file>

<file path=xl/ctrlProps/ctrlProp5.xml><?xml version="1.0" encoding="utf-8"?>
<formControlPr xmlns="http://schemas.microsoft.com/office/spreadsheetml/2009/9/main" objectType="Drop" dropStyle="combo" dx="16" fmlaLink="$K$7" fmlaRange="LE" noThreeD="1" sel="8" val="0"/>
</file>

<file path=xl/ctrlProps/ctrlProp6.xml><?xml version="1.0" encoding="utf-8"?>
<formControlPr xmlns="http://schemas.microsoft.com/office/spreadsheetml/2009/9/main" objectType="Drop" dropStyle="combo" dx="16" fmlaLink="$K$8" fmlaRange="LE" noThreeD="1" sel="1" val="0"/>
</file>

<file path=xl/ctrlProps/ctrlProp7.xml><?xml version="1.0" encoding="utf-8"?>
<formControlPr xmlns="http://schemas.microsoft.com/office/spreadsheetml/2009/9/main" objectType="Drop" dropStyle="combo" dx="16" fmlaLink="$K$9" fmlaRange="LE" noThreeD="1" sel="9" val="0"/>
</file>

<file path=xl/ctrlProps/ctrlProp8.xml><?xml version="1.0" encoding="utf-8"?>
<formControlPr xmlns="http://schemas.microsoft.com/office/spreadsheetml/2009/9/main" objectType="Drop" dropStyle="combo" dx="16" fmlaLink="$K$10" fmlaRange="LA" noThreeD="1" sel="5" val="0"/>
</file>

<file path=xl/ctrlProps/ctrlProp9.xml><?xml version="1.0" encoding="utf-8"?>
<formControlPr xmlns="http://schemas.microsoft.com/office/spreadsheetml/2009/9/main" objectType="Drop" dropStyle="combo" dx="16" fmlaLink="$K$11" fmlaRange="LA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2</xdr:row>
          <xdr:rowOff>12700</xdr:rowOff>
        </xdr:from>
        <xdr:to>
          <xdr:col>2</xdr:col>
          <xdr:colOff>520700</xdr:colOff>
          <xdr:row>3</xdr:row>
          <xdr:rowOff>12700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3</xdr:row>
          <xdr:rowOff>12700</xdr:rowOff>
        </xdr:from>
        <xdr:to>
          <xdr:col>2</xdr:col>
          <xdr:colOff>520700</xdr:colOff>
          <xdr:row>4</xdr:row>
          <xdr:rowOff>25400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4</xdr:row>
          <xdr:rowOff>12700</xdr:rowOff>
        </xdr:from>
        <xdr:to>
          <xdr:col>2</xdr:col>
          <xdr:colOff>520700</xdr:colOff>
          <xdr:row>5</xdr:row>
          <xdr:rowOff>25400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5</xdr:row>
          <xdr:rowOff>12700</xdr:rowOff>
        </xdr:from>
        <xdr:to>
          <xdr:col>2</xdr:col>
          <xdr:colOff>520700</xdr:colOff>
          <xdr:row>6</xdr:row>
          <xdr:rowOff>38100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6</xdr:row>
          <xdr:rowOff>12700</xdr:rowOff>
        </xdr:from>
        <xdr:to>
          <xdr:col>2</xdr:col>
          <xdr:colOff>520700</xdr:colOff>
          <xdr:row>7</xdr:row>
          <xdr:rowOff>38100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7</xdr:row>
          <xdr:rowOff>12700</xdr:rowOff>
        </xdr:from>
        <xdr:to>
          <xdr:col>2</xdr:col>
          <xdr:colOff>520700</xdr:colOff>
          <xdr:row>8</xdr:row>
          <xdr:rowOff>38100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8</xdr:row>
          <xdr:rowOff>12700</xdr:rowOff>
        </xdr:from>
        <xdr:to>
          <xdr:col>2</xdr:col>
          <xdr:colOff>520700</xdr:colOff>
          <xdr:row>9</xdr:row>
          <xdr:rowOff>25400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9</xdr:row>
          <xdr:rowOff>12700</xdr:rowOff>
        </xdr:from>
        <xdr:to>
          <xdr:col>2</xdr:col>
          <xdr:colOff>520700</xdr:colOff>
          <xdr:row>10</xdr:row>
          <xdr:rowOff>38100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10</xdr:row>
          <xdr:rowOff>12700</xdr:rowOff>
        </xdr:from>
        <xdr:to>
          <xdr:col>2</xdr:col>
          <xdr:colOff>520700</xdr:colOff>
          <xdr:row>11</xdr:row>
          <xdr:rowOff>38100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11</xdr:row>
          <xdr:rowOff>12700</xdr:rowOff>
        </xdr:from>
        <xdr:to>
          <xdr:col>2</xdr:col>
          <xdr:colOff>520700</xdr:colOff>
          <xdr:row>12</xdr:row>
          <xdr:rowOff>38100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12</xdr:row>
          <xdr:rowOff>12700</xdr:rowOff>
        </xdr:from>
        <xdr:to>
          <xdr:col>2</xdr:col>
          <xdr:colOff>520700</xdr:colOff>
          <xdr:row>13</xdr:row>
          <xdr:rowOff>38100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13</xdr:row>
          <xdr:rowOff>12700</xdr:rowOff>
        </xdr:from>
        <xdr:to>
          <xdr:col>2</xdr:col>
          <xdr:colOff>520700</xdr:colOff>
          <xdr:row>14</xdr:row>
          <xdr:rowOff>38100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14</xdr:row>
          <xdr:rowOff>12700</xdr:rowOff>
        </xdr:from>
        <xdr:to>
          <xdr:col>2</xdr:col>
          <xdr:colOff>520700</xdr:colOff>
          <xdr:row>15</xdr:row>
          <xdr:rowOff>25400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"/>
  <dimension ref="A1:M35"/>
  <sheetViews>
    <sheetView showGridLines="0" zoomScale="130" zoomScaleNormal="13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P14" sqref="P14"/>
    </sheetView>
  </sheetViews>
  <sheetFormatPr baseColWidth="10" defaultColWidth="9.1640625" defaultRowHeight="12.75" customHeight="1" x14ac:dyDescent="0.15"/>
  <cols>
    <col min="1" max="1" width="3.5" style="1" customWidth="1"/>
    <col min="2" max="2" width="5.33203125" style="1" customWidth="1"/>
    <col min="3" max="3" width="22" style="1" customWidth="1"/>
    <col min="4" max="13" width="9.6640625" style="1" customWidth="1"/>
    <col min="14" max="20" width="9" style="1" customWidth="1"/>
    <col min="21" max="16384" width="9.1640625" style="1"/>
  </cols>
  <sheetData>
    <row r="1" spans="1:13" ht="18.75" customHeight="1" thickBot="1" x14ac:dyDescent="0.2">
      <c r="B1" s="226" t="s">
        <v>85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s="4" customFormat="1" ht="12.75" customHeight="1" x14ac:dyDescent="0.15">
      <c r="B2" s="172"/>
      <c r="C2" s="170" t="s">
        <v>44</v>
      </c>
      <c r="D2" s="5" t="s">
        <v>38</v>
      </c>
      <c r="E2" s="5" t="s">
        <v>39</v>
      </c>
      <c r="F2" s="5" t="s">
        <v>40</v>
      </c>
      <c r="G2" s="5" t="s">
        <v>41</v>
      </c>
      <c r="H2" s="5" t="s">
        <v>23</v>
      </c>
      <c r="I2" s="5" t="s">
        <v>42</v>
      </c>
      <c r="J2" s="5" t="s">
        <v>43</v>
      </c>
      <c r="K2" s="5" t="s">
        <v>63</v>
      </c>
      <c r="L2" s="5" t="s">
        <v>64</v>
      </c>
      <c r="M2" s="5" t="s">
        <v>24</v>
      </c>
    </row>
    <row r="3" spans="1:13" ht="12.75" customHeight="1" thickBot="1" x14ac:dyDescent="0.2">
      <c r="B3" s="173"/>
      <c r="C3" s="171"/>
      <c r="D3" s="6" t="s">
        <v>25</v>
      </c>
      <c r="E3" s="6" t="s">
        <v>26</v>
      </c>
      <c r="F3" s="6" t="s">
        <v>25</v>
      </c>
      <c r="G3" s="6" t="s">
        <v>25</v>
      </c>
      <c r="H3" s="6" t="s">
        <v>25</v>
      </c>
      <c r="I3" s="6" t="s">
        <v>25</v>
      </c>
      <c r="J3" s="6" t="s">
        <v>25</v>
      </c>
      <c r="K3" s="6" t="s">
        <v>25</v>
      </c>
      <c r="L3" s="6" t="s">
        <v>25</v>
      </c>
      <c r="M3" s="6" t="s">
        <v>25</v>
      </c>
    </row>
    <row r="4" spans="1:13" ht="12.75" customHeight="1" x14ac:dyDescent="0.15">
      <c r="A4" s="174" t="s">
        <v>27</v>
      </c>
      <c r="B4" s="7">
        <f>1</f>
        <v>1</v>
      </c>
      <c r="C4" s="21" t="s">
        <v>65</v>
      </c>
      <c r="D4" s="8">
        <v>55</v>
      </c>
      <c r="E4" s="15">
        <v>3700</v>
      </c>
      <c r="F4" s="8">
        <v>0</v>
      </c>
      <c r="G4" s="8">
        <v>7.5</v>
      </c>
      <c r="H4" s="8">
        <v>0</v>
      </c>
      <c r="I4" s="8">
        <v>5.9</v>
      </c>
      <c r="J4" s="8">
        <v>2.87</v>
      </c>
      <c r="K4" s="8">
        <v>3.41</v>
      </c>
      <c r="L4" s="8">
        <v>1.37</v>
      </c>
      <c r="M4" s="8">
        <v>2.35</v>
      </c>
    </row>
    <row r="5" spans="1:13" ht="12.75" customHeight="1" x14ac:dyDescent="0.15">
      <c r="A5" s="175"/>
      <c r="B5" s="9">
        <f>B4+1</f>
        <v>2</v>
      </c>
      <c r="C5" s="22" t="s">
        <v>28</v>
      </c>
      <c r="D5" s="10">
        <v>57</v>
      </c>
      <c r="E5" s="11">
        <v>2950</v>
      </c>
      <c r="F5" s="10">
        <v>0</v>
      </c>
      <c r="G5" s="10">
        <v>13.84</v>
      </c>
      <c r="H5" s="10">
        <v>0</v>
      </c>
      <c r="I5" s="10">
        <v>4</v>
      </c>
      <c r="J5" s="10">
        <v>2.66</v>
      </c>
      <c r="K5" s="10">
        <v>3.35</v>
      </c>
      <c r="L5" s="10">
        <v>1.1000000000000001</v>
      </c>
      <c r="M5" s="10">
        <v>2.02</v>
      </c>
    </row>
    <row r="6" spans="1:13" ht="12.75" customHeight="1" x14ac:dyDescent="0.15">
      <c r="A6" s="175"/>
      <c r="B6" s="9">
        <f t="shared" ref="B6:B12" si="0">B5+1</f>
        <v>3</v>
      </c>
      <c r="C6" s="22" t="s">
        <v>66</v>
      </c>
      <c r="D6" s="10">
        <v>45.32</v>
      </c>
      <c r="E6" s="11">
        <v>3430</v>
      </c>
      <c r="F6" s="10">
        <v>5.41</v>
      </c>
      <c r="G6" s="10">
        <v>1.66</v>
      </c>
      <c r="H6" s="10">
        <v>12.38</v>
      </c>
      <c r="I6" s="10">
        <v>0.24</v>
      </c>
      <c r="J6" s="10">
        <v>0.18</v>
      </c>
      <c r="K6" s="10">
        <v>2.77</v>
      </c>
      <c r="L6" s="10">
        <v>0.64</v>
      </c>
      <c r="M6" s="10">
        <v>1.27</v>
      </c>
    </row>
    <row r="7" spans="1:13" ht="12.75" customHeight="1" x14ac:dyDescent="0.15">
      <c r="A7" s="175"/>
      <c r="B7" s="9">
        <f t="shared" si="0"/>
        <v>4</v>
      </c>
      <c r="C7" s="22" t="s">
        <v>67</v>
      </c>
      <c r="D7" s="10">
        <v>37.64</v>
      </c>
      <c r="E7" s="11">
        <v>2400</v>
      </c>
      <c r="F7" s="10">
        <v>0</v>
      </c>
      <c r="G7" s="10">
        <v>11.14</v>
      </c>
      <c r="H7" s="10">
        <v>0</v>
      </c>
      <c r="I7" s="10">
        <v>11.23</v>
      </c>
      <c r="J7" s="10">
        <v>7.85</v>
      </c>
      <c r="K7" s="10">
        <v>1.8</v>
      </c>
      <c r="L7" s="10">
        <v>0.47</v>
      </c>
      <c r="M7" s="10">
        <v>0.72</v>
      </c>
    </row>
    <row r="8" spans="1:13" ht="12.75" customHeight="1" x14ac:dyDescent="0.15">
      <c r="A8" s="175"/>
      <c r="B8" s="9">
        <f t="shared" si="0"/>
        <v>5</v>
      </c>
      <c r="C8" s="22" t="s">
        <v>68</v>
      </c>
      <c r="D8" s="10">
        <v>41</v>
      </c>
      <c r="E8" s="11">
        <v>2460</v>
      </c>
      <c r="F8" s="10">
        <v>0</v>
      </c>
      <c r="G8" s="10">
        <v>11.04</v>
      </c>
      <c r="H8" s="10">
        <v>0</v>
      </c>
      <c r="I8" s="10">
        <v>10.08</v>
      </c>
      <c r="J8" s="10">
        <v>6.8</v>
      </c>
      <c r="K8" s="10">
        <v>1.98</v>
      </c>
      <c r="L8" s="10">
        <v>0.51</v>
      </c>
      <c r="M8" s="10">
        <v>0.8</v>
      </c>
    </row>
    <row r="9" spans="1:13" ht="12.75" customHeight="1" x14ac:dyDescent="0.15">
      <c r="A9" s="175"/>
      <c r="B9" s="9">
        <f t="shared" si="0"/>
        <v>6</v>
      </c>
      <c r="C9" s="22" t="s">
        <v>69</v>
      </c>
      <c r="D9" s="10">
        <v>45</v>
      </c>
      <c r="E9" s="11">
        <v>2770</v>
      </c>
      <c r="F9" s="10">
        <v>0</v>
      </c>
      <c r="G9" s="10">
        <v>13.25</v>
      </c>
      <c r="H9" s="10">
        <v>0</v>
      </c>
      <c r="I9" s="10">
        <v>9.5500000000000007</v>
      </c>
      <c r="J9" s="10">
        <v>4.96</v>
      </c>
      <c r="K9" s="10">
        <v>2.19</v>
      </c>
      <c r="L9" s="10">
        <v>0.56999999999999995</v>
      </c>
      <c r="M9" s="10">
        <v>0.99</v>
      </c>
    </row>
    <row r="10" spans="1:13" ht="12.75" customHeight="1" x14ac:dyDescent="0.15">
      <c r="A10" s="175"/>
      <c r="B10" s="9">
        <f t="shared" si="0"/>
        <v>7</v>
      </c>
      <c r="C10" s="22" t="s">
        <v>70</v>
      </c>
      <c r="D10" s="10">
        <v>36.75</v>
      </c>
      <c r="E10" s="11">
        <v>3550</v>
      </c>
      <c r="F10" s="10">
        <v>0.5</v>
      </c>
      <c r="G10" s="10">
        <v>0.48</v>
      </c>
      <c r="H10" s="10">
        <v>0</v>
      </c>
      <c r="I10" s="10">
        <v>0.28999999999999998</v>
      </c>
      <c r="J10" s="10">
        <v>0.27</v>
      </c>
      <c r="K10" s="10">
        <v>2.3199999999999998</v>
      </c>
      <c r="L10" s="10">
        <v>0.62</v>
      </c>
      <c r="M10" s="10">
        <v>0.71</v>
      </c>
    </row>
    <row r="11" spans="1:13" ht="12.75" customHeight="1" x14ac:dyDescent="0.15">
      <c r="A11" s="175"/>
      <c r="B11" s="9">
        <f t="shared" si="0"/>
        <v>8</v>
      </c>
      <c r="C11" s="22" t="s">
        <v>71</v>
      </c>
      <c r="D11" s="10">
        <v>60.35</v>
      </c>
      <c r="E11" s="11">
        <v>4155</v>
      </c>
      <c r="F11" s="10">
        <v>1.07</v>
      </c>
      <c r="G11" s="10">
        <v>2.57</v>
      </c>
      <c r="H11" s="10">
        <v>14.34</v>
      </c>
      <c r="I11" s="10">
        <v>0.03</v>
      </c>
      <c r="J11" s="10">
        <v>0.15</v>
      </c>
      <c r="K11" s="10">
        <v>1</v>
      </c>
      <c r="L11" s="10">
        <v>1.39</v>
      </c>
      <c r="M11" s="10">
        <v>2.46</v>
      </c>
    </row>
    <row r="12" spans="1:13" ht="12.75" customHeight="1" thickBot="1" x14ac:dyDescent="0.2">
      <c r="A12" s="176"/>
      <c r="B12" s="9">
        <f t="shared" si="0"/>
        <v>9</v>
      </c>
      <c r="C12" s="26" t="s">
        <v>34</v>
      </c>
      <c r="D12" s="13"/>
      <c r="E12" s="14"/>
      <c r="F12" s="13"/>
      <c r="G12" s="13"/>
      <c r="H12" s="13"/>
      <c r="I12" s="13"/>
      <c r="J12" s="13"/>
      <c r="K12" s="13"/>
      <c r="L12" s="13"/>
      <c r="M12" s="13"/>
    </row>
    <row r="13" spans="1:13" ht="12.75" customHeight="1" x14ac:dyDescent="0.15">
      <c r="A13" s="177" t="s">
        <v>29</v>
      </c>
      <c r="B13" s="7">
        <f>1</f>
        <v>1</v>
      </c>
      <c r="C13" s="21" t="s">
        <v>30</v>
      </c>
      <c r="D13" s="8">
        <v>15.52</v>
      </c>
      <c r="E13" s="15">
        <v>3056</v>
      </c>
      <c r="F13" s="8">
        <v>9.66</v>
      </c>
      <c r="G13" s="8">
        <v>3.46</v>
      </c>
      <c r="H13" s="8">
        <v>31.35</v>
      </c>
      <c r="I13" s="8">
        <v>0.14000000000000001</v>
      </c>
      <c r="J13" s="8">
        <v>0.33</v>
      </c>
      <c r="K13" s="8">
        <v>0.62</v>
      </c>
      <c r="L13" s="8">
        <v>0.24</v>
      </c>
      <c r="M13" s="8">
        <v>0.57999999999999996</v>
      </c>
    </row>
    <row r="14" spans="1:13" ht="12.75" customHeight="1" x14ac:dyDescent="0.15">
      <c r="A14" s="178"/>
      <c r="B14" s="9">
        <f>B13+1</f>
        <v>2</v>
      </c>
      <c r="C14" s="22" t="s">
        <v>31</v>
      </c>
      <c r="D14" s="10">
        <v>8.26</v>
      </c>
      <c r="E14" s="11">
        <v>3150</v>
      </c>
      <c r="F14" s="10">
        <v>1.73</v>
      </c>
      <c r="G14" s="10">
        <v>3.61</v>
      </c>
      <c r="H14" s="10">
        <v>62.48</v>
      </c>
      <c r="I14" s="10">
        <v>0.03</v>
      </c>
      <c r="J14" s="10">
        <v>0.08</v>
      </c>
      <c r="K14" s="10">
        <v>0.24</v>
      </c>
      <c r="L14" s="10">
        <v>0.17</v>
      </c>
      <c r="M14" s="10">
        <v>0.36</v>
      </c>
    </row>
    <row r="15" spans="1:13" ht="12.75" customHeight="1" x14ac:dyDescent="0.15">
      <c r="A15" s="178"/>
      <c r="B15" s="9">
        <f t="shared" ref="B15:B21" si="1">B14+1</f>
        <v>3</v>
      </c>
      <c r="C15" s="22" t="s">
        <v>72</v>
      </c>
      <c r="D15" s="10">
        <v>9.23</v>
      </c>
      <c r="E15" s="11">
        <v>2950</v>
      </c>
      <c r="F15" s="10">
        <v>2.2999999999999998</v>
      </c>
      <c r="G15" s="10">
        <v>3</v>
      </c>
      <c r="H15" s="10">
        <v>60.79</v>
      </c>
      <c r="I15" s="10">
        <v>0.03</v>
      </c>
      <c r="J15" s="10">
        <v>0.09</v>
      </c>
      <c r="K15" s="10">
        <v>0.2</v>
      </c>
      <c r="L15" s="10">
        <v>0.15</v>
      </c>
      <c r="M15" s="10">
        <v>0.32</v>
      </c>
    </row>
    <row r="16" spans="1:13" ht="12.75" customHeight="1" x14ac:dyDescent="0.15">
      <c r="A16" s="178"/>
      <c r="B16" s="9">
        <f t="shared" si="1"/>
        <v>4</v>
      </c>
      <c r="C16" s="22" t="s">
        <v>32</v>
      </c>
      <c r="D16" s="10">
        <v>8.4700000000000006</v>
      </c>
      <c r="E16" s="11">
        <v>3500</v>
      </c>
      <c r="F16" s="10">
        <v>0.55000000000000004</v>
      </c>
      <c r="G16" s="10">
        <v>1.22</v>
      </c>
      <c r="H16" s="10">
        <v>74.45</v>
      </c>
      <c r="I16" s="10">
        <v>0.04</v>
      </c>
      <c r="J16" s="10">
        <v>0.05</v>
      </c>
      <c r="K16" s="10">
        <v>0</v>
      </c>
      <c r="L16" s="10">
        <v>0</v>
      </c>
      <c r="M16" s="10">
        <v>0</v>
      </c>
    </row>
    <row r="17" spans="1:13" ht="12.75" customHeight="1" x14ac:dyDescent="0.15">
      <c r="A17" s="178"/>
      <c r="B17" s="9">
        <f t="shared" si="1"/>
        <v>5</v>
      </c>
      <c r="C17" s="22" t="s">
        <v>23</v>
      </c>
      <c r="D17" s="10">
        <v>0</v>
      </c>
      <c r="E17" s="11">
        <v>2500</v>
      </c>
      <c r="F17" s="10">
        <v>0</v>
      </c>
      <c r="G17" s="10">
        <v>0</v>
      </c>
      <c r="H17" s="10">
        <v>87.69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 ht="12.75" customHeight="1" x14ac:dyDescent="0.15">
      <c r="A18" s="178"/>
      <c r="B18" s="9">
        <f t="shared" si="1"/>
        <v>6</v>
      </c>
      <c r="C18" s="22" t="s">
        <v>73</v>
      </c>
      <c r="D18" s="10">
        <v>0</v>
      </c>
      <c r="E18" s="11">
        <v>8500</v>
      </c>
      <c r="F18" s="10">
        <v>0</v>
      </c>
      <c r="G18" s="10">
        <v>99.5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</row>
    <row r="19" spans="1:13" ht="12.75" customHeight="1" x14ac:dyDescent="0.15">
      <c r="A19" s="178"/>
      <c r="B19" s="9">
        <f t="shared" si="1"/>
        <v>7</v>
      </c>
      <c r="C19" s="22" t="s">
        <v>33</v>
      </c>
      <c r="D19" s="10">
        <v>0</v>
      </c>
      <c r="E19" s="11">
        <v>8700</v>
      </c>
      <c r="F19" s="10">
        <v>0</v>
      </c>
      <c r="G19" s="10">
        <v>99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</row>
    <row r="20" spans="1:13" ht="12.75" customHeight="1" x14ac:dyDescent="0.15">
      <c r="A20" s="178"/>
      <c r="B20" s="9">
        <f t="shared" si="1"/>
        <v>8</v>
      </c>
      <c r="C20" s="22" t="s">
        <v>74</v>
      </c>
      <c r="D20" s="10">
        <v>0</v>
      </c>
      <c r="E20" s="11">
        <v>8780</v>
      </c>
      <c r="F20" s="10">
        <v>0</v>
      </c>
      <c r="G20" s="10">
        <v>99.6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ht="12.75" customHeight="1" thickBot="1" x14ac:dyDescent="0.2">
      <c r="A21" s="179"/>
      <c r="B21" s="12">
        <f t="shared" si="1"/>
        <v>9</v>
      </c>
      <c r="C21" s="26" t="s">
        <v>34</v>
      </c>
      <c r="D21" s="13"/>
      <c r="E21" s="14"/>
      <c r="F21" s="13"/>
      <c r="G21" s="13"/>
      <c r="H21" s="13"/>
      <c r="I21" s="13"/>
      <c r="J21" s="13"/>
      <c r="K21" s="13"/>
      <c r="L21" s="13"/>
      <c r="M21" s="13"/>
    </row>
    <row r="22" spans="1:13" ht="12.75" customHeight="1" x14ac:dyDescent="0.15">
      <c r="A22" s="167" t="s">
        <v>35</v>
      </c>
      <c r="B22" s="7">
        <f>1</f>
        <v>1</v>
      </c>
      <c r="C22" s="27" t="s">
        <v>36</v>
      </c>
      <c r="D22" s="16">
        <v>85.8</v>
      </c>
      <c r="E22" s="17">
        <v>4770</v>
      </c>
      <c r="F22" s="16">
        <v>0</v>
      </c>
      <c r="G22" s="16">
        <v>0</v>
      </c>
      <c r="H22" s="16">
        <v>0</v>
      </c>
      <c r="I22" s="16">
        <v>0.04</v>
      </c>
      <c r="J22" s="16">
        <v>0</v>
      </c>
      <c r="K22" s="16">
        <v>78</v>
      </c>
      <c r="L22" s="16">
        <v>0</v>
      </c>
      <c r="M22" s="16">
        <v>0</v>
      </c>
    </row>
    <row r="23" spans="1:13" s="2" customFormat="1" ht="12.75" customHeight="1" x14ac:dyDescent="0.15">
      <c r="A23" s="168"/>
      <c r="B23" s="9">
        <f t="shared" ref="B23:B34" si="2">B22+1</f>
        <v>2</v>
      </c>
      <c r="C23" s="23" t="s">
        <v>76</v>
      </c>
      <c r="D23" s="18">
        <v>59.4</v>
      </c>
      <c r="E23" s="19">
        <v>5442</v>
      </c>
      <c r="F23" s="18">
        <v>0</v>
      </c>
      <c r="G23" s="18">
        <v>0</v>
      </c>
      <c r="H23" s="18">
        <v>0</v>
      </c>
      <c r="I23" s="18">
        <v>0.02</v>
      </c>
      <c r="J23" s="18">
        <v>0</v>
      </c>
      <c r="K23" s="18">
        <v>0</v>
      </c>
      <c r="L23" s="18">
        <v>99</v>
      </c>
      <c r="M23" s="18">
        <v>99</v>
      </c>
    </row>
    <row r="24" spans="1:13" s="2" customFormat="1" ht="12.75" customHeight="1" x14ac:dyDescent="0.15">
      <c r="A24" s="168"/>
      <c r="B24" s="9">
        <f t="shared" si="2"/>
        <v>3</v>
      </c>
      <c r="C24" s="23" t="s">
        <v>75</v>
      </c>
      <c r="D24" s="18">
        <v>85.1</v>
      </c>
      <c r="E24" s="19">
        <v>5035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</row>
    <row r="25" spans="1:13" s="2" customFormat="1" ht="12.75" customHeight="1" x14ac:dyDescent="0.15">
      <c r="A25" s="168"/>
      <c r="B25" s="9">
        <f t="shared" si="2"/>
        <v>4</v>
      </c>
      <c r="C25" s="23" t="s">
        <v>77</v>
      </c>
      <c r="D25" s="18">
        <v>78.2</v>
      </c>
      <c r="E25" s="19">
        <v>2850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</row>
    <row r="26" spans="1:13" s="2" customFormat="1" ht="12.75" customHeight="1" x14ac:dyDescent="0.15">
      <c r="A26" s="168"/>
      <c r="B26" s="9">
        <f t="shared" si="2"/>
        <v>5</v>
      </c>
      <c r="C26" s="23" t="s">
        <v>78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24.5</v>
      </c>
      <c r="J26" s="18">
        <v>18.5</v>
      </c>
      <c r="K26" s="18">
        <v>0</v>
      </c>
      <c r="L26" s="18">
        <v>0</v>
      </c>
      <c r="M26" s="18">
        <v>0</v>
      </c>
    </row>
    <row r="27" spans="1:13" s="2" customFormat="1" ht="12.75" customHeight="1" x14ac:dyDescent="0.15">
      <c r="A27" s="168"/>
      <c r="B27" s="9">
        <f t="shared" si="2"/>
        <v>6</v>
      </c>
      <c r="C27" s="23" t="s">
        <v>79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38.4</v>
      </c>
      <c r="J27" s="18">
        <v>0.02</v>
      </c>
      <c r="K27" s="18">
        <v>0</v>
      </c>
      <c r="L27" s="18">
        <v>0</v>
      </c>
      <c r="M27" s="18">
        <v>0</v>
      </c>
    </row>
    <row r="28" spans="1:13" s="2" customFormat="1" ht="12.75" customHeight="1" x14ac:dyDescent="0.15">
      <c r="A28" s="168"/>
      <c r="B28" s="9">
        <f t="shared" si="2"/>
        <v>7</v>
      </c>
      <c r="C28" s="23" t="s">
        <v>80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</row>
    <row r="29" spans="1:13" s="2" customFormat="1" ht="12.75" customHeight="1" x14ac:dyDescent="0.15">
      <c r="A29" s="168"/>
      <c r="B29" s="9">
        <f t="shared" si="2"/>
        <v>8</v>
      </c>
      <c r="C29" s="23" t="s">
        <v>118</v>
      </c>
      <c r="D29" s="18">
        <v>0</v>
      </c>
      <c r="E29" s="18">
        <v>0</v>
      </c>
      <c r="F29" s="18">
        <v>92.6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</row>
    <row r="30" spans="1:13" s="2" customFormat="1" ht="12.75" customHeight="1" x14ac:dyDescent="0.15">
      <c r="A30" s="168"/>
      <c r="B30" s="9">
        <f t="shared" si="2"/>
        <v>9</v>
      </c>
      <c r="C30" s="23" t="s">
        <v>37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</row>
    <row r="31" spans="1:13" s="2" customFormat="1" ht="12.75" customHeight="1" x14ac:dyDescent="0.15">
      <c r="A31" s="168"/>
      <c r="B31" s="9">
        <f t="shared" si="2"/>
        <v>10</v>
      </c>
      <c r="C31" s="23" t="s">
        <v>81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</row>
    <row r="32" spans="1:13" s="2" customFormat="1" ht="12.75" customHeight="1" x14ac:dyDescent="0.15">
      <c r="A32" s="168"/>
      <c r="B32" s="9">
        <f t="shared" si="2"/>
        <v>11</v>
      </c>
      <c r="C32" s="23" t="s">
        <v>82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</row>
    <row r="33" spans="1:13" s="3" customFormat="1" ht="12.75" customHeight="1" x14ac:dyDescent="0.15">
      <c r="A33" s="168"/>
      <c r="B33" s="9">
        <f t="shared" si="2"/>
        <v>12</v>
      </c>
      <c r="C33" s="23" t="s">
        <v>83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</row>
    <row r="34" spans="1:13" s="3" customFormat="1" ht="12.75" customHeight="1" thickBot="1" x14ac:dyDescent="0.2">
      <c r="A34" s="169"/>
      <c r="B34" s="9">
        <f t="shared" si="2"/>
        <v>13</v>
      </c>
      <c r="C34" s="24" t="s">
        <v>34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s="2" customFormat="1" ht="12.75" customHeight="1" x14ac:dyDescent="0.15">
      <c r="A35" s="2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mergeCells count="6">
    <mergeCell ref="A22:A34"/>
    <mergeCell ref="B1:M1"/>
    <mergeCell ref="C2:C3"/>
    <mergeCell ref="B2:B3"/>
    <mergeCell ref="A4:A12"/>
    <mergeCell ref="A13:A21"/>
  </mergeCells>
  <phoneticPr fontId="2" type="noConversion"/>
  <printOptions horizontalCentered="1"/>
  <pageMargins left="0.19685039370078741" right="0.19685039370078741" top="0.98425196850393704" bottom="0.59055118110236227" header="0" footer="0"/>
  <pageSetup scale="4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1"/>
  <sheetViews>
    <sheetView showGridLines="0" workbookViewId="0">
      <selection activeCell="B7" sqref="B7:C7"/>
    </sheetView>
  </sheetViews>
  <sheetFormatPr baseColWidth="10" defaultColWidth="9.1640625" defaultRowHeight="12.75" customHeight="1" x14ac:dyDescent="0.2"/>
  <cols>
    <col min="1" max="1" width="21" style="28" customWidth="1"/>
    <col min="2" max="7" width="8.6640625" style="28" customWidth="1"/>
    <col min="8" max="8" width="9.1640625" style="28"/>
    <col min="9" max="9" width="20.1640625" style="28" bestFit="1" customWidth="1"/>
    <col min="10" max="10" width="9.33203125" style="28" customWidth="1"/>
    <col min="11" max="11" width="9" style="28" customWidth="1"/>
    <col min="12" max="12" width="9.1640625" style="28" customWidth="1"/>
    <col min="13" max="13" width="4.6640625" style="28" customWidth="1"/>
    <col min="14" max="16384" width="9.1640625" style="28"/>
  </cols>
  <sheetData>
    <row r="1" spans="1:15" ht="20" thickBot="1" x14ac:dyDescent="0.3">
      <c r="A1" s="187" t="s">
        <v>16</v>
      </c>
      <c r="B1" s="188"/>
      <c r="C1" s="188"/>
      <c r="D1" s="188"/>
      <c r="E1" s="188"/>
      <c r="F1" s="188"/>
      <c r="G1" s="189"/>
    </row>
    <row r="2" spans="1:15" s="29" customFormat="1" ht="17" thickBot="1" x14ac:dyDescent="0.25">
      <c r="A2" s="34" t="s">
        <v>17</v>
      </c>
      <c r="B2" s="190" t="s">
        <v>0</v>
      </c>
      <c r="C2" s="191"/>
      <c r="D2" s="192">
        <v>2</v>
      </c>
      <c r="E2" s="193"/>
      <c r="F2" s="194">
        <v>3</v>
      </c>
      <c r="G2" s="193"/>
    </row>
    <row r="3" spans="1:15" s="29" customFormat="1" ht="17" thickBot="1" x14ac:dyDescent="0.25">
      <c r="A3" s="35" t="s">
        <v>45</v>
      </c>
      <c r="B3" s="190" t="s">
        <v>18</v>
      </c>
      <c r="C3" s="191"/>
      <c r="D3" s="198" t="s">
        <v>19</v>
      </c>
      <c r="E3" s="199"/>
      <c r="F3" s="194" t="s">
        <v>56</v>
      </c>
      <c r="G3" s="193"/>
    </row>
    <row r="4" spans="1:15" ht="15" customHeight="1" x14ac:dyDescent="0.2">
      <c r="A4" s="200" t="s">
        <v>53</v>
      </c>
      <c r="B4" s="202" t="s">
        <v>51</v>
      </c>
      <c r="C4" s="203"/>
      <c r="D4" s="202" t="s">
        <v>20</v>
      </c>
      <c r="E4" s="203"/>
      <c r="F4" s="206" t="s">
        <v>57</v>
      </c>
      <c r="G4" s="207"/>
      <c r="J4"/>
      <c r="K4"/>
    </row>
    <row r="5" spans="1:15" ht="16" thickBot="1" x14ac:dyDescent="0.25">
      <c r="A5" s="201"/>
      <c r="B5" s="204"/>
      <c r="C5" s="205"/>
      <c r="D5" s="204"/>
      <c r="E5" s="205"/>
      <c r="F5" s="208" t="s">
        <v>58</v>
      </c>
      <c r="G5" s="209"/>
      <c r="J5"/>
      <c r="K5"/>
    </row>
    <row r="6" spans="1:15" ht="15" x14ac:dyDescent="0.2">
      <c r="A6" s="39" t="s">
        <v>52</v>
      </c>
      <c r="B6" s="195">
        <v>32</v>
      </c>
      <c r="C6" s="196"/>
      <c r="D6" s="195">
        <v>30</v>
      </c>
      <c r="E6" s="196"/>
      <c r="F6" s="197">
        <v>28</v>
      </c>
      <c r="G6" s="196"/>
      <c r="K6" s="30"/>
    </row>
    <row r="7" spans="1:15" ht="15" x14ac:dyDescent="0.2">
      <c r="A7" s="36" t="s">
        <v>1</v>
      </c>
      <c r="B7" s="184">
        <v>3300</v>
      </c>
      <c r="C7" s="185"/>
      <c r="D7" s="184">
        <v>3100</v>
      </c>
      <c r="E7" s="185"/>
      <c r="F7" s="186">
        <v>3200</v>
      </c>
      <c r="G7" s="185"/>
    </row>
    <row r="8" spans="1:15" ht="15" x14ac:dyDescent="0.2">
      <c r="A8" s="36" t="s">
        <v>46</v>
      </c>
      <c r="B8" s="184">
        <f>B7/B6</f>
        <v>103.125</v>
      </c>
      <c r="C8" s="185"/>
      <c r="D8" s="184">
        <f>D7/D6</f>
        <v>103.33333333333333</v>
      </c>
      <c r="E8" s="185"/>
      <c r="F8" s="186">
        <f>F7/F6</f>
        <v>114.28571428571429</v>
      </c>
      <c r="G8" s="185"/>
    </row>
    <row r="9" spans="1:15" ht="15" x14ac:dyDescent="0.2">
      <c r="A9" s="36" t="s">
        <v>47</v>
      </c>
      <c r="B9" s="180">
        <v>3</v>
      </c>
      <c r="C9" s="181"/>
      <c r="D9" s="180">
        <v>4.5</v>
      </c>
      <c r="E9" s="181"/>
      <c r="F9" s="182">
        <v>6</v>
      </c>
      <c r="G9" s="181"/>
    </row>
    <row r="10" spans="1:15" ht="15" x14ac:dyDescent="0.2">
      <c r="A10" s="36" t="s">
        <v>48</v>
      </c>
      <c r="B10" s="180">
        <v>4</v>
      </c>
      <c r="C10" s="183"/>
      <c r="D10" s="180">
        <v>3.5</v>
      </c>
      <c r="E10" s="183"/>
      <c r="F10" s="182">
        <v>4</v>
      </c>
      <c r="G10" s="183"/>
    </row>
    <row r="11" spans="1:15" ht="15" x14ac:dyDescent="0.2">
      <c r="A11" s="36" t="s">
        <v>49</v>
      </c>
      <c r="B11" s="180">
        <v>1</v>
      </c>
      <c r="C11" s="183"/>
      <c r="D11" s="180">
        <v>0.69</v>
      </c>
      <c r="E11" s="183"/>
      <c r="F11" s="182">
        <v>0.69</v>
      </c>
      <c r="G11" s="183"/>
    </row>
    <row r="12" spans="1:15" ht="16" thickBot="1" x14ac:dyDescent="0.25">
      <c r="A12" s="36" t="s">
        <v>50</v>
      </c>
      <c r="B12" s="180">
        <v>0.5</v>
      </c>
      <c r="C12" s="183"/>
      <c r="D12" s="180">
        <v>0.46</v>
      </c>
      <c r="E12" s="183"/>
      <c r="F12" s="182">
        <v>0.46</v>
      </c>
      <c r="G12" s="183"/>
    </row>
    <row r="13" spans="1:15" ht="16" thickBot="1" x14ac:dyDescent="0.25">
      <c r="A13" s="37" t="s">
        <v>21</v>
      </c>
      <c r="B13" s="213">
        <f>+B11/B12</f>
        <v>2</v>
      </c>
      <c r="C13" s="214"/>
      <c r="D13" s="213">
        <f>+D11/D12</f>
        <v>1.4999999999999998</v>
      </c>
      <c r="E13" s="214"/>
      <c r="F13" s="215">
        <f>+F11/F12</f>
        <v>1.4999999999999998</v>
      </c>
      <c r="G13" s="214"/>
      <c r="K13" s="59" t="s">
        <v>60</v>
      </c>
      <c r="L13" s="65">
        <f>TENTATIVA!G2</f>
        <v>1</v>
      </c>
      <c r="M13" s="216" t="str">
        <f>IF(L13=1,"Alevinos",IF(L13=2,"Juvenis",IF(L13=3,"Reprodutores")))</f>
        <v>Alevinos</v>
      </c>
      <c r="N13" s="217"/>
      <c r="O13"/>
    </row>
    <row r="14" spans="1:15" ht="16" thickBot="1" x14ac:dyDescent="0.25">
      <c r="A14" s="223"/>
      <c r="B14" s="223"/>
      <c r="C14" s="223"/>
      <c r="D14" s="224"/>
      <c r="E14" s="224"/>
      <c r="F14" s="224"/>
      <c r="G14" s="224"/>
      <c r="K14" s="60" t="s">
        <v>39</v>
      </c>
      <c r="L14" s="66">
        <f>TENTATIVA!G3</f>
        <v>3300</v>
      </c>
      <c r="M14" s="216" t="s">
        <v>62</v>
      </c>
      <c r="N14" s="217"/>
      <c r="O14"/>
    </row>
    <row r="15" spans="1:15" ht="16" thickBot="1" x14ac:dyDescent="0.25">
      <c r="A15" s="221"/>
      <c r="B15" s="219" t="s">
        <v>25</v>
      </c>
      <c r="C15" s="219"/>
      <c r="D15" s="219"/>
      <c r="E15" s="219"/>
      <c r="F15" s="219"/>
      <c r="G15" s="220"/>
    </row>
    <row r="16" spans="1:15" ht="16" thickBot="1" x14ac:dyDescent="0.25">
      <c r="A16" s="222"/>
      <c r="B16" s="87" t="s">
        <v>84</v>
      </c>
      <c r="C16" s="62" t="s">
        <v>38</v>
      </c>
      <c r="D16" s="61" t="s">
        <v>84</v>
      </c>
      <c r="E16" s="62" t="s">
        <v>38</v>
      </c>
      <c r="F16" s="61" t="s">
        <v>84</v>
      </c>
      <c r="G16" s="62" t="s">
        <v>38</v>
      </c>
      <c r="H16" s="33">
        <v>1</v>
      </c>
      <c r="I16" s="55" t="s">
        <v>61</v>
      </c>
      <c r="J16" s="56">
        <v>1</v>
      </c>
      <c r="K16" s="56">
        <v>2</v>
      </c>
      <c r="L16" s="57">
        <v>3</v>
      </c>
      <c r="M16" s="31"/>
      <c r="N16" s="58" t="s">
        <v>25</v>
      </c>
      <c r="O16" s="32"/>
    </row>
    <row r="17" spans="1:15" ht="16" thickBot="1" x14ac:dyDescent="0.25">
      <c r="A17" s="89" t="s">
        <v>38</v>
      </c>
      <c r="B17" s="46">
        <f>1000*B6/B7</f>
        <v>9.6969696969696972</v>
      </c>
      <c r="C17" s="85"/>
      <c r="D17" s="46">
        <f>1000*D6/D7</f>
        <v>9.67741935483871</v>
      </c>
      <c r="E17" s="85"/>
      <c r="F17" s="46">
        <f>1000*F6/F7</f>
        <v>8.75</v>
      </c>
      <c r="G17" s="85"/>
      <c r="H17" s="80">
        <f>H16+1</f>
        <v>2</v>
      </c>
      <c r="I17" s="82" t="s">
        <v>38</v>
      </c>
      <c r="J17" s="49">
        <f>B17</f>
        <v>9.6969696969696972</v>
      </c>
      <c r="K17" s="52">
        <f>D17</f>
        <v>9.67741935483871</v>
      </c>
      <c r="L17" s="52">
        <f>F17</f>
        <v>8.75</v>
      </c>
      <c r="M17" s="31"/>
      <c r="N17" s="91">
        <f t="shared" ref="N17:N35" si="0">HLOOKUP($L$13,EXIGE,H17,FALSE)*$L$14/1000</f>
        <v>32</v>
      </c>
      <c r="O17" s="32"/>
    </row>
    <row r="18" spans="1:15" ht="16" thickBot="1" x14ac:dyDescent="0.25">
      <c r="A18" s="88" t="s">
        <v>49</v>
      </c>
      <c r="B18" s="38">
        <f>B11/B7*1000</f>
        <v>0.30303030303030304</v>
      </c>
      <c r="C18" s="84"/>
      <c r="D18" s="38">
        <f>D11/D7*1000</f>
        <v>0.22258064516129031</v>
      </c>
      <c r="E18" s="84"/>
      <c r="F18" s="38">
        <f>F11/F7*1000</f>
        <v>0.21562499999999998</v>
      </c>
      <c r="G18" s="84"/>
      <c r="H18" s="93">
        <f>H17+1</f>
        <v>3</v>
      </c>
      <c r="I18" s="88" t="s">
        <v>49</v>
      </c>
      <c r="J18" s="92">
        <f>B18</f>
        <v>0.30303030303030304</v>
      </c>
      <c r="K18" s="92">
        <f>D18</f>
        <v>0.22258064516129031</v>
      </c>
      <c r="L18" s="92">
        <f>F18</f>
        <v>0.21562499999999998</v>
      </c>
      <c r="M18" s="81"/>
      <c r="N18" s="91">
        <f t="shared" si="0"/>
        <v>1</v>
      </c>
      <c r="O18" s="32"/>
    </row>
    <row r="19" spans="1:15" ht="16" thickBot="1" x14ac:dyDescent="0.25">
      <c r="A19" s="88" t="s">
        <v>50</v>
      </c>
      <c r="B19" s="38">
        <f>B12/B7*1000</f>
        <v>0.15151515151515152</v>
      </c>
      <c r="C19" s="84"/>
      <c r="D19" s="38">
        <f>D12/D7*1000</f>
        <v>0.14838709677419354</v>
      </c>
      <c r="E19" s="84"/>
      <c r="F19" s="38">
        <f>F12/F7*1000</f>
        <v>0.14374999999999999</v>
      </c>
      <c r="G19" s="84"/>
      <c r="H19" s="93">
        <f t="shared" ref="H19:H35" si="1">H18+1</f>
        <v>4</v>
      </c>
      <c r="I19" s="88" t="s">
        <v>50</v>
      </c>
      <c r="J19" s="92">
        <f t="shared" ref="J19:J21" si="2">B19</f>
        <v>0.15151515151515152</v>
      </c>
      <c r="K19" s="92">
        <f t="shared" ref="K19:K21" si="3">D19</f>
        <v>0.14838709677419354</v>
      </c>
      <c r="L19" s="92">
        <f t="shared" ref="L19:L21" si="4">F19</f>
        <v>0.14374999999999999</v>
      </c>
      <c r="M19" s="81"/>
      <c r="N19" s="91">
        <f t="shared" si="0"/>
        <v>0.5</v>
      </c>
      <c r="O19" s="32"/>
    </row>
    <row r="20" spans="1:15" ht="16" thickBot="1" x14ac:dyDescent="0.25">
      <c r="A20" s="88" t="s">
        <v>47</v>
      </c>
      <c r="B20" s="38">
        <f>B9/B7*1000</f>
        <v>0.90909090909090906</v>
      </c>
      <c r="C20" s="84"/>
      <c r="D20" s="38">
        <f>D9/D7*1000</f>
        <v>1.4516129032258065</v>
      </c>
      <c r="E20" s="84"/>
      <c r="F20" s="38">
        <f>F9/F7*1000</f>
        <v>1.875</v>
      </c>
      <c r="G20" s="84"/>
      <c r="H20" s="93">
        <f t="shared" si="1"/>
        <v>5</v>
      </c>
      <c r="I20" s="88" t="s">
        <v>47</v>
      </c>
      <c r="J20" s="92">
        <f t="shared" si="2"/>
        <v>0.90909090909090906</v>
      </c>
      <c r="K20" s="92">
        <f t="shared" si="3"/>
        <v>1.4516129032258065</v>
      </c>
      <c r="L20" s="92">
        <f t="shared" si="4"/>
        <v>1.875</v>
      </c>
      <c r="M20" s="81"/>
      <c r="N20" s="91">
        <f t="shared" si="0"/>
        <v>3</v>
      </c>
      <c r="O20" s="32"/>
    </row>
    <row r="21" spans="1:15" ht="16" thickBot="1" x14ac:dyDescent="0.25">
      <c r="A21" s="88" t="s">
        <v>48</v>
      </c>
      <c r="B21" s="38">
        <f>B10/B7*1000</f>
        <v>1.2121212121212122</v>
      </c>
      <c r="C21" s="84"/>
      <c r="D21" s="38">
        <f>D10/D7*1000</f>
        <v>1.1290322580645162</v>
      </c>
      <c r="E21" s="84"/>
      <c r="F21" s="38">
        <f>F10/F7*1000</f>
        <v>1.25</v>
      </c>
      <c r="G21" s="84"/>
      <c r="H21" s="93">
        <f t="shared" si="1"/>
        <v>6</v>
      </c>
      <c r="I21" s="88" t="s">
        <v>48</v>
      </c>
      <c r="J21" s="92">
        <f t="shared" si="2"/>
        <v>1.2121212121212122</v>
      </c>
      <c r="K21" s="92">
        <f t="shared" si="3"/>
        <v>1.1290322580645162</v>
      </c>
      <c r="L21" s="92">
        <f t="shared" si="4"/>
        <v>1.25</v>
      </c>
      <c r="M21" s="81"/>
      <c r="N21" s="91">
        <f t="shared" si="0"/>
        <v>4</v>
      </c>
      <c r="O21" s="32"/>
    </row>
    <row r="22" spans="1:15" ht="16" thickBot="1" x14ac:dyDescent="0.25">
      <c r="A22" s="89" t="s">
        <v>2</v>
      </c>
      <c r="B22" s="79">
        <f t="shared" ref="B22:B35" si="5">$B$6*C22/100</f>
        <v>1.3440000000000001</v>
      </c>
      <c r="C22" s="64">
        <v>4.2</v>
      </c>
      <c r="D22" s="63">
        <f t="shared" ref="D22:D35" si="6">$D$6*E22/100</f>
        <v>1.26</v>
      </c>
      <c r="E22" s="64">
        <v>4.2</v>
      </c>
      <c r="F22" s="63">
        <f t="shared" ref="F22:F35" si="7">$F$6*G22/100</f>
        <v>1.1760000000000002</v>
      </c>
      <c r="G22" s="64">
        <v>4.2</v>
      </c>
      <c r="H22" s="93">
        <f t="shared" si="1"/>
        <v>7</v>
      </c>
      <c r="I22" s="83" t="str">
        <f t="shared" ref="I22:I35" si="8">A22</f>
        <v>Arginina</v>
      </c>
      <c r="J22" s="50">
        <f t="shared" ref="J22:J35" si="9">1000*B22/$B$7</f>
        <v>0.40727272727272729</v>
      </c>
      <c r="K22" s="53">
        <f t="shared" ref="K22:K35" si="10">1000*D22/$D$7</f>
        <v>0.40645161290322579</v>
      </c>
      <c r="L22" s="53">
        <f t="shared" ref="L22:L35" si="11">1000*F22/$F$7</f>
        <v>0.36750000000000005</v>
      </c>
      <c r="M22" s="31"/>
      <c r="N22" s="91">
        <f t="shared" si="0"/>
        <v>1.3440000000000001</v>
      </c>
      <c r="O22" s="32"/>
    </row>
    <row r="23" spans="1:15" ht="16" thickBot="1" x14ac:dyDescent="0.25">
      <c r="A23" s="90" t="s">
        <v>3</v>
      </c>
      <c r="B23" s="86">
        <f t="shared" si="5"/>
        <v>0.5504</v>
      </c>
      <c r="C23" s="40">
        <v>1.72</v>
      </c>
      <c r="D23" s="44">
        <f t="shared" si="6"/>
        <v>0.51600000000000001</v>
      </c>
      <c r="E23" s="40">
        <v>1.72</v>
      </c>
      <c r="F23" s="44">
        <f t="shared" si="7"/>
        <v>0.48159999999999997</v>
      </c>
      <c r="G23" s="40">
        <v>1.72</v>
      </c>
      <c r="H23" s="93">
        <f t="shared" si="1"/>
        <v>8</v>
      </c>
      <c r="I23" s="83" t="str">
        <f t="shared" si="8"/>
        <v>Histidina</v>
      </c>
      <c r="J23" s="50">
        <f t="shared" si="9"/>
        <v>0.16678787878787879</v>
      </c>
      <c r="K23" s="53">
        <f t="shared" si="10"/>
        <v>0.1664516129032258</v>
      </c>
      <c r="L23" s="53">
        <f t="shared" si="11"/>
        <v>0.15049999999999999</v>
      </c>
      <c r="M23" s="31"/>
      <c r="N23" s="49">
        <f t="shared" si="0"/>
        <v>0.5504</v>
      </c>
      <c r="O23" s="32"/>
    </row>
    <row r="24" spans="1:15" ht="16" thickBot="1" x14ac:dyDescent="0.25">
      <c r="A24" s="36" t="s">
        <v>4</v>
      </c>
      <c r="B24" s="44">
        <f t="shared" si="5"/>
        <v>0.99519999999999997</v>
      </c>
      <c r="C24" s="40">
        <v>3.11</v>
      </c>
      <c r="D24" s="44">
        <f t="shared" si="6"/>
        <v>0.93299999999999994</v>
      </c>
      <c r="E24" s="40">
        <v>3.11</v>
      </c>
      <c r="F24" s="44">
        <f t="shared" si="7"/>
        <v>0.87080000000000002</v>
      </c>
      <c r="G24" s="40">
        <v>3.11</v>
      </c>
      <c r="H24" s="93">
        <f t="shared" si="1"/>
        <v>9</v>
      </c>
      <c r="I24" s="47" t="str">
        <f t="shared" si="8"/>
        <v>Isoleucina</v>
      </c>
      <c r="J24" s="50">
        <f t="shared" si="9"/>
        <v>0.30157575757575755</v>
      </c>
      <c r="K24" s="53">
        <f t="shared" si="10"/>
        <v>0.30096774193548381</v>
      </c>
      <c r="L24" s="53">
        <f t="shared" si="11"/>
        <v>0.27212500000000001</v>
      </c>
      <c r="M24" s="31"/>
      <c r="N24" s="49">
        <f t="shared" si="0"/>
        <v>0.99519999999999997</v>
      </c>
      <c r="O24" s="32"/>
    </row>
    <row r="25" spans="1:15" ht="16" thickBot="1" x14ac:dyDescent="0.25">
      <c r="A25" s="36" t="s">
        <v>5</v>
      </c>
      <c r="B25" s="44">
        <f t="shared" si="5"/>
        <v>1.0848</v>
      </c>
      <c r="C25" s="40">
        <v>3.39</v>
      </c>
      <c r="D25" s="44">
        <f t="shared" si="6"/>
        <v>1.0170000000000001</v>
      </c>
      <c r="E25" s="40">
        <v>3.39</v>
      </c>
      <c r="F25" s="44">
        <f t="shared" si="7"/>
        <v>0.94920000000000004</v>
      </c>
      <c r="G25" s="40">
        <v>3.39</v>
      </c>
      <c r="H25" s="93">
        <f t="shared" si="1"/>
        <v>10</v>
      </c>
      <c r="I25" s="47" t="str">
        <f t="shared" si="8"/>
        <v>Leucina</v>
      </c>
      <c r="J25" s="50">
        <f t="shared" si="9"/>
        <v>0.3287272727272727</v>
      </c>
      <c r="K25" s="50">
        <f t="shared" si="10"/>
        <v>0.32806451612903231</v>
      </c>
      <c r="L25" s="53">
        <f t="shared" si="11"/>
        <v>0.29662500000000003</v>
      </c>
      <c r="M25" s="31"/>
      <c r="N25" s="49">
        <f t="shared" si="0"/>
        <v>1.0848</v>
      </c>
      <c r="O25" s="32"/>
    </row>
    <row r="26" spans="1:15" ht="16" thickBot="1" x14ac:dyDescent="0.25">
      <c r="A26" s="36" t="s">
        <v>6</v>
      </c>
      <c r="B26" s="44">
        <f t="shared" si="5"/>
        <v>1.6384000000000001</v>
      </c>
      <c r="C26" s="41">
        <v>5.12</v>
      </c>
      <c r="D26" s="44">
        <f t="shared" si="6"/>
        <v>1.536</v>
      </c>
      <c r="E26" s="41">
        <v>5.12</v>
      </c>
      <c r="F26" s="44">
        <f t="shared" si="7"/>
        <v>1.4336000000000002</v>
      </c>
      <c r="G26" s="41">
        <v>5.12</v>
      </c>
      <c r="H26" s="93">
        <f t="shared" si="1"/>
        <v>11</v>
      </c>
      <c r="I26" s="47" t="str">
        <f t="shared" si="8"/>
        <v xml:space="preserve">Lysina </v>
      </c>
      <c r="J26" s="50">
        <f t="shared" si="9"/>
        <v>0.49648484848484853</v>
      </c>
      <c r="K26" s="50">
        <f t="shared" si="10"/>
        <v>0.49548387096774194</v>
      </c>
      <c r="L26" s="53">
        <f t="shared" si="11"/>
        <v>0.44800000000000006</v>
      </c>
      <c r="M26" s="31"/>
      <c r="N26" s="49">
        <f t="shared" si="0"/>
        <v>1.6384000000000001</v>
      </c>
    </row>
    <row r="27" spans="1:15" ht="16" thickBot="1" x14ac:dyDescent="0.25">
      <c r="A27" s="36" t="s">
        <v>7</v>
      </c>
      <c r="B27" s="44">
        <f t="shared" si="5"/>
        <v>0.85760000000000003</v>
      </c>
      <c r="C27" s="41">
        <v>2.68</v>
      </c>
      <c r="D27" s="44">
        <f t="shared" si="6"/>
        <v>0.80400000000000005</v>
      </c>
      <c r="E27" s="41">
        <v>2.68</v>
      </c>
      <c r="F27" s="44">
        <f t="shared" si="7"/>
        <v>0.75040000000000007</v>
      </c>
      <c r="G27" s="41">
        <v>2.68</v>
      </c>
      <c r="H27" s="93">
        <f t="shared" si="1"/>
        <v>12</v>
      </c>
      <c r="I27" s="47" t="str">
        <f t="shared" si="8"/>
        <v>Methionina</v>
      </c>
      <c r="J27" s="50">
        <f t="shared" si="9"/>
        <v>0.25987878787878788</v>
      </c>
      <c r="K27" s="50">
        <f t="shared" si="10"/>
        <v>0.2593548387096774</v>
      </c>
      <c r="L27" s="53">
        <f t="shared" si="11"/>
        <v>0.23450000000000004</v>
      </c>
      <c r="M27" s="31"/>
      <c r="N27" s="49">
        <f t="shared" si="0"/>
        <v>0.85760000000000003</v>
      </c>
    </row>
    <row r="28" spans="1:15" ht="16" thickBot="1" x14ac:dyDescent="0.25">
      <c r="A28" s="36" t="s">
        <v>54</v>
      </c>
      <c r="B28" s="44">
        <f t="shared" si="5"/>
        <v>1.0304</v>
      </c>
      <c r="C28" s="41">
        <f>+C27+C29</f>
        <v>3.22</v>
      </c>
      <c r="D28" s="44">
        <f t="shared" si="6"/>
        <v>0.96600000000000008</v>
      </c>
      <c r="E28" s="41">
        <f>+E27+E29</f>
        <v>3.22</v>
      </c>
      <c r="F28" s="44">
        <f t="shared" si="7"/>
        <v>0.90160000000000007</v>
      </c>
      <c r="G28" s="41">
        <f>+G27+G29</f>
        <v>3.22</v>
      </c>
      <c r="H28" s="93">
        <f t="shared" si="1"/>
        <v>13</v>
      </c>
      <c r="I28" s="47" t="str">
        <f t="shared" si="8"/>
        <v>Methionine+Cistina</v>
      </c>
      <c r="J28" s="50">
        <f t="shared" si="9"/>
        <v>0.31224242424242427</v>
      </c>
      <c r="K28" s="50">
        <f t="shared" si="10"/>
        <v>0.31161290322580648</v>
      </c>
      <c r="L28" s="53">
        <f t="shared" si="11"/>
        <v>0.28175</v>
      </c>
      <c r="M28" s="31"/>
      <c r="N28" s="49">
        <f t="shared" si="0"/>
        <v>1.0304</v>
      </c>
    </row>
    <row r="29" spans="1:15" ht="16" thickBot="1" x14ac:dyDescent="0.25">
      <c r="A29" s="36" t="s">
        <v>8</v>
      </c>
      <c r="B29" s="44">
        <f t="shared" si="5"/>
        <v>0.17280000000000001</v>
      </c>
      <c r="C29" s="41">
        <v>0.54</v>
      </c>
      <c r="D29" s="44">
        <f t="shared" si="6"/>
        <v>0.16200000000000003</v>
      </c>
      <c r="E29" s="41">
        <v>0.54</v>
      </c>
      <c r="F29" s="44">
        <f t="shared" si="7"/>
        <v>0.1512</v>
      </c>
      <c r="G29" s="41">
        <v>0.54</v>
      </c>
      <c r="H29" s="93">
        <f t="shared" si="1"/>
        <v>14</v>
      </c>
      <c r="I29" s="47" t="str">
        <f t="shared" si="8"/>
        <v>Cistina</v>
      </c>
      <c r="J29" s="50">
        <f t="shared" si="9"/>
        <v>5.2363636363636369E-2</v>
      </c>
      <c r="K29" s="50">
        <f t="shared" si="10"/>
        <v>5.2258064516129042E-2</v>
      </c>
      <c r="L29" s="53">
        <f t="shared" si="11"/>
        <v>4.7249999999999993E-2</v>
      </c>
      <c r="M29" s="31"/>
      <c r="N29" s="49">
        <f t="shared" si="0"/>
        <v>0.17280000000000001</v>
      </c>
    </row>
    <row r="30" spans="1:15" ht="16" thickBot="1" x14ac:dyDescent="0.25">
      <c r="A30" s="36" t="s">
        <v>9</v>
      </c>
      <c r="B30" s="44">
        <f t="shared" si="5"/>
        <v>1.2</v>
      </c>
      <c r="C30" s="40">
        <v>3.75</v>
      </c>
      <c r="D30" s="44">
        <f t="shared" si="6"/>
        <v>1.125</v>
      </c>
      <c r="E30" s="40">
        <v>3.75</v>
      </c>
      <c r="F30" s="44">
        <f t="shared" si="7"/>
        <v>1.05</v>
      </c>
      <c r="G30" s="40">
        <v>3.75</v>
      </c>
      <c r="H30" s="93">
        <f t="shared" si="1"/>
        <v>15</v>
      </c>
      <c r="I30" s="47" t="str">
        <f t="shared" si="8"/>
        <v>Fenilalanina</v>
      </c>
      <c r="J30" s="50">
        <f t="shared" si="9"/>
        <v>0.36363636363636365</v>
      </c>
      <c r="K30" s="50">
        <f t="shared" si="10"/>
        <v>0.36290322580645162</v>
      </c>
      <c r="L30" s="53">
        <f t="shared" si="11"/>
        <v>0.328125</v>
      </c>
      <c r="M30" s="31"/>
      <c r="N30" s="49">
        <f t="shared" si="0"/>
        <v>1.2</v>
      </c>
    </row>
    <row r="31" spans="1:15" ht="16" thickBot="1" x14ac:dyDescent="0.25">
      <c r="A31" s="36" t="s">
        <v>55</v>
      </c>
      <c r="B31" s="44">
        <f t="shared" si="5"/>
        <v>1.7727999999999999</v>
      </c>
      <c r="C31" s="40">
        <v>5.54</v>
      </c>
      <c r="D31" s="44">
        <f t="shared" si="6"/>
        <v>1.6619999999999999</v>
      </c>
      <c r="E31" s="40">
        <v>5.54</v>
      </c>
      <c r="F31" s="44">
        <f t="shared" si="7"/>
        <v>1.5512000000000001</v>
      </c>
      <c r="G31" s="40">
        <v>5.54</v>
      </c>
      <c r="H31" s="93">
        <f t="shared" si="1"/>
        <v>16</v>
      </c>
      <c r="I31" s="47" t="str">
        <f t="shared" si="8"/>
        <v>Fenilalanina+Tirosina</v>
      </c>
      <c r="J31" s="50">
        <f t="shared" si="9"/>
        <v>0.53721212121212125</v>
      </c>
      <c r="K31" s="50">
        <f t="shared" si="10"/>
        <v>0.53612903225806452</v>
      </c>
      <c r="L31" s="53">
        <f t="shared" si="11"/>
        <v>0.48475000000000001</v>
      </c>
      <c r="M31" s="31"/>
      <c r="N31" s="49">
        <f t="shared" si="0"/>
        <v>1.7728000000000002</v>
      </c>
    </row>
    <row r="32" spans="1:15" s="31" customFormat="1" ht="12.75" customHeight="1" thickBot="1" x14ac:dyDescent="0.25">
      <c r="A32" s="36" t="s">
        <v>10</v>
      </c>
      <c r="B32" s="44">
        <f t="shared" si="5"/>
        <v>0.57279999999999998</v>
      </c>
      <c r="C32" s="40">
        <v>1.79</v>
      </c>
      <c r="D32" s="44">
        <f t="shared" si="6"/>
        <v>0.53700000000000003</v>
      </c>
      <c r="E32" s="40">
        <v>1.79</v>
      </c>
      <c r="F32" s="44">
        <f t="shared" si="7"/>
        <v>0.50120000000000009</v>
      </c>
      <c r="G32" s="40">
        <v>1.79</v>
      </c>
      <c r="H32" s="93">
        <f t="shared" si="1"/>
        <v>17</v>
      </c>
      <c r="I32" s="47" t="str">
        <f t="shared" si="8"/>
        <v>Tirosina</v>
      </c>
      <c r="J32" s="50">
        <f t="shared" si="9"/>
        <v>0.17357575757575755</v>
      </c>
      <c r="K32" s="50">
        <f t="shared" si="10"/>
        <v>0.1732258064516129</v>
      </c>
      <c r="L32" s="53">
        <f t="shared" si="11"/>
        <v>0.15662500000000004</v>
      </c>
      <c r="N32" s="49">
        <f t="shared" si="0"/>
        <v>0.57279999999999998</v>
      </c>
    </row>
    <row r="33" spans="1:14" ht="12.75" customHeight="1" thickBot="1" x14ac:dyDescent="0.25">
      <c r="A33" s="36" t="s">
        <v>11</v>
      </c>
      <c r="B33" s="44">
        <f t="shared" si="5"/>
        <v>1.2</v>
      </c>
      <c r="C33" s="40">
        <v>3.75</v>
      </c>
      <c r="D33" s="44">
        <f t="shared" si="6"/>
        <v>1.125</v>
      </c>
      <c r="E33" s="40">
        <v>3.75</v>
      </c>
      <c r="F33" s="44">
        <f t="shared" si="7"/>
        <v>1.05</v>
      </c>
      <c r="G33" s="40">
        <v>3.75</v>
      </c>
      <c r="H33" s="93">
        <f t="shared" si="1"/>
        <v>18</v>
      </c>
      <c r="I33" s="47" t="str">
        <f t="shared" si="8"/>
        <v>Treonina</v>
      </c>
      <c r="J33" s="50">
        <f t="shared" si="9"/>
        <v>0.36363636363636365</v>
      </c>
      <c r="K33" s="50">
        <f t="shared" si="10"/>
        <v>0.36290322580645162</v>
      </c>
      <c r="L33" s="53">
        <f t="shared" si="11"/>
        <v>0.328125</v>
      </c>
      <c r="M33" s="31"/>
      <c r="N33" s="49">
        <f t="shared" si="0"/>
        <v>1.2</v>
      </c>
    </row>
    <row r="34" spans="1:14" ht="12.75" customHeight="1" thickBot="1" x14ac:dyDescent="0.25">
      <c r="A34" s="36" t="s">
        <v>12</v>
      </c>
      <c r="B34" s="44">
        <f t="shared" si="5"/>
        <v>0.32</v>
      </c>
      <c r="C34" s="40">
        <v>1</v>
      </c>
      <c r="D34" s="44">
        <f t="shared" si="6"/>
        <v>0.3</v>
      </c>
      <c r="E34" s="40">
        <v>1</v>
      </c>
      <c r="F34" s="44">
        <f t="shared" si="7"/>
        <v>0.28000000000000003</v>
      </c>
      <c r="G34" s="40">
        <v>1</v>
      </c>
      <c r="H34" s="93">
        <f t="shared" si="1"/>
        <v>19</v>
      </c>
      <c r="I34" s="47" t="str">
        <f t="shared" si="8"/>
        <v>Triptofano</v>
      </c>
      <c r="J34" s="50">
        <f t="shared" si="9"/>
        <v>9.696969696969697E-2</v>
      </c>
      <c r="K34" s="50">
        <f t="shared" si="10"/>
        <v>9.6774193548387094E-2</v>
      </c>
      <c r="L34" s="53">
        <f t="shared" si="11"/>
        <v>8.7499999999999994E-2</v>
      </c>
      <c r="M34" s="31"/>
      <c r="N34" s="49">
        <f t="shared" si="0"/>
        <v>0.32</v>
      </c>
    </row>
    <row r="35" spans="1:14" ht="12.75" customHeight="1" thickBot="1" x14ac:dyDescent="0.25">
      <c r="A35" s="37" t="s">
        <v>13</v>
      </c>
      <c r="B35" s="45">
        <f t="shared" si="5"/>
        <v>0.89599999999999991</v>
      </c>
      <c r="C35" s="42">
        <v>2.8</v>
      </c>
      <c r="D35" s="45">
        <f t="shared" si="6"/>
        <v>0.84</v>
      </c>
      <c r="E35" s="42">
        <v>2.8</v>
      </c>
      <c r="F35" s="45">
        <f t="shared" si="7"/>
        <v>0.78399999999999992</v>
      </c>
      <c r="G35" s="42">
        <v>2.8</v>
      </c>
      <c r="H35" s="93">
        <f t="shared" si="1"/>
        <v>20</v>
      </c>
      <c r="I35" s="48" t="str">
        <f t="shared" si="8"/>
        <v>Valina</v>
      </c>
      <c r="J35" s="51">
        <f t="shared" si="9"/>
        <v>0.27151515151515149</v>
      </c>
      <c r="K35" s="51">
        <f t="shared" si="10"/>
        <v>0.2709677419354839</v>
      </c>
      <c r="L35" s="54">
        <f t="shared" si="11"/>
        <v>0.24499999999999997</v>
      </c>
      <c r="M35" s="31"/>
      <c r="N35" s="49">
        <f t="shared" si="0"/>
        <v>0.89599999999999991</v>
      </c>
    </row>
    <row r="38" spans="1:14" ht="12.75" customHeight="1" thickBot="1" x14ac:dyDescent="0.25"/>
    <row r="39" spans="1:14" ht="12.75" customHeight="1" thickBot="1" x14ac:dyDescent="0.25">
      <c r="A39" s="218" t="s">
        <v>59</v>
      </c>
      <c r="B39" s="219"/>
      <c r="C39" s="219"/>
      <c r="D39" s="219"/>
      <c r="E39" s="219"/>
      <c r="F39" s="219"/>
      <c r="G39" s="220"/>
    </row>
    <row r="40" spans="1:14" ht="12.75" customHeight="1" x14ac:dyDescent="0.2">
      <c r="A40" s="43" t="s">
        <v>14</v>
      </c>
      <c r="B40" s="210" t="s">
        <v>15</v>
      </c>
      <c r="C40" s="211"/>
      <c r="D40" s="210">
        <v>0.5</v>
      </c>
      <c r="E40" s="211"/>
      <c r="F40" s="212">
        <v>1</v>
      </c>
      <c r="G40" s="211"/>
    </row>
    <row r="41" spans="1:14" ht="12.75" customHeight="1" thickBot="1" x14ac:dyDescent="0.25">
      <c r="A41" s="37" t="s">
        <v>22</v>
      </c>
      <c r="B41" s="213">
        <v>1</v>
      </c>
      <c r="C41" s="214"/>
      <c r="D41" s="213" t="s">
        <v>15</v>
      </c>
      <c r="E41" s="214"/>
      <c r="F41" s="215">
        <v>1</v>
      </c>
      <c r="G41" s="214"/>
    </row>
  </sheetData>
  <mergeCells count="48">
    <mergeCell ref="M13:N13"/>
    <mergeCell ref="M14:N14"/>
    <mergeCell ref="A39:G39"/>
    <mergeCell ref="B15:G15"/>
    <mergeCell ref="A15:A16"/>
    <mergeCell ref="B13:C13"/>
    <mergeCell ref="D13:E13"/>
    <mergeCell ref="F13:G13"/>
    <mergeCell ref="A14:G14"/>
    <mergeCell ref="B40:C40"/>
    <mergeCell ref="D40:E40"/>
    <mergeCell ref="F40:G40"/>
    <mergeCell ref="B41:C41"/>
    <mergeCell ref="D41:E41"/>
    <mergeCell ref="F41:G41"/>
    <mergeCell ref="B11:C11"/>
    <mergeCell ref="D11:E11"/>
    <mergeCell ref="F11:G11"/>
    <mergeCell ref="B12:C12"/>
    <mergeCell ref="D12:E12"/>
    <mergeCell ref="F12:G12"/>
    <mergeCell ref="A1:G1"/>
    <mergeCell ref="B2:C2"/>
    <mergeCell ref="D2:E2"/>
    <mergeCell ref="F2:G2"/>
    <mergeCell ref="B6:C6"/>
    <mergeCell ref="D6:E6"/>
    <mergeCell ref="F6:G6"/>
    <mergeCell ref="B3:C3"/>
    <mergeCell ref="D3:E3"/>
    <mergeCell ref="F3:G3"/>
    <mergeCell ref="A4:A5"/>
    <mergeCell ref="B4:C5"/>
    <mergeCell ref="D4:E5"/>
    <mergeCell ref="F4:G4"/>
    <mergeCell ref="F5:G5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</mergeCells>
  <printOptions horizontalCentered="1"/>
  <pageMargins left="0.78740157480314965" right="0.78740157480314965" top="0.59055118110236227" bottom="0.39370078740157483" header="0" footer="0"/>
  <pageSetup paperSize="9" scale="90" orientation="portrait" horizontalDpi="4294967295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35"/>
  <sheetViews>
    <sheetView workbookViewId="0">
      <selection activeCell="E6" sqref="E6"/>
    </sheetView>
  </sheetViews>
  <sheetFormatPr baseColWidth="10" defaultColWidth="8.83203125" defaultRowHeight="13" x14ac:dyDescent="0.15"/>
  <cols>
    <col min="2" max="2" width="14.6640625" bestFit="1" customWidth="1"/>
    <col min="13" max="13" width="3.6640625" customWidth="1"/>
  </cols>
  <sheetData>
    <row r="2" spans="2:11" ht="14" thickBot="1" x14ac:dyDescent="0.2"/>
    <row r="3" spans="2:11" ht="14" thickBot="1" x14ac:dyDescent="0.2">
      <c r="B3" s="122" t="s">
        <v>86</v>
      </c>
      <c r="C3" s="122" t="s">
        <v>108</v>
      </c>
      <c r="D3" s="122" t="s">
        <v>109</v>
      </c>
      <c r="E3" s="122" t="s">
        <v>38</v>
      </c>
      <c r="F3" s="122" t="s">
        <v>40</v>
      </c>
      <c r="G3" s="122" t="s">
        <v>42</v>
      </c>
      <c r="H3" s="122" t="s">
        <v>110</v>
      </c>
      <c r="I3" s="122" t="s">
        <v>64</v>
      </c>
      <c r="J3" s="122" t="s">
        <v>24</v>
      </c>
      <c r="K3" s="122" t="s">
        <v>63</v>
      </c>
    </row>
    <row r="4" spans="2:11" ht="14" thickBot="1" x14ac:dyDescent="0.2">
      <c r="B4" s="118" t="s">
        <v>95</v>
      </c>
      <c r="C4" s="120">
        <v>0.26</v>
      </c>
      <c r="D4" s="121">
        <v>3416</v>
      </c>
      <c r="E4" s="121">
        <v>8.51</v>
      </c>
      <c r="F4" s="121">
        <v>1.7</v>
      </c>
      <c r="G4" s="121">
        <v>0.02</v>
      </c>
      <c r="H4" s="121">
        <v>0.27</v>
      </c>
      <c r="I4" s="121">
        <v>0.17</v>
      </c>
      <c r="J4" s="121">
        <v>0.35</v>
      </c>
      <c r="K4" s="121">
        <v>0.23</v>
      </c>
    </row>
    <row r="5" spans="2:11" ht="14" thickBot="1" x14ac:dyDescent="0.2">
      <c r="B5" s="118" t="s">
        <v>96</v>
      </c>
      <c r="C5" s="120">
        <v>0.22</v>
      </c>
      <c r="D5" s="121">
        <v>3168</v>
      </c>
      <c r="E5" s="121">
        <v>8.82</v>
      </c>
      <c r="F5" s="121">
        <v>2.2000000000000002</v>
      </c>
      <c r="G5" s="121">
        <v>0.03</v>
      </c>
      <c r="H5" s="121">
        <v>0.25</v>
      </c>
      <c r="I5" s="121">
        <v>0.15</v>
      </c>
      <c r="J5" s="121">
        <v>0.32</v>
      </c>
      <c r="K5" s="121">
        <v>0.21</v>
      </c>
    </row>
    <row r="6" spans="2:11" ht="14" thickBot="1" x14ac:dyDescent="0.2">
      <c r="B6" s="118" t="s">
        <v>97</v>
      </c>
      <c r="C6" s="120">
        <v>0.46</v>
      </c>
      <c r="D6" s="121">
        <v>2283</v>
      </c>
      <c r="E6" s="121">
        <v>46</v>
      </c>
      <c r="F6" s="121">
        <v>6.46</v>
      </c>
      <c r="G6" s="121">
        <v>0.36</v>
      </c>
      <c r="H6" s="121">
        <v>0.55000000000000004</v>
      </c>
      <c r="I6" s="121">
        <v>0.65</v>
      </c>
      <c r="J6" s="121">
        <v>1.34</v>
      </c>
      <c r="K6" s="121">
        <v>2.87</v>
      </c>
    </row>
    <row r="7" spans="2:11" ht="14" thickBot="1" x14ac:dyDescent="0.2">
      <c r="B7" s="118" t="s">
        <v>98</v>
      </c>
      <c r="C7" s="120">
        <v>0.26</v>
      </c>
      <c r="D7" s="121">
        <v>1566</v>
      </c>
      <c r="E7" s="121">
        <v>32.4</v>
      </c>
      <c r="F7" s="121">
        <v>25.16</v>
      </c>
      <c r="G7" s="121">
        <v>0.32</v>
      </c>
      <c r="H7" s="121">
        <v>1.05</v>
      </c>
      <c r="I7" s="121">
        <v>0.48</v>
      </c>
      <c r="J7" s="121">
        <v>0.95</v>
      </c>
      <c r="K7" s="121">
        <v>1.2</v>
      </c>
    </row>
    <row r="8" spans="2:11" ht="14" thickBot="1" x14ac:dyDescent="0.2">
      <c r="B8" s="118" t="s">
        <v>99</v>
      </c>
      <c r="C8" s="120">
        <v>0.45</v>
      </c>
      <c r="D8" s="121">
        <v>1744</v>
      </c>
      <c r="E8" s="121">
        <v>45.2</v>
      </c>
      <c r="F8" s="121">
        <v>1.3</v>
      </c>
      <c r="G8" s="121">
        <v>11.8</v>
      </c>
      <c r="H8" s="121">
        <v>5.6</v>
      </c>
      <c r="I8" s="121">
        <v>0.54</v>
      </c>
      <c r="J8" s="121">
        <v>0.97</v>
      </c>
      <c r="K8" s="121">
        <v>2.2799999999999998</v>
      </c>
    </row>
    <row r="9" spans="2:11" ht="14" thickBot="1" x14ac:dyDescent="0.2">
      <c r="B9" s="118" t="s">
        <v>100</v>
      </c>
      <c r="C9" s="120">
        <v>1.8</v>
      </c>
      <c r="D9" s="121">
        <v>8780</v>
      </c>
      <c r="E9" s="121"/>
      <c r="F9" s="121"/>
      <c r="G9" s="121"/>
      <c r="H9" s="121"/>
      <c r="I9" s="121"/>
      <c r="J9" s="121"/>
      <c r="K9" s="121"/>
    </row>
    <row r="10" spans="2:11" ht="14" thickBot="1" x14ac:dyDescent="0.2">
      <c r="B10" s="118" t="s">
        <v>101</v>
      </c>
      <c r="C10" s="120">
        <v>0.28000000000000003</v>
      </c>
      <c r="D10" s="121">
        <v>1510</v>
      </c>
      <c r="E10" s="121">
        <v>17.100000000000001</v>
      </c>
      <c r="F10" s="121">
        <v>9.5500000000000007</v>
      </c>
      <c r="G10" s="121">
        <v>0.12</v>
      </c>
      <c r="H10" s="121">
        <v>-0.88</v>
      </c>
      <c r="I10" s="121">
        <v>0.22</v>
      </c>
      <c r="J10" s="121">
        <v>0.52</v>
      </c>
      <c r="K10" s="121">
        <v>0.56999999999999995</v>
      </c>
    </row>
    <row r="11" spans="2:11" ht="14" thickBot="1" x14ac:dyDescent="0.2">
      <c r="B11" s="118" t="s">
        <v>102</v>
      </c>
      <c r="C11" s="120">
        <v>3.5</v>
      </c>
      <c r="D11" s="121">
        <v>5020</v>
      </c>
      <c r="E11" s="121">
        <v>58.7</v>
      </c>
      <c r="F11" s="121"/>
      <c r="G11" s="121"/>
      <c r="H11" s="121"/>
      <c r="I11" s="121">
        <v>99</v>
      </c>
      <c r="J11" s="121">
        <v>99</v>
      </c>
      <c r="K11" s="121"/>
    </row>
    <row r="12" spans="2:11" ht="14" thickBot="1" x14ac:dyDescent="0.2">
      <c r="B12" s="118" t="s">
        <v>103</v>
      </c>
      <c r="C12" s="120">
        <v>3.2</v>
      </c>
      <c r="D12" s="121">
        <v>3990</v>
      </c>
      <c r="E12" s="121">
        <v>95.6</v>
      </c>
      <c r="F12" s="121"/>
      <c r="G12" s="121"/>
      <c r="H12" s="121"/>
      <c r="I12" s="121"/>
      <c r="J12" s="121"/>
      <c r="K12" s="121">
        <v>78.400000000000006</v>
      </c>
    </row>
    <row r="13" spans="2:11" ht="14" thickBot="1" x14ac:dyDescent="0.2">
      <c r="B13" s="118" t="s">
        <v>104</v>
      </c>
      <c r="C13" s="120">
        <v>0.85</v>
      </c>
      <c r="D13" s="121"/>
      <c r="E13" s="121"/>
      <c r="F13" s="121"/>
      <c r="G13" s="121">
        <v>22.6</v>
      </c>
      <c r="H13" s="121">
        <v>17.3</v>
      </c>
      <c r="I13" s="121"/>
      <c r="J13" s="121"/>
      <c r="K13" s="121"/>
    </row>
    <row r="14" spans="2:11" ht="14" thickBot="1" x14ac:dyDescent="0.2">
      <c r="B14" s="118" t="s">
        <v>105</v>
      </c>
      <c r="C14" s="120">
        <v>0.1</v>
      </c>
      <c r="D14" s="121"/>
      <c r="E14" s="121"/>
      <c r="F14" s="121"/>
      <c r="G14" s="121">
        <v>37</v>
      </c>
      <c r="H14" s="121"/>
      <c r="I14" s="121"/>
      <c r="J14" s="121"/>
      <c r="K14" s="121"/>
    </row>
    <row r="15" spans="2:11" ht="14" thickBot="1" x14ac:dyDescent="0.2">
      <c r="B15" s="118" t="s">
        <v>106</v>
      </c>
      <c r="C15" s="120">
        <v>4.5</v>
      </c>
      <c r="D15" s="121"/>
      <c r="E15" s="121"/>
      <c r="F15" s="121"/>
      <c r="G15" s="121"/>
      <c r="H15" s="121"/>
      <c r="I15" s="121"/>
      <c r="J15" s="121"/>
      <c r="K15" s="121"/>
    </row>
    <row r="16" spans="2:11" ht="14" thickBot="1" x14ac:dyDescent="0.2">
      <c r="B16" s="118" t="s">
        <v>107</v>
      </c>
      <c r="C16" s="120">
        <v>0.22</v>
      </c>
      <c r="D16" s="121"/>
      <c r="E16" s="121"/>
      <c r="F16" s="121"/>
      <c r="G16" s="121"/>
      <c r="H16" s="121"/>
      <c r="I16" s="121"/>
      <c r="J16" s="121"/>
      <c r="K16" s="121"/>
    </row>
    <row r="17" spans="2:15" ht="14" thickBot="1" x14ac:dyDescent="0.2"/>
    <row r="18" spans="2:15" ht="14" thickBot="1" x14ac:dyDescent="0.2">
      <c r="B18" s="123" t="str">
        <f>B3</f>
        <v>INGREDIENTES</v>
      </c>
      <c r="C18" s="123" t="s">
        <v>111</v>
      </c>
      <c r="D18" s="123" t="str">
        <f>D3</f>
        <v>EM</v>
      </c>
      <c r="E18" s="123" t="str">
        <f t="shared" ref="E18:K18" si="0">E3</f>
        <v>PB</v>
      </c>
      <c r="F18" s="123" t="str">
        <f t="shared" si="0"/>
        <v>FB</v>
      </c>
      <c r="G18" s="123" t="str">
        <f t="shared" si="0"/>
        <v>Ca</v>
      </c>
      <c r="H18" s="123" t="str">
        <f t="shared" si="0"/>
        <v>P</v>
      </c>
      <c r="I18" s="123" t="str">
        <f t="shared" si="0"/>
        <v>MET</v>
      </c>
      <c r="J18" s="123" t="str">
        <f t="shared" si="0"/>
        <v>AAS</v>
      </c>
      <c r="K18" s="123" t="str">
        <f t="shared" si="0"/>
        <v>LYS</v>
      </c>
      <c r="L18" s="123" t="s">
        <v>108</v>
      </c>
      <c r="N18" s="225" t="s">
        <v>117</v>
      </c>
      <c r="O18" s="225"/>
    </row>
    <row r="19" spans="2:15" ht="14" thickBot="1" x14ac:dyDescent="0.2">
      <c r="B19" s="75" t="str">
        <f>B4</f>
        <v>MILHO</v>
      </c>
      <c r="C19" s="116">
        <v>64.057202919096653</v>
      </c>
      <c r="D19" s="125">
        <f>C19*D4/100</f>
        <v>2188.1940517163416</v>
      </c>
      <c r="E19" s="116">
        <f>C19*E4/100</f>
        <v>5.4512679684151246</v>
      </c>
      <c r="F19" s="116">
        <f>$C19*F4/100</f>
        <v>1.0889724496246431</v>
      </c>
      <c r="G19" s="116">
        <f t="shared" ref="G19:K19" si="1">$C19*G4/100</f>
        <v>1.2811440583819332E-2</v>
      </c>
      <c r="H19" s="116">
        <f t="shared" si="1"/>
        <v>0.17295444788156097</v>
      </c>
      <c r="I19" s="116">
        <f t="shared" si="1"/>
        <v>0.10889724496246432</v>
      </c>
      <c r="J19" s="116">
        <f t="shared" si="1"/>
        <v>0.22420021021683825</v>
      </c>
      <c r="K19" s="116">
        <f t="shared" si="1"/>
        <v>0.14733156671392231</v>
      </c>
      <c r="L19" s="116">
        <f>C19*C4</f>
        <v>16.65487275896513</v>
      </c>
      <c r="N19" s="129"/>
      <c r="O19" s="129"/>
    </row>
    <row r="20" spans="2:15" ht="14" thickBot="1" x14ac:dyDescent="0.2">
      <c r="B20" s="75" t="str">
        <f t="shared" ref="B20:B31" si="2">B5</f>
        <v>SORGO</v>
      </c>
      <c r="C20" s="116">
        <v>0</v>
      </c>
      <c r="D20" s="125">
        <f t="shared" ref="D20:D31" si="3">C20*D5/100</f>
        <v>0</v>
      </c>
      <c r="E20" s="116">
        <f t="shared" ref="E20:E30" si="4">C20*E5/100</f>
        <v>0</v>
      </c>
      <c r="F20" s="116">
        <f t="shared" ref="F20:K20" si="5">$C20*F5/100</f>
        <v>0</v>
      </c>
      <c r="G20" s="116">
        <f t="shared" si="5"/>
        <v>0</v>
      </c>
      <c r="H20" s="116">
        <f t="shared" si="5"/>
        <v>0</v>
      </c>
      <c r="I20" s="116">
        <f t="shared" si="5"/>
        <v>0</v>
      </c>
      <c r="J20" s="116">
        <f t="shared" si="5"/>
        <v>0</v>
      </c>
      <c r="K20" s="116">
        <f t="shared" si="5"/>
        <v>0</v>
      </c>
      <c r="L20" s="116">
        <f t="shared" ref="L20:L31" si="6">C20*C5</f>
        <v>0</v>
      </c>
      <c r="N20" s="129"/>
      <c r="O20" s="129"/>
    </row>
    <row r="21" spans="2:15" ht="14" thickBot="1" x14ac:dyDescent="0.2">
      <c r="B21" s="75" t="str">
        <f t="shared" si="2"/>
        <v>FAR. SOJA</v>
      </c>
      <c r="C21" s="116">
        <v>28.877344305992573</v>
      </c>
      <c r="D21" s="125">
        <f t="shared" si="3"/>
        <v>659.26977050581047</v>
      </c>
      <c r="E21" s="116">
        <f t="shared" si="4"/>
        <v>13.283578380756582</v>
      </c>
      <c r="F21" s="116">
        <f t="shared" ref="F21:K21" si="7">$C21*F6/100</f>
        <v>1.8654764421671204</v>
      </c>
      <c r="G21" s="116">
        <f t="shared" si="7"/>
        <v>0.10395843950157327</v>
      </c>
      <c r="H21" s="116">
        <f t="shared" si="7"/>
        <v>0.15882539368295917</v>
      </c>
      <c r="I21" s="116">
        <f t="shared" si="7"/>
        <v>0.18770273798895171</v>
      </c>
      <c r="J21" s="116">
        <f t="shared" si="7"/>
        <v>0.38695641370030054</v>
      </c>
      <c r="K21" s="116">
        <f t="shared" si="7"/>
        <v>0.82877978158198684</v>
      </c>
      <c r="L21" s="116">
        <f t="shared" si="6"/>
        <v>13.283578380756584</v>
      </c>
      <c r="N21" s="129"/>
      <c r="O21" s="129"/>
    </row>
    <row r="22" spans="2:15" ht="14" thickBot="1" x14ac:dyDescent="0.2">
      <c r="B22" s="75" t="str">
        <f t="shared" si="2"/>
        <v>FAR. ALGODÃO</v>
      </c>
      <c r="C22" s="116">
        <v>0</v>
      </c>
      <c r="D22" s="125">
        <f t="shared" si="3"/>
        <v>0</v>
      </c>
      <c r="E22" s="116">
        <f t="shared" si="4"/>
        <v>0</v>
      </c>
      <c r="F22" s="116">
        <f t="shared" ref="F22:K22" si="8">$C22*F7/100</f>
        <v>0</v>
      </c>
      <c r="G22" s="116">
        <f t="shared" si="8"/>
        <v>0</v>
      </c>
      <c r="H22" s="116">
        <f t="shared" si="8"/>
        <v>0</v>
      </c>
      <c r="I22" s="116">
        <f t="shared" si="8"/>
        <v>0</v>
      </c>
      <c r="J22" s="116">
        <f t="shared" si="8"/>
        <v>0</v>
      </c>
      <c r="K22" s="116">
        <f t="shared" si="8"/>
        <v>0</v>
      </c>
      <c r="L22" s="116">
        <f t="shared" si="6"/>
        <v>0</v>
      </c>
      <c r="N22" s="129"/>
      <c r="O22" s="129"/>
    </row>
    <row r="23" spans="2:15" ht="14" thickBot="1" x14ac:dyDescent="0.2">
      <c r="B23" s="75" t="str">
        <f t="shared" si="2"/>
        <v>FAR. CARNE</v>
      </c>
      <c r="C23" s="116">
        <v>3.5039314006335665</v>
      </c>
      <c r="D23" s="125">
        <f t="shared" si="3"/>
        <v>61.108563627049399</v>
      </c>
      <c r="E23" s="116">
        <f t="shared" si="4"/>
        <v>1.5837769930863721</v>
      </c>
      <c r="F23" s="116">
        <f t="shared" ref="F23:K23" si="9">$C23*F8/100</f>
        <v>4.5551108208236366E-2</v>
      </c>
      <c r="G23" s="116">
        <f t="shared" si="9"/>
        <v>0.4134639052747609</v>
      </c>
      <c r="H23" s="116">
        <f t="shared" si="9"/>
        <v>0.19622015843547971</v>
      </c>
      <c r="I23" s="116">
        <f t="shared" si="9"/>
        <v>1.8921229563421259E-2</v>
      </c>
      <c r="J23" s="116">
        <f t="shared" si="9"/>
        <v>3.3988134586145594E-2</v>
      </c>
      <c r="K23" s="116">
        <f t="shared" si="9"/>
        <v>7.9889635934445313E-2</v>
      </c>
      <c r="L23" s="116">
        <f t="shared" si="6"/>
        <v>1.576769130285105</v>
      </c>
      <c r="N23" s="129">
        <v>4</v>
      </c>
      <c r="O23" s="130" t="s">
        <v>115</v>
      </c>
    </row>
    <row r="24" spans="2:15" ht="14" thickBot="1" x14ac:dyDescent="0.2">
      <c r="B24" s="75" t="str">
        <f t="shared" si="2"/>
        <v>ÓLEO DE SOJA</v>
      </c>
      <c r="C24" s="116">
        <v>0.68061381750986572</v>
      </c>
      <c r="D24" s="125">
        <f t="shared" si="3"/>
        <v>59.757893177366213</v>
      </c>
      <c r="E24" s="116">
        <f t="shared" si="4"/>
        <v>0</v>
      </c>
      <c r="F24" s="116">
        <f t="shared" ref="F24:K24" si="10">$C24*F9/100</f>
        <v>0</v>
      </c>
      <c r="G24" s="116">
        <f t="shared" si="10"/>
        <v>0</v>
      </c>
      <c r="H24" s="116">
        <f t="shared" si="10"/>
        <v>0</v>
      </c>
      <c r="I24" s="116">
        <f t="shared" si="10"/>
        <v>0</v>
      </c>
      <c r="J24" s="116">
        <f t="shared" si="10"/>
        <v>0</v>
      </c>
      <c r="K24" s="116">
        <f t="shared" si="10"/>
        <v>0</v>
      </c>
      <c r="L24" s="116">
        <f t="shared" si="6"/>
        <v>1.2251048715177584</v>
      </c>
      <c r="N24" s="129">
        <v>3</v>
      </c>
      <c r="O24" s="130" t="s">
        <v>115</v>
      </c>
    </row>
    <row r="25" spans="2:15" ht="14" thickBot="1" x14ac:dyDescent="0.2">
      <c r="B25" s="75" t="str">
        <f t="shared" si="2"/>
        <v>FAR. TRIGO</v>
      </c>
      <c r="C25" s="116">
        <v>0</v>
      </c>
      <c r="D25" s="125">
        <f t="shared" si="3"/>
        <v>0</v>
      </c>
      <c r="E25" s="116">
        <f t="shared" si="4"/>
        <v>0</v>
      </c>
      <c r="F25" s="116">
        <f t="shared" ref="F25:K25" si="11">$C25*F10/100</f>
        <v>0</v>
      </c>
      <c r="G25" s="116">
        <f t="shared" si="11"/>
        <v>0</v>
      </c>
      <c r="H25" s="116">
        <f t="shared" si="11"/>
        <v>0</v>
      </c>
      <c r="I25" s="116">
        <f t="shared" si="11"/>
        <v>0</v>
      </c>
      <c r="J25" s="116">
        <f t="shared" si="11"/>
        <v>0</v>
      </c>
      <c r="K25" s="116">
        <f t="shared" si="11"/>
        <v>0</v>
      </c>
      <c r="L25" s="116">
        <f t="shared" si="6"/>
        <v>0</v>
      </c>
      <c r="N25" s="129"/>
      <c r="O25" s="129"/>
    </row>
    <row r="26" spans="2:15" ht="14" thickBot="1" x14ac:dyDescent="0.2">
      <c r="B26" s="75" t="str">
        <f t="shared" si="2"/>
        <v>DL-MET</v>
      </c>
      <c r="C26" s="116">
        <v>0.12573614897491875</v>
      </c>
      <c r="D26" s="125">
        <f t="shared" si="3"/>
        <v>6.3119546785409213</v>
      </c>
      <c r="E26" s="116">
        <f t="shared" si="4"/>
        <v>7.3807119448277309E-2</v>
      </c>
      <c r="F26" s="116">
        <f t="shared" ref="F26:K26" si="12">$C26*F11/100</f>
        <v>0</v>
      </c>
      <c r="G26" s="116">
        <f t="shared" si="12"/>
        <v>0</v>
      </c>
      <c r="H26" s="116">
        <f t="shared" si="12"/>
        <v>0</v>
      </c>
      <c r="I26" s="116">
        <f t="shared" si="12"/>
        <v>0.12447878748516956</v>
      </c>
      <c r="J26" s="116">
        <f t="shared" si="12"/>
        <v>0.12447878748516956</v>
      </c>
      <c r="K26" s="116">
        <f t="shared" si="12"/>
        <v>0</v>
      </c>
      <c r="L26" s="116">
        <f t="shared" si="6"/>
        <v>0.44007652141221565</v>
      </c>
      <c r="N26" s="129"/>
      <c r="O26" s="129"/>
    </row>
    <row r="27" spans="2:15" ht="14" thickBot="1" x14ac:dyDescent="0.2">
      <c r="B27" s="75" t="str">
        <f t="shared" si="2"/>
        <v>L-LYS</v>
      </c>
      <c r="C27" s="116">
        <v>0.63553298984691242</v>
      </c>
      <c r="D27" s="125">
        <f t="shared" si="3"/>
        <v>25.357766294891807</v>
      </c>
      <c r="E27" s="116">
        <f t="shared" si="4"/>
        <v>0.60756953829364824</v>
      </c>
      <c r="F27" s="116">
        <f t="shared" ref="F27:K27" si="13">$C27*F12/100</f>
        <v>0</v>
      </c>
      <c r="G27" s="116">
        <f t="shared" si="13"/>
        <v>0</v>
      </c>
      <c r="H27" s="116">
        <f t="shared" si="13"/>
        <v>0</v>
      </c>
      <c r="I27" s="116">
        <f t="shared" si="13"/>
        <v>0</v>
      </c>
      <c r="J27" s="116">
        <f t="shared" si="13"/>
        <v>0</v>
      </c>
      <c r="K27" s="116">
        <f t="shared" si="13"/>
        <v>0.4982578640399794</v>
      </c>
      <c r="L27" s="116">
        <f t="shared" si="6"/>
        <v>2.0337055675101197</v>
      </c>
      <c r="N27" s="129"/>
      <c r="O27" s="129"/>
    </row>
    <row r="28" spans="2:15" ht="14" thickBot="1" x14ac:dyDescent="0.2">
      <c r="B28" s="75" t="str">
        <f t="shared" si="2"/>
        <v>FOSF.BICAL</v>
      </c>
      <c r="C28" s="116">
        <v>0</v>
      </c>
      <c r="D28" s="125">
        <f t="shared" si="3"/>
        <v>0</v>
      </c>
      <c r="E28" s="116">
        <f t="shared" si="4"/>
        <v>0</v>
      </c>
      <c r="F28" s="116">
        <f t="shared" ref="F28:K28" si="14">$C28*F13/100</f>
        <v>0</v>
      </c>
      <c r="G28" s="116">
        <f t="shared" si="14"/>
        <v>0</v>
      </c>
      <c r="H28" s="116">
        <f t="shared" si="14"/>
        <v>0</v>
      </c>
      <c r="I28" s="116">
        <f t="shared" si="14"/>
        <v>0</v>
      </c>
      <c r="J28" s="116">
        <f t="shared" si="14"/>
        <v>0</v>
      </c>
      <c r="K28" s="116">
        <f t="shared" si="14"/>
        <v>0</v>
      </c>
      <c r="L28" s="116">
        <f t="shared" si="6"/>
        <v>0</v>
      </c>
      <c r="N28" s="129"/>
      <c r="O28" s="129"/>
    </row>
    <row r="29" spans="2:15" ht="14" thickBot="1" x14ac:dyDescent="0.2">
      <c r="B29" s="75" t="str">
        <f t="shared" si="2"/>
        <v>CALCARIO</v>
      </c>
      <c r="C29" s="116">
        <v>1.2696384179455307</v>
      </c>
      <c r="D29" s="125">
        <f t="shared" si="3"/>
        <v>0</v>
      </c>
      <c r="E29" s="116">
        <f t="shared" si="4"/>
        <v>0</v>
      </c>
      <c r="F29" s="116">
        <f t="shared" ref="F29:K29" si="15">$C29*F14/100</f>
        <v>0</v>
      </c>
      <c r="G29" s="116">
        <f t="shared" si="15"/>
        <v>0.46976621463984636</v>
      </c>
      <c r="H29" s="116">
        <f t="shared" si="15"/>
        <v>0</v>
      </c>
      <c r="I29" s="116">
        <f t="shared" si="15"/>
        <v>0</v>
      </c>
      <c r="J29" s="116">
        <f t="shared" si="15"/>
        <v>0</v>
      </c>
      <c r="K29" s="116">
        <f t="shared" si="15"/>
        <v>0</v>
      </c>
      <c r="L29" s="116">
        <f t="shared" si="6"/>
        <v>0.12696384179455308</v>
      </c>
      <c r="N29" s="129"/>
      <c r="O29" s="129"/>
    </row>
    <row r="30" spans="2:15" ht="14" thickBot="1" x14ac:dyDescent="0.2">
      <c r="B30" s="75" t="str">
        <f>B15</f>
        <v>PREMIX</v>
      </c>
      <c r="C30" s="116">
        <v>0.5</v>
      </c>
      <c r="D30" s="125">
        <f t="shared" si="3"/>
        <v>0</v>
      </c>
      <c r="E30" s="116">
        <f t="shared" si="4"/>
        <v>0</v>
      </c>
      <c r="F30" s="116">
        <f t="shared" ref="F30:K30" si="16">$C30*F15/100</f>
        <v>0</v>
      </c>
      <c r="G30" s="116">
        <f t="shared" si="16"/>
        <v>0</v>
      </c>
      <c r="H30" s="116">
        <f t="shared" si="16"/>
        <v>0</v>
      </c>
      <c r="I30" s="116">
        <f t="shared" si="16"/>
        <v>0</v>
      </c>
      <c r="J30" s="116">
        <f t="shared" si="16"/>
        <v>0</v>
      </c>
      <c r="K30" s="116">
        <f t="shared" si="16"/>
        <v>0</v>
      </c>
      <c r="L30" s="116">
        <f t="shared" si="6"/>
        <v>2.25</v>
      </c>
      <c r="N30" s="129">
        <v>0.5</v>
      </c>
      <c r="O30" s="130" t="s">
        <v>113</v>
      </c>
    </row>
    <row r="31" spans="2:15" ht="14" thickBot="1" x14ac:dyDescent="0.2">
      <c r="B31" s="75" t="str">
        <f t="shared" si="2"/>
        <v>SAL</v>
      </c>
      <c r="C31" s="116">
        <v>0.35</v>
      </c>
      <c r="D31" s="125">
        <f t="shared" si="3"/>
        <v>0</v>
      </c>
      <c r="E31" s="125"/>
      <c r="F31" s="116">
        <f t="shared" ref="F31:K31" si="17">$C31*F16/100</f>
        <v>0</v>
      </c>
      <c r="G31" s="116">
        <f t="shared" si="17"/>
        <v>0</v>
      </c>
      <c r="H31" s="116">
        <f t="shared" si="17"/>
        <v>0</v>
      </c>
      <c r="I31" s="116">
        <f t="shared" si="17"/>
        <v>0</v>
      </c>
      <c r="J31" s="116">
        <f t="shared" si="17"/>
        <v>0</v>
      </c>
      <c r="K31" s="116">
        <f t="shared" si="17"/>
        <v>0</v>
      </c>
      <c r="L31" s="116">
        <f t="shared" si="6"/>
        <v>7.6999999999999999E-2</v>
      </c>
      <c r="N31" s="129">
        <v>0.35</v>
      </c>
      <c r="O31" s="130" t="s">
        <v>113</v>
      </c>
    </row>
    <row r="32" spans="2:15" ht="14" thickBot="1" x14ac:dyDescent="0.2">
      <c r="B32" s="117" t="s">
        <v>87</v>
      </c>
      <c r="C32" s="126">
        <f>SUM(C19:C31)</f>
        <v>100.00000000000001</v>
      </c>
      <c r="D32" s="126">
        <f t="shared" ref="D32:L32" si="18">SUM(D19:D31)</f>
        <v>3000.0000000000009</v>
      </c>
      <c r="E32" s="126">
        <f t="shared" si="18"/>
        <v>21.000000000000004</v>
      </c>
      <c r="F32" s="126">
        <f t="shared" si="18"/>
        <v>2.9999999999999996</v>
      </c>
      <c r="G32" s="126">
        <f t="shared" si="18"/>
        <v>0.99999999999999989</v>
      </c>
      <c r="H32" s="126">
        <f t="shared" si="18"/>
        <v>0.5279999999999998</v>
      </c>
      <c r="I32" s="126">
        <f t="shared" si="18"/>
        <v>0.44000000000000683</v>
      </c>
      <c r="J32" s="126">
        <f t="shared" si="18"/>
        <v>0.76962354598845395</v>
      </c>
      <c r="K32" s="126">
        <f t="shared" si="18"/>
        <v>1.5542588482703339</v>
      </c>
      <c r="L32" s="131">
        <f t="shared" si="18"/>
        <v>37.668071072241467</v>
      </c>
      <c r="N32" s="129"/>
      <c r="O32" s="129"/>
    </row>
    <row r="33" spans="2:11" ht="14" thickBot="1" x14ac:dyDescent="0.2">
      <c r="B33" s="124" t="s">
        <v>112</v>
      </c>
      <c r="C33" s="128">
        <v>100</v>
      </c>
      <c r="D33" s="128">
        <v>3000</v>
      </c>
      <c r="E33" s="119">
        <v>21</v>
      </c>
      <c r="F33" s="119">
        <v>3</v>
      </c>
      <c r="G33" s="119">
        <v>1</v>
      </c>
      <c r="H33" s="119">
        <v>0.48</v>
      </c>
      <c r="I33" s="119">
        <v>0.44</v>
      </c>
      <c r="J33" s="119">
        <v>0.74</v>
      </c>
      <c r="K33" s="119">
        <v>1.1200000000000001</v>
      </c>
    </row>
    <row r="34" spans="2:11" ht="14" thickBot="1" x14ac:dyDescent="0.2">
      <c r="G34" s="128">
        <v>1.2</v>
      </c>
      <c r="H34" s="115">
        <f>H33*1.1</f>
        <v>0.52800000000000002</v>
      </c>
    </row>
    <row r="35" spans="2:11" ht="14" thickBot="1" x14ac:dyDescent="0.2">
      <c r="C35" s="127" t="s">
        <v>113</v>
      </c>
      <c r="D35" s="127" t="s">
        <v>114</v>
      </c>
      <c r="E35" s="127" t="s">
        <v>114</v>
      </c>
      <c r="F35" s="127" t="s">
        <v>115</v>
      </c>
      <c r="G35" s="127" t="s">
        <v>116</v>
      </c>
      <c r="H35" s="127" t="s">
        <v>114</v>
      </c>
      <c r="I35" s="127" t="s">
        <v>114</v>
      </c>
      <c r="J35" s="127" t="s">
        <v>114</v>
      </c>
      <c r="K35" s="127" t="s">
        <v>114</v>
      </c>
    </row>
  </sheetData>
  <mergeCells count="1">
    <mergeCell ref="N18:O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tabSelected="1" zoomScale="110" zoomScaleNormal="110" workbookViewId="0">
      <selection activeCell="F24" sqref="F24"/>
    </sheetView>
  </sheetViews>
  <sheetFormatPr baseColWidth="10" defaultColWidth="9.1640625" defaultRowHeight="15" x14ac:dyDescent="0.2"/>
  <cols>
    <col min="1" max="1" width="9.1640625" style="31"/>
    <col min="2" max="2" width="10" style="31" customWidth="1"/>
    <col min="3" max="4" width="9.1640625" style="31"/>
    <col min="5" max="5" width="11.33203125" style="31" customWidth="1"/>
    <col min="6" max="6" width="13.5" style="31" customWidth="1"/>
    <col min="7" max="7" width="9.6640625" style="31" customWidth="1"/>
    <col min="8" max="8" width="21.6640625" style="31" bestFit="1" customWidth="1"/>
    <col min="9" max="9" width="8.5" style="31" bestFit="1" customWidth="1"/>
    <col min="10" max="10" width="9.1640625" style="31"/>
    <col min="11" max="11" width="3.33203125" style="33" customWidth="1"/>
    <col min="12" max="12" width="23" style="31" bestFit="1" customWidth="1"/>
    <col min="13" max="16384" width="9.1640625" style="31"/>
  </cols>
  <sheetData>
    <row r="1" spans="1:22" ht="16" thickBot="1" x14ac:dyDescent="0.25">
      <c r="A1" s="136"/>
      <c r="B1" s="136"/>
      <c r="C1" s="136"/>
      <c r="D1"/>
      <c r="E1" s="67"/>
      <c r="F1"/>
      <c r="G1"/>
      <c r="H1"/>
      <c r="I1"/>
      <c r="J1"/>
      <c r="K1" s="67"/>
    </row>
    <row r="2" spans="1:22" s="33" customFormat="1" ht="16" thickBot="1" x14ac:dyDescent="0.25">
      <c r="A2" s="146" t="s">
        <v>86</v>
      </c>
      <c r="B2" s="147"/>
      <c r="C2" s="148"/>
      <c r="D2" s="74" t="s">
        <v>25</v>
      </c>
      <c r="E2" s="132"/>
      <c r="F2" s="76" t="s">
        <v>60</v>
      </c>
      <c r="G2" s="77">
        <v>1</v>
      </c>
      <c r="H2" s="77" t="str">
        <f>IF(G2=1,"ALEVINOS",IF(G2=2,"JUVENIL",IF(G2=3,"FINAL ou REPRODUTOR")))</f>
        <v>ALEVINOS</v>
      </c>
      <c r="L2" s="69" t="s">
        <v>86</v>
      </c>
      <c r="M2" s="69" t="str">
        <f>INGREDIENTES!D2</f>
        <v>PB</v>
      </c>
      <c r="N2" s="69" t="str">
        <f>INGREDIENTES!E2</f>
        <v>ED</v>
      </c>
      <c r="O2" s="69" t="str">
        <f>INGREDIENTES!F2</f>
        <v>FB</v>
      </c>
      <c r="P2" s="69" t="str">
        <f>INGREDIENTES!G2</f>
        <v>EE</v>
      </c>
      <c r="Q2" s="69" t="str">
        <f>INGREDIENTES!H2</f>
        <v>Amido</v>
      </c>
      <c r="R2" s="69" t="str">
        <f>INGREDIENTES!I2</f>
        <v>Ca</v>
      </c>
      <c r="S2" s="69" t="str">
        <f>INGREDIENTES!J2</f>
        <v>P disp</v>
      </c>
      <c r="T2" s="69" t="str">
        <f>INGREDIENTES!K2</f>
        <v>LYS</v>
      </c>
      <c r="U2" s="69" t="str">
        <f>INGREDIENTES!L2</f>
        <v>MET</v>
      </c>
      <c r="V2" s="69" t="str">
        <f>INGREDIENTES!M2</f>
        <v>AAS</v>
      </c>
    </row>
    <row r="3" spans="1:22" ht="17.25" customHeight="1" x14ac:dyDescent="0.2">
      <c r="A3" s="149"/>
      <c r="B3" s="150"/>
      <c r="C3" s="151"/>
      <c r="D3" s="114">
        <v>56</v>
      </c>
      <c r="E3" s="134"/>
      <c r="F3" s="76" t="s">
        <v>39</v>
      </c>
      <c r="G3" s="77">
        <v>3300</v>
      </c>
      <c r="H3" s="78" t="s">
        <v>94</v>
      </c>
      <c r="K3" s="68">
        <v>3</v>
      </c>
      <c r="L3" s="70" t="str">
        <f>VLOOKUP(K3,TP,2,)</f>
        <v>Soja, Farelo-45</v>
      </c>
      <c r="M3" s="71">
        <f>VLOOKUP($K3,TP,3)</f>
        <v>45.32</v>
      </c>
      <c r="N3" s="71">
        <f>VLOOKUP($K3,TP,4)</f>
        <v>3430</v>
      </c>
      <c r="O3" s="71">
        <f>VLOOKUP($K3,TP,5)</f>
        <v>5.41</v>
      </c>
      <c r="P3" s="71">
        <f>VLOOKUP($K3,TP,6)</f>
        <v>1.66</v>
      </c>
      <c r="Q3" s="71">
        <f>VLOOKUP($K3,TP,7)</f>
        <v>12.38</v>
      </c>
      <c r="R3" s="71">
        <f>VLOOKUP($K3,TP,8)</f>
        <v>0.24</v>
      </c>
      <c r="S3" s="71">
        <f>VLOOKUP($K3,TP,9)</f>
        <v>0.18</v>
      </c>
      <c r="T3" s="71">
        <f>VLOOKUP($K3,TP,10)</f>
        <v>2.77</v>
      </c>
      <c r="U3" s="71">
        <f>VLOOKUP($K3,TP,11)</f>
        <v>0.64</v>
      </c>
      <c r="V3" s="71">
        <f>VLOOKUP($K3,TP,12)</f>
        <v>1.27</v>
      </c>
    </row>
    <row r="4" spans="1:22" ht="16" thickBot="1" x14ac:dyDescent="0.25">
      <c r="A4" s="149"/>
      <c r="B4" s="150"/>
      <c r="C4" s="151"/>
      <c r="D4" s="101">
        <v>5</v>
      </c>
      <c r="E4" s="134"/>
      <c r="F4" s="94"/>
      <c r="G4" s="94"/>
      <c r="H4" s="94"/>
      <c r="I4" s="94"/>
      <c r="K4" s="68">
        <v>8</v>
      </c>
      <c r="L4" s="70" t="str">
        <f>VLOOKUP(K4,TP,2,)</f>
        <v>Milho, Glúten-60</v>
      </c>
      <c r="M4" s="71">
        <f>VLOOKUP($K4,TP,3)</f>
        <v>60.35</v>
      </c>
      <c r="N4" s="71">
        <f>VLOOKUP($K4,TP,4)</f>
        <v>4155</v>
      </c>
      <c r="O4" s="71">
        <f>VLOOKUP($K4,TP,5)</f>
        <v>1.07</v>
      </c>
      <c r="P4" s="71">
        <f>VLOOKUP($K4,TP,6)</f>
        <v>2.57</v>
      </c>
      <c r="Q4" s="71">
        <f>VLOOKUP($K4,TP,7)</f>
        <v>14.34</v>
      </c>
      <c r="R4" s="71">
        <f>VLOOKUP($K4,TP,8)</f>
        <v>0.03</v>
      </c>
      <c r="S4" s="71">
        <f>VLOOKUP($K4,TP,9)</f>
        <v>0.15</v>
      </c>
      <c r="T4" s="71">
        <f>VLOOKUP($K4,TP,10)</f>
        <v>1</v>
      </c>
      <c r="U4" s="71">
        <f>VLOOKUP($K4,TP,11)</f>
        <v>1.39</v>
      </c>
      <c r="V4" s="71">
        <f>VLOOKUP($K4,TP,12)</f>
        <v>2.46</v>
      </c>
    </row>
    <row r="5" spans="1:22" ht="16" thickBot="1" x14ac:dyDescent="0.25">
      <c r="A5" s="152"/>
      <c r="B5" s="153"/>
      <c r="C5" s="154"/>
      <c r="D5" s="101">
        <v>0</v>
      </c>
      <c r="E5" s="134"/>
      <c r="F5" s="95" t="s">
        <v>88</v>
      </c>
      <c r="G5" s="95" t="s">
        <v>89</v>
      </c>
      <c r="H5" s="95" t="s">
        <v>90</v>
      </c>
      <c r="I5" s="103" t="s">
        <v>91</v>
      </c>
      <c r="K5" s="68">
        <v>9</v>
      </c>
      <c r="L5" s="70" t="str">
        <f>VLOOKUP(K5,TP,2,)</f>
        <v>Sem ingrediente</v>
      </c>
      <c r="M5" s="71">
        <f>VLOOKUP($K5,TP,3)</f>
        <v>0</v>
      </c>
      <c r="N5" s="71">
        <f>VLOOKUP($K5,TP,4)</f>
        <v>0</v>
      </c>
      <c r="O5" s="71">
        <f>VLOOKUP($K5,TP,5)</f>
        <v>0</v>
      </c>
      <c r="P5" s="71">
        <f>VLOOKUP($K5,TP,6)</f>
        <v>0</v>
      </c>
      <c r="Q5" s="71">
        <f>VLOOKUP($K5,TP,7)</f>
        <v>0</v>
      </c>
      <c r="R5" s="71">
        <f>VLOOKUP($K5,TP,8)</f>
        <v>0</v>
      </c>
      <c r="S5" s="71">
        <f>VLOOKUP($K5,TP,9)</f>
        <v>0</v>
      </c>
      <c r="T5" s="71">
        <f>VLOOKUP($K5,TP,10)</f>
        <v>0</v>
      </c>
      <c r="U5" s="71">
        <f>VLOOKUP($K5,TP,11)</f>
        <v>0</v>
      </c>
      <c r="V5" s="71">
        <f>VLOOKUP($K5,TP,12)</f>
        <v>0</v>
      </c>
    </row>
    <row r="6" spans="1:22" x14ac:dyDescent="0.2">
      <c r="A6" s="155"/>
      <c r="B6" s="156"/>
      <c r="C6" s="157"/>
      <c r="D6" s="101">
        <v>22.88</v>
      </c>
      <c r="E6" s="134"/>
      <c r="F6" s="96" t="s">
        <v>38</v>
      </c>
      <c r="G6" s="104">
        <f>EXIGENCIAS!N17</f>
        <v>32</v>
      </c>
      <c r="H6" s="100">
        <f>SUMPRODUCT(TOT,PB)/100</f>
        <v>32.104548000000001</v>
      </c>
      <c r="I6" s="110">
        <f>H6-G6</f>
        <v>0.1045480000000012</v>
      </c>
      <c r="K6" s="72">
        <v>2</v>
      </c>
      <c r="L6" s="70" t="str">
        <f>VLOOKUP(K6,TE,2,)</f>
        <v>Milho, Farinha</v>
      </c>
      <c r="M6" s="71">
        <f>VLOOKUP($K6,TE,3)</f>
        <v>8.26</v>
      </c>
      <c r="N6" s="71">
        <f>VLOOKUP($K6,TE,4)</f>
        <v>3150</v>
      </c>
      <c r="O6" s="71">
        <f>VLOOKUP($K6,TE,5)</f>
        <v>1.73</v>
      </c>
      <c r="P6" s="71">
        <f>VLOOKUP($K6,TE,6)</f>
        <v>3.61</v>
      </c>
      <c r="Q6" s="71">
        <f>VLOOKUP($K6,TE,7)</f>
        <v>62.48</v>
      </c>
      <c r="R6" s="71">
        <f>VLOOKUP($K6,TE,8)</f>
        <v>0.03</v>
      </c>
      <c r="S6" s="71">
        <f>VLOOKUP($K6,TE,9)</f>
        <v>0.08</v>
      </c>
      <c r="T6" s="71">
        <f>VLOOKUP($K6,TE,10)</f>
        <v>0.24</v>
      </c>
      <c r="U6" s="71">
        <f>VLOOKUP($K6,TE,11)</f>
        <v>0.17</v>
      </c>
      <c r="V6" s="71">
        <f>VLOOKUP($K6,TE,12)</f>
        <v>0.36</v>
      </c>
    </row>
    <row r="7" spans="1:22" x14ac:dyDescent="0.2">
      <c r="A7" s="158"/>
      <c r="B7" s="159"/>
      <c r="C7" s="160"/>
      <c r="D7" s="101">
        <v>1.8</v>
      </c>
      <c r="E7" s="134"/>
      <c r="F7" s="97" t="s">
        <v>39</v>
      </c>
      <c r="G7" s="105">
        <f>G3</f>
        <v>3300</v>
      </c>
      <c r="H7" s="112">
        <f>SUMPRODUCT(TOT,ED)/100</f>
        <v>3334.0079999999998</v>
      </c>
      <c r="I7" s="113">
        <f t="shared" ref="I7:I15" si="0">H7-G7</f>
        <v>34.007999999999811</v>
      </c>
      <c r="K7" s="72">
        <v>8</v>
      </c>
      <c r="L7" s="70" t="str">
        <f>VLOOKUP(K7,TE,2,)</f>
        <v xml:space="preserve">Óleo de Soja </v>
      </c>
      <c r="M7" s="71">
        <f>VLOOKUP($K7,TE,3)</f>
        <v>0</v>
      </c>
      <c r="N7" s="71">
        <f>VLOOKUP($K7,TE,4)</f>
        <v>8780</v>
      </c>
      <c r="O7" s="71">
        <f>VLOOKUP($K7,TE,5)</f>
        <v>0</v>
      </c>
      <c r="P7" s="71">
        <f>VLOOKUP($K7,TE,6)</f>
        <v>99.6</v>
      </c>
      <c r="Q7" s="71">
        <f>VLOOKUP($K7,TE,7)</f>
        <v>0</v>
      </c>
      <c r="R7" s="71">
        <f>VLOOKUP($K7,TE,8)</f>
        <v>0</v>
      </c>
      <c r="S7" s="71">
        <f>VLOOKUP($K7,TE,9)</f>
        <v>0</v>
      </c>
      <c r="T7" s="71">
        <f>VLOOKUP($K7,TE,10)</f>
        <v>0</v>
      </c>
      <c r="U7" s="71">
        <f>VLOOKUP($K7,TE,11)</f>
        <v>0</v>
      </c>
      <c r="V7" s="71">
        <f>VLOOKUP($K7,TE,12)</f>
        <v>0</v>
      </c>
    </row>
    <row r="8" spans="1:22" x14ac:dyDescent="0.2">
      <c r="A8" s="158"/>
      <c r="B8" s="159"/>
      <c r="C8" s="160"/>
      <c r="D8" s="101">
        <v>9.8000000000000007</v>
      </c>
      <c r="E8" s="134"/>
      <c r="F8" s="98" t="s">
        <v>40</v>
      </c>
      <c r="G8" s="106">
        <f>EXIGENCIAS!N20</f>
        <v>3</v>
      </c>
      <c r="H8" s="101">
        <f>SUMPRODUCT(TOT,FB)/100</f>
        <v>4.4256040000000008</v>
      </c>
      <c r="I8" s="110">
        <f t="shared" si="0"/>
        <v>1.4256040000000008</v>
      </c>
      <c r="K8" s="72">
        <v>1</v>
      </c>
      <c r="L8" s="70" t="str">
        <f>VLOOKUP(K8,TE,2,)</f>
        <v xml:space="preserve">Trigo, Farelo </v>
      </c>
      <c r="M8" s="71">
        <f>VLOOKUP($K8,TE,3)</f>
        <v>15.52</v>
      </c>
      <c r="N8" s="71">
        <f>VLOOKUP($K8,TE,4)</f>
        <v>3056</v>
      </c>
      <c r="O8" s="71">
        <f>VLOOKUP($K8,TE,5)</f>
        <v>9.66</v>
      </c>
      <c r="P8" s="71">
        <f>VLOOKUP($K8,TE,6)</f>
        <v>3.46</v>
      </c>
      <c r="Q8" s="71">
        <f>VLOOKUP($K8,TE,7)</f>
        <v>31.35</v>
      </c>
      <c r="R8" s="71">
        <f>VLOOKUP($K8,TE,8)</f>
        <v>0.14000000000000001</v>
      </c>
      <c r="S8" s="71">
        <f>VLOOKUP($K8,TE,9)</f>
        <v>0.33</v>
      </c>
      <c r="T8" s="71">
        <f>VLOOKUP($K8,TE,10)</f>
        <v>0.62</v>
      </c>
      <c r="U8" s="71">
        <f>VLOOKUP($K8,TE,11)</f>
        <v>0.24</v>
      </c>
      <c r="V8" s="71">
        <f>VLOOKUP($K8,TE,12)</f>
        <v>0.57999999999999996</v>
      </c>
    </row>
    <row r="9" spans="1:22" ht="16" thickBot="1" x14ac:dyDescent="0.25">
      <c r="A9" s="161"/>
      <c r="B9" s="162"/>
      <c r="C9" s="163"/>
      <c r="D9" s="101">
        <v>0</v>
      </c>
      <c r="E9" s="134"/>
      <c r="F9" s="98" t="s">
        <v>41</v>
      </c>
      <c r="G9" s="106">
        <f>EXIGENCIAS!N21</f>
        <v>4</v>
      </c>
      <c r="H9" s="101">
        <f>SUMPRODUCT(TOT,EE)/100</f>
        <v>4.0159479999999999</v>
      </c>
      <c r="I9" s="110">
        <f t="shared" si="0"/>
        <v>1.5947999999999851E-2</v>
      </c>
      <c r="K9" s="72">
        <v>9</v>
      </c>
      <c r="L9" s="70" t="str">
        <f>VLOOKUP(K9,TE,2,)</f>
        <v>Sem ingrediente</v>
      </c>
      <c r="M9" s="71">
        <f>VLOOKUP($K9,TE,3)</f>
        <v>0</v>
      </c>
      <c r="N9" s="71">
        <f>VLOOKUP($K9,TE,4)</f>
        <v>0</v>
      </c>
      <c r="O9" s="71">
        <f>VLOOKUP($K9,TE,5)</f>
        <v>0</v>
      </c>
      <c r="P9" s="71">
        <f>VLOOKUP($K9,TE,6)</f>
        <v>0</v>
      </c>
      <c r="Q9" s="71">
        <f>VLOOKUP($K9,TE,7)</f>
        <v>0</v>
      </c>
      <c r="R9" s="71">
        <f>VLOOKUP($K9,TE,8)</f>
        <v>0</v>
      </c>
      <c r="S9" s="71">
        <f>VLOOKUP($K9,TE,9)</f>
        <v>0</v>
      </c>
      <c r="T9" s="71">
        <f>VLOOKUP($K9,TE,10)</f>
        <v>0</v>
      </c>
      <c r="U9" s="71">
        <f>VLOOKUP($K9,TE,11)</f>
        <v>0</v>
      </c>
      <c r="V9" s="71">
        <f>VLOOKUP($K9,TE,12)</f>
        <v>0</v>
      </c>
    </row>
    <row r="10" spans="1:22" x14ac:dyDescent="0.2">
      <c r="A10" s="164"/>
      <c r="B10" s="165"/>
      <c r="C10" s="166"/>
      <c r="D10" s="101">
        <v>2</v>
      </c>
      <c r="E10" s="134"/>
      <c r="F10" s="98" t="s">
        <v>92</v>
      </c>
      <c r="G10" s="105"/>
      <c r="H10" s="101">
        <f>SUMPRODUCT(TOT,AMIDO)/100</f>
        <v>25.017523999999998</v>
      </c>
      <c r="I10" s="110">
        <f t="shared" si="0"/>
        <v>25.017523999999998</v>
      </c>
      <c r="K10" s="73">
        <v>5</v>
      </c>
      <c r="L10" s="70" t="str">
        <f t="shared" ref="L10:L15" si="1">VLOOKUP(K10,TA,2,)</f>
        <v>Fosfato bicálcico</v>
      </c>
      <c r="M10" s="71">
        <f t="shared" ref="M10:M15" si="2">VLOOKUP($K10,TA,3)</f>
        <v>0</v>
      </c>
      <c r="N10" s="71">
        <f t="shared" ref="N10:N15" si="3">VLOOKUP($K10,TA,4)</f>
        <v>0</v>
      </c>
      <c r="O10" s="71">
        <f t="shared" ref="O10:O15" si="4">VLOOKUP($K10,TA,5)</f>
        <v>0</v>
      </c>
      <c r="P10" s="71">
        <f t="shared" ref="P10:P15" si="5">VLOOKUP($K10,TA,6)</f>
        <v>0</v>
      </c>
      <c r="Q10" s="71">
        <f t="shared" ref="Q10:Q15" si="6">VLOOKUP($K10,TA,7)</f>
        <v>0</v>
      </c>
      <c r="R10" s="71">
        <f t="shared" ref="R10:R15" si="7">VLOOKUP($K10,TA,8)</f>
        <v>24.5</v>
      </c>
      <c r="S10" s="71">
        <f t="shared" ref="S10:S15" si="8">VLOOKUP($K10,TA,9)</f>
        <v>18.5</v>
      </c>
      <c r="T10" s="71">
        <f t="shared" ref="T10:T15" si="9">VLOOKUP($K10,TA,10)</f>
        <v>0</v>
      </c>
      <c r="U10" s="71">
        <f t="shared" ref="U10:U15" si="10">VLOOKUP($K10,TA,11)</f>
        <v>0</v>
      </c>
      <c r="V10" s="71">
        <f t="shared" ref="V10:V15" si="11">VLOOKUP($K10,TA,12)</f>
        <v>0</v>
      </c>
    </row>
    <row r="11" spans="1:22" x14ac:dyDescent="0.2">
      <c r="A11" s="137"/>
      <c r="B11" s="138"/>
      <c r="C11" s="139"/>
      <c r="D11" s="101">
        <v>0.5</v>
      </c>
      <c r="E11" s="134"/>
      <c r="F11" s="98" t="s">
        <v>42</v>
      </c>
      <c r="G11" s="106">
        <f>EXIGENCIAS!N18</f>
        <v>1</v>
      </c>
      <c r="H11" s="101">
        <f>SUMPRODUCT(TOT,CA)/100</f>
        <v>1.0305840000000002</v>
      </c>
      <c r="I11" s="110">
        <f t="shared" si="0"/>
        <v>3.0584000000000167E-2</v>
      </c>
      <c r="K11" s="73">
        <v>2</v>
      </c>
      <c r="L11" s="70" t="str">
        <f t="shared" si="1"/>
        <v>DL-Metionina</v>
      </c>
      <c r="M11" s="71">
        <f t="shared" si="2"/>
        <v>59.4</v>
      </c>
      <c r="N11" s="71">
        <f t="shared" si="3"/>
        <v>5442</v>
      </c>
      <c r="O11" s="71">
        <f t="shared" si="4"/>
        <v>0</v>
      </c>
      <c r="P11" s="71">
        <f t="shared" si="5"/>
        <v>0</v>
      </c>
      <c r="Q11" s="71">
        <f t="shared" si="6"/>
        <v>0</v>
      </c>
      <c r="R11" s="71">
        <f t="shared" si="7"/>
        <v>0.02</v>
      </c>
      <c r="S11" s="71">
        <f t="shared" si="8"/>
        <v>0</v>
      </c>
      <c r="T11" s="71">
        <f t="shared" si="9"/>
        <v>0</v>
      </c>
      <c r="U11" s="71">
        <f t="shared" si="10"/>
        <v>99</v>
      </c>
      <c r="V11" s="71">
        <f t="shared" si="11"/>
        <v>99</v>
      </c>
    </row>
    <row r="12" spans="1:22" x14ac:dyDescent="0.2">
      <c r="A12" s="137"/>
      <c r="B12" s="138"/>
      <c r="C12" s="139"/>
      <c r="D12" s="101">
        <v>1</v>
      </c>
      <c r="E12" s="134"/>
      <c r="F12" s="98" t="s">
        <v>93</v>
      </c>
      <c r="G12" s="106">
        <f>EXIGENCIAS!N19</f>
        <v>0.5</v>
      </c>
      <c r="H12" s="101">
        <f>SUMPRODUCT(TOT,PDISP)/100</f>
        <v>0.52914400000000006</v>
      </c>
      <c r="I12" s="110">
        <f t="shared" si="0"/>
        <v>2.9144000000000059E-2</v>
      </c>
      <c r="K12" s="73">
        <v>6</v>
      </c>
      <c r="L12" s="70" t="str">
        <f t="shared" si="1"/>
        <v>Calcário calcítico</v>
      </c>
      <c r="M12" s="71">
        <f t="shared" si="2"/>
        <v>0</v>
      </c>
      <c r="N12" s="71">
        <f t="shared" si="3"/>
        <v>0</v>
      </c>
      <c r="O12" s="71">
        <f t="shared" si="4"/>
        <v>0</v>
      </c>
      <c r="P12" s="71">
        <f t="shared" si="5"/>
        <v>0</v>
      </c>
      <c r="Q12" s="71">
        <f t="shared" si="6"/>
        <v>0</v>
      </c>
      <c r="R12" s="71">
        <f t="shared" si="7"/>
        <v>38.4</v>
      </c>
      <c r="S12" s="71">
        <f t="shared" si="8"/>
        <v>0.02</v>
      </c>
      <c r="T12" s="71">
        <f t="shared" si="9"/>
        <v>0</v>
      </c>
      <c r="U12" s="71">
        <f t="shared" si="10"/>
        <v>0</v>
      </c>
      <c r="V12" s="71">
        <f t="shared" si="11"/>
        <v>0</v>
      </c>
    </row>
    <row r="13" spans="1:22" x14ac:dyDescent="0.2">
      <c r="A13" s="137"/>
      <c r="B13" s="138"/>
      <c r="C13" s="139"/>
      <c r="D13" s="101">
        <v>1</v>
      </c>
      <c r="E13" s="134"/>
      <c r="F13" s="98" t="s">
        <v>63</v>
      </c>
      <c r="G13" s="106">
        <f>EXIGENCIAS!N26</f>
        <v>1.6384000000000001</v>
      </c>
      <c r="H13" s="101">
        <f>SUMPRODUCT(TOT,LYS)/100</f>
        <v>1.716872</v>
      </c>
      <c r="I13" s="110">
        <f t="shared" si="0"/>
        <v>7.8471999999999875E-2</v>
      </c>
      <c r="K13" s="73">
        <v>9</v>
      </c>
      <c r="L13" s="70" t="str">
        <f t="shared" si="1"/>
        <v>Premix</v>
      </c>
      <c r="M13" s="71">
        <f t="shared" si="2"/>
        <v>0</v>
      </c>
      <c r="N13" s="71">
        <f t="shared" si="3"/>
        <v>0</v>
      </c>
      <c r="O13" s="71">
        <f t="shared" si="4"/>
        <v>0</v>
      </c>
      <c r="P13" s="71">
        <f t="shared" si="5"/>
        <v>0</v>
      </c>
      <c r="Q13" s="71">
        <f t="shared" si="6"/>
        <v>0</v>
      </c>
      <c r="R13" s="71">
        <f t="shared" si="7"/>
        <v>0</v>
      </c>
      <c r="S13" s="71">
        <f t="shared" si="8"/>
        <v>0</v>
      </c>
      <c r="T13" s="71">
        <f t="shared" si="9"/>
        <v>0</v>
      </c>
      <c r="U13" s="71">
        <f t="shared" si="10"/>
        <v>0</v>
      </c>
      <c r="V13" s="71">
        <f t="shared" si="11"/>
        <v>0</v>
      </c>
    </row>
    <row r="14" spans="1:22" x14ac:dyDescent="0.2">
      <c r="A14" s="137"/>
      <c r="B14" s="138"/>
      <c r="C14" s="139"/>
      <c r="D14" s="101">
        <v>0</v>
      </c>
      <c r="E14" s="134"/>
      <c r="F14" s="98" t="s">
        <v>64</v>
      </c>
      <c r="G14" s="106">
        <f>EXIGENCIAS!N27</f>
        <v>0.85760000000000003</v>
      </c>
      <c r="H14" s="101">
        <f>SUMPRODUCT(TOT,MET)/100</f>
        <v>0.98531599999999997</v>
      </c>
      <c r="I14" s="110">
        <f t="shared" si="0"/>
        <v>0.12771599999999994</v>
      </c>
      <c r="K14" s="73">
        <v>13</v>
      </c>
      <c r="L14" s="70" t="str">
        <f t="shared" si="1"/>
        <v>Sem ingrediente</v>
      </c>
      <c r="M14" s="71">
        <f t="shared" si="2"/>
        <v>0</v>
      </c>
      <c r="N14" s="71">
        <f t="shared" si="3"/>
        <v>0</v>
      </c>
      <c r="O14" s="71">
        <f t="shared" si="4"/>
        <v>0</v>
      </c>
      <c r="P14" s="71">
        <f t="shared" si="5"/>
        <v>0</v>
      </c>
      <c r="Q14" s="71">
        <f t="shared" si="6"/>
        <v>0</v>
      </c>
      <c r="R14" s="71">
        <f t="shared" si="7"/>
        <v>0</v>
      </c>
      <c r="S14" s="71">
        <f t="shared" si="8"/>
        <v>0</v>
      </c>
      <c r="T14" s="71">
        <f t="shared" si="9"/>
        <v>0</v>
      </c>
      <c r="U14" s="71">
        <f t="shared" si="10"/>
        <v>0</v>
      </c>
      <c r="V14" s="71">
        <f t="shared" si="11"/>
        <v>0</v>
      </c>
    </row>
    <row r="15" spans="1:22" ht="16" thickBot="1" x14ac:dyDescent="0.25">
      <c r="A15" s="140"/>
      <c r="B15" s="141"/>
      <c r="C15" s="142"/>
      <c r="D15" s="102">
        <v>0.02</v>
      </c>
      <c r="E15" s="134"/>
      <c r="F15" s="99" t="s">
        <v>24</v>
      </c>
      <c r="G15" s="107">
        <f>EXIGENCIAS!N28</f>
        <v>1.0304</v>
      </c>
      <c r="H15" s="101">
        <f>SUMPRODUCT(TOT,AAS)/100</f>
        <v>1.4684079999999999</v>
      </c>
      <c r="I15" s="110">
        <f t="shared" si="0"/>
        <v>0.43800799999999995</v>
      </c>
      <c r="K15" s="73">
        <v>7</v>
      </c>
      <c r="L15" s="70" t="str">
        <f t="shared" si="1"/>
        <v>BHT - Antioxidante</v>
      </c>
      <c r="M15" s="71">
        <f t="shared" si="2"/>
        <v>0</v>
      </c>
      <c r="N15" s="71">
        <f t="shared" si="3"/>
        <v>0</v>
      </c>
      <c r="O15" s="71">
        <f t="shared" si="4"/>
        <v>0</v>
      </c>
      <c r="P15" s="71">
        <f t="shared" si="5"/>
        <v>0</v>
      </c>
      <c r="Q15" s="71">
        <f t="shared" si="6"/>
        <v>0</v>
      </c>
      <c r="R15" s="71">
        <f t="shared" si="7"/>
        <v>0</v>
      </c>
      <c r="S15" s="71">
        <f t="shared" si="8"/>
        <v>0</v>
      </c>
      <c r="T15" s="71">
        <f t="shared" si="9"/>
        <v>0</v>
      </c>
      <c r="U15" s="71">
        <f t="shared" si="10"/>
        <v>0</v>
      </c>
      <c r="V15" s="71">
        <f t="shared" si="11"/>
        <v>0</v>
      </c>
    </row>
    <row r="16" spans="1:22" ht="16" thickBot="1" x14ac:dyDescent="0.25">
      <c r="A16" s="143" t="s">
        <v>87</v>
      </c>
      <c r="B16" s="144"/>
      <c r="C16" s="145"/>
      <c r="D16" s="109">
        <f>SUM(D3:D15)</f>
        <v>99.999999999999986</v>
      </c>
      <c r="E16" s="133"/>
      <c r="F16" s="135" t="s">
        <v>87</v>
      </c>
      <c r="G16" s="108">
        <v>100</v>
      </c>
      <c r="H16" s="108">
        <f>D16</f>
        <v>99.999999999999986</v>
      </c>
      <c r="I16" s="111">
        <f>H16-G16</f>
        <v>0</v>
      </c>
    </row>
    <row r="17" spans="1:11" x14ac:dyDescent="0.2">
      <c r="A17" s="136"/>
      <c r="B17" s="136"/>
      <c r="C17" s="136"/>
      <c r="D17"/>
      <c r="E17"/>
      <c r="F17"/>
      <c r="G17"/>
      <c r="H17"/>
    </row>
    <row r="18" spans="1:11" x14ac:dyDescent="0.2">
      <c r="A18" s="136"/>
      <c r="B18" s="136"/>
      <c r="C18" s="136"/>
      <c r="D18"/>
      <c r="E18"/>
      <c r="F18"/>
      <c r="G18"/>
      <c r="H18"/>
    </row>
    <row r="19" spans="1:11" s="231" customFormat="1" x14ac:dyDescent="0.2">
      <c r="A19" s="227"/>
      <c r="B19" s="227"/>
      <c r="C19" s="227"/>
      <c r="D19" s="228"/>
      <c r="E19" s="228"/>
      <c r="F19" s="229"/>
      <c r="G19" s="229"/>
      <c r="H19" s="230"/>
      <c r="K19" s="232"/>
    </row>
    <row r="20" spans="1:11" s="231" customFormat="1" x14ac:dyDescent="0.2">
      <c r="B20" s="229"/>
      <c r="C20" s="229"/>
      <c r="D20" s="228"/>
      <c r="E20" s="229"/>
      <c r="F20" s="229"/>
      <c r="G20" s="229"/>
      <c r="H20" s="229"/>
      <c r="K20" s="232"/>
    </row>
    <row r="21" spans="1:11" s="231" customFormat="1" x14ac:dyDescent="0.2">
      <c r="B21" s="229"/>
      <c r="C21" s="229"/>
      <c r="D21" s="229"/>
      <c r="E21" s="229"/>
      <c r="F21" s="229"/>
      <c r="G21" s="233"/>
      <c r="H21" s="229"/>
      <c r="K21" s="232"/>
    </row>
    <row r="22" spans="1:11" s="231" customFormat="1" x14ac:dyDescent="0.2">
      <c r="B22" s="234"/>
      <c r="K22" s="232"/>
    </row>
    <row r="23" spans="1:11" s="231" customFormat="1" x14ac:dyDescent="0.2">
      <c r="K23" s="232"/>
    </row>
    <row r="24" spans="1:11" s="231" customFormat="1" x14ac:dyDescent="0.2">
      <c r="K24" s="232"/>
    </row>
    <row r="25" spans="1:11" s="231" customFormat="1" x14ac:dyDescent="0.2">
      <c r="K25" s="232"/>
    </row>
    <row r="26" spans="1:11" s="231" customFormat="1" x14ac:dyDescent="0.2">
      <c r="K26" s="232"/>
    </row>
    <row r="27" spans="1:11" s="231" customFormat="1" x14ac:dyDescent="0.2">
      <c r="K27" s="232"/>
    </row>
    <row r="28" spans="1:11" s="231" customFormat="1" x14ac:dyDescent="0.2">
      <c r="K28" s="232"/>
    </row>
    <row r="29" spans="1:11" s="231" customFormat="1" x14ac:dyDescent="0.2">
      <c r="K29" s="232"/>
    </row>
    <row r="30" spans="1:11" s="231" customFormat="1" x14ac:dyDescent="0.2">
      <c r="K30" s="232"/>
    </row>
    <row r="31" spans="1:11" s="231" customFormat="1" x14ac:dyDescent="0.2">
      <c r="A31" s="235"/>
      <c r="B31" s="235"/>
      <c r="C31" s="235"/>
      <c r="K31" s="232"/>
    </row>
    <row r="32" spans="1:11" s="231" customFormat="1" x14ac:dyDescent="0.2">
      <c r="A32" s="232"/>
      <c r="B32" s="232"/>
      <c r="C32" s="232"/>
      <c r="K32" s="232"/>
    </row>
    <row r="33" spans="1:11" s="231" customFormat="1" x14ac:dyDescent="0.2">
      <c r="A33" s="232"/>
      <c r="B33" s="232"/>
      <c r="C33" s="232"/>
      <c r="K33" s="232"/>
    </row>
    <row r="34" spans="1:11" s="231" customFormat="1" x14ac:dyDescent="0.2">
      <c r="A34" s="232"/>
      <c r="B34" s="232"/>
      <c r="C34" s="232"/>
      <c r="K34" s="232"/>
    </row>
    <row r="35" spans="1:11" s="231" customFormat="1" x14ac:dyDescent="0.2">
      <c r="A35" s="232"/>
      <c r="B35" s="232"/>
      <c r="C35" s="232"/>
      <c r="K35" s="232"/>
    </row>
    <row r="36" spans="1:11" s="231" customFormat="1" x14ac:dyDescent="0.2">
      <c r="A36" s="232"/>
      <c r="B36" s="232"/>
      <c r="C36" s="232"/>
      <c r="K36" s="232"/>
    </row>
  </sheetData>
  <mergeCells count="19">
    <mergeCell ref="A12:C12"/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9:C19"/>
    <mergeCell ref="A13:C13"/>
    <mergeCell ref="A14:C14"/>
    <mergeCell ref="A15:C15"/>
    <mergeCell ref="A16:C16"/>
    <mergeCell ref="A17:C17"/>
    <mergeCell ref="A18:C18"/>
  </mergeCell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defaultSize="0" autoLine="0" autoPict="0">
                <anchor moveWithCells="1">
                  <from>
                    <xdr:col>0</xdr:col>
                    <xdr:colOff>139700</xdr:colOff>
                    <xdr:row>2</xdr:row>
                    <xdr:rowOff>12700</xdr:rowOff>
                  </from>
                  <to>
                    <xdr:col>2</xdr:col>
                    <xdr:colOff>520700</xdr:colOff>
                    <xdr:row>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139700</xdr:colOff>
                    <xdr:row>3</xdr:row>
                    <xdr:rowOff>12700</xdr:rowOff>
                  </from>
                  <to>
                    <xdr:col>2</xdr:col>
                    <xdr:colOff>520700</xdr:colOff>
                    <xdr:row>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0</xdr:col>
                    <xdr:colOff>139700</xdr:colOff>
                    <xdr:row>4</xdr:row>
                    <xdr:rowOff>12700</xdr:rowOff>
                  </from>
                  <to>
                    <xdr:col>2</xdr:col>
                    <xdr:colOff>520700</xdr:colOff>
                    <xdr:row>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0</xdr:col>
                    <xdr:colOff>139700</xdr:colOff>
                    <xdr:row>5</xdr:row>
                    <xdr:rowOff>12700</xdr:rowOff>
                  </from>
                  <to>
                    <xdr:col>2</xdr:col>
                    <xdr:colOff>520700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Drop Down 5">
              <controlPr defaultSize="0" autoLine="0" autoPict="0">
                <anchor moveWithCells="1">
                  <from>
                    <xdr:col>0</xdr:col>
                    <xdr:colOff>139700</xdr:colOff>
                    <xdr:row>6</xdr:row>
                    <xdr:rowOff>12700</xdr:rowOff>
                  </from>
                  <to>
                    <xdr:col>2</xdr:col>
                    <xdr:colOff>520700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Drop Down 6">
              <controlPr defaultSize="0" autoLine="0" autoPict="0">
                <anchor moveWithCells="1">
                  <from>
                    <xdr:col>0</xdr:col>
                    <xdr:colOff>139700</xdr:colOff>
                    <xdr:row>7</xdr:row>
                    <xdr:rowOff>12700</xdr:rowOff>
                  </from>
                  <to>
                    <xdr:col>2</xdr:col>
                    <xdr:colOff>520700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Drop Down 7">
              <controlPr defaultSize="0" autoLine="0" autoPict="0">
                <anchor moveWithCells="1">
                  <from>
                    <xdr:col>0</xdr:col>
                    <xdr:colOff>139700</xdr:colOff>
                    <xdr:row>8</xdr:row>
                    <xdr:rowOff>12700</xdr:rowOff>
                  </from>
                  <to>
                    <xdr:col>2</xdr:col>
                    <xdr:colOff>520700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Drop Down 8">
              <controlPr defaultSize="0" autoLine="0" autoPict="0">
                <anchor moveWithCells="1">
                  <from>
                    <xdr:col>0</xdr:col>
                    <xdr:colOff>139700</xdr:colOff>
                    <xdr:row>9</xdr:row>
                    <xdr:rowOff>12700</xdr:rowOff>
                  </from>
                  <to>
                    <xdr:col>2</xdr:col>
                    <xdr:colOff>520700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Drop Down 9">
              <controlPr defaultSize="0" autoLine="0" autoPict="0">
                <anchor moveWithCells="1">
                  <from>
                    <xdr:col>0</xdr:col>
                    <xdr:colOff>139700</xdr:colOff>
                    <xdr:row>10</xdr:row>
                    <xdr:rowOff>12700</xdr:rowOff>
                  </from>
                  <to>
                    <xdr:col>2</xdr:col>
                    <xdr:colOff>520700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Drop Down 10">
              <controlPr defaultSize="0" autoLine="0" autoPict="0">
                <anchor moveWithCells="1">
                  <from>
                    <xdr:col>0</xdr:col>
                    <xdr:colOff>139700</xdr:colOff>
                    <xdr:row>11</xdr:row>
                    <xdr:rowOff>12700</xdr:rowOff>
                  </from>
                  <to>
                    <xdr:col>2</xdr:col>
                    <xdr:colOff>520700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Drop Down 11">
              <controlPr defaultSize="0" autoLine="0" autoPict="0">
                <anchor moveWithCells="1">
                  <from>
                    <xdr:col>0</xdr:col>
                    <xdr:colOff>139700</xdr:colOff>
                    <xdr:row>12</xdr:row>
                    <xdr:rowOff>12700</xdr:rowOff>
                  </from>
                  <to>
                    <xdr:col>2</xdr:col>
                    <xdr:colOff>520700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Drop Down 12">
              <controlPr defaultSize="0" autoLine="0" autoPict="0">
                <anchor moveWithCells="1">
                  <from>
                    <xdr:col>0</xdr:col>
                    <xdr:colOff>139700</xdr:colOff>
                    <xdr:row>13</xdr:row>
                    <xdr:rowOff>12700</xdr:rowOff>
                  </from>
                  <to>
                    <xdr:col>2</xdr:col>
                    <xdr:colOff>520700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Drop Down 13">
              <controlPr defaultSize="0" autoLine="0" autoPict="0">
                <anchor moveWithCells="1">
                  <from>
                    <xdr:col>0</xdr:col>
                    <xdr:colOff>139700</xdr:colOff>
                    <xdr:row>14</xdr:row>
                    <xdr:rowOff>12700</xdr:rowOff>
                  </from>
                  <to>
                    <xdr:col>2</xdr:col>
                    <xdr:colOff>520700</xdr:colOff>
                    <xdr:row>15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INGREDIENTES</vt:lpstr>
      <vt:lpstr>EXIGENCIAS</vt:lpstr>
      <vt:lpstr>SOLVER</vt:lpstr>
      <vt:lpstr>TENTATIVA</vt:lpstr>
      <vt:lpstr>AAS</vt:lpstr>
      <vt:lpstr>AMIDO</vt:lpstr>
      <vt:lpstr>BLOCO</vt:lpstr>
      <vt:lpstr>CA</vt:lpstr>
      <vt:lpstr>ED</vt:lpstr>
      <vt:lpstr>EE</vt:lpstr>
      <vt:lpstr>EXIGE</vt:lpstr>
      <vt:lpstr>FB</vt:lpstr>
      <vt:lpstr>LA</vt:lpstr>
      <vt:lpstr>LE</vt:lpstr>
      <vt:lpstr>LP</vt:lpstr>
      <vt:lpstr>LYS</vt:lpstr>
      <vt:lpstr>MET</vt:lpstr>
      <vt:lpstr>PB</vt:lpstr>
      <vt:lpstr>PDISP</vt:lpstr>
      <vt:lpstr>EXIGENCIAS!Print_Area</vt:lpstr>
      <vt:lpstr>TA</vt:lpstr>
      <vt:lpstr>TE</vt:lpstr>
      <vt:lpstr>TOT</vt:lpstr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Brunno Cerozi</cp:lastModifiedBy>
  <dcterms:created xsi:type="dcterms:W3CDTF">2007-10-24T18:10:20Z</dcterms:created>
  <dcterms:modified xsi:type="dcterms:W3CDTF">2020-09-09T19:42:01Z</dcterms:modified>
</cp:coreProperties>
</file>