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activeTab="2"/>
  </bookViews>
  <sheets>
    <sheet name="Silagem Modificada" sheetId="1" r:id="rId1"/>
    <sheet name="Feno Modificado" sheetId="2" r:id="rId2"/>
    <sheet name="Feno Alfafa" sheetId="3" r:id="rId3"/>
  </sheets>
  <definedNames/>
  <calcPr fullCalcOnLoad="1"/>
</workbook>
</file>

<file path=xl/sharedStrings.xml><?xml version="1.0" encoding="utf-8"?>
<sst xmlns="http://schemas.openxmlformats.org/spreadsheetml/2006/main" count="471" uniqueCount="196">
  <si>
    <t>Objetivo:</t>
  </si>
  <si>
    <t xml:space="preserve">Data do Levantamento: </t>
  </si>
  <si>
    <t>INFORMAÇÕES GERAIS</t>
  </si>
  <si>
    <t>TOTAL</t>
  </si>
  <si>
    <t>CUSTOS TOTAIS MÉDIOS</t>
  </si>
  <si>
    <t>ETAPAS</t>
  </si>
  <si>
    <t>Custo de Produção:</t>
  </si>
  <si>
    <t>Alfafa</t>
  </si>
  <si>
    <t>Feno</t>
  </si>
  <si>
    <t>Época de Plantio:</t>
  </si>
  <si>
    <t>Maio</t>
  </si>
  <si>
    <t>Número de cortes verão/inverno:</t>
  </si>
  <si>
    <t>Vida útil:</t>
  </si>
  <si>
    <t>Área plantada (ha):</t>
  </si>
  <si>
    <t>Peso total de um fardo:</t>
  </si>
  <si>
    <t>kg</t>
  </si>
  <si>
    <t>Proteína Bruta:</t>
  </si>
  <si>
    <t>NDT:</t>
  </si>
  <si>
    <t>CUSTO DE FORMAÇÃO - ALFAFA ($/ha/8 anos)</t>
  </si>
  <si>
    <t>t</t>
  </si>
  <si>
    <t>l</t>
  </si>
  <si>
    <t>SUBTOTAL</t>
  </si>
  <si>
    <t>PREPARO DO SOLO</t>
  </si>
  <si>
    <t>h/ha</t>
  </si>
  <si>
    <t>- calagem (cocho)</t>
  </si>
  <si>
    <t>- fosfatagem +potassagem (vicon)</t>
  </si>
  <si>
    <t>- gradeação (2 vezes)</t>
  </si>
  <si>
    <t>PLANTIO</t>
  </si>
  <si>
    <t>- aplicação de herbicida (ppi)</t>
  </si>
  <si>
    <t>- gradeação</t>
  </si>
  <si>
    <t>- plantio e adubação (Super Simples)</t>
  </si>
  <si>
    <t>- aplicação de herbicida (pré)</t>
  </si>
  <si>
    <t>Custo de Formação Total (8 anos)</t>
  </si>
  <si>
    <t>$/ha</t>
  </si>
  <si>
    <t>Custo por ano (Total/8 anos)</t>
  </si>
  <si>
    <t>::</t>
  </si>
  <si>
    <t xml:space="preserve">OPERAÇÕES ANUAIS - ALFAFA ($/ha/ano)  </t>
  </si>
  <si>
    <t>- calcário</t>
  </si>
  <si>
    <t>APLICAÇÃO</t>
  </si>
  <si>
    <t>Custo das Operações Anuais</t>
  </si>
  <si>
    <t xml:space="preserve">APLICAÇÃO DE HERBICIDAS -  ALFAFA ($/ha/semestre)  </t>
  </si>
  <si>
    <t>- aplicação de herbicida</t>
  </si>
  <si>
    <t>Custo de Aplicação de Herbicidas</t>
  </si>
  <si>
    <t>Custo  por Ano (2 aplicações por ano)</t>
  </si>
  <si>
    <t xml:space="preserve">CUSTO DE MANUTENÇÃO - ALFAFA ($/ha/corte)  </t>
  </si>
  <si>
    <t>- cloreto de potássio (KCl)</t>
  </si>
  <si>
    <t>- super simples</t>
  </si>
  <si>
    <t>- adubação mecânica - KCl (vicon)</t>
  </si>
  <si>
    <t>- adubação mecânica - super simples (vicon)</t>
  </si>
  <si>
    <t>Custo de Manutenção por Corte</t>
  </si>
  <si>
    <t>Custo de Manut. por Ano (10 cortes por ano)</t>
  </si>
  <si>
    <t>CUSTO DE CORTE E FENAÇÃO - ALFAFA ($/ha/corte)</t>
  </si>
  <si>
    <t>- corte (segadora)</t>
  </si>
  <si>
    <t>- movimentação - 2 vezes (enleiradora/espar.)</t>
  </si>
  <si>
    <t>- enleiramento - 1 vezes (enleiradora/espar.)</t>
  </si>
  <si>
    <t>- enfardadora</t>
  </si>
  <si>
    <t>- recolhimento*</t>
  </si>
  <si>
    <t>- transporte na fazenda</t>
  </si>
  <si>
    <t>Custo de Corte e Fenação por Oper.</t>
  </si>
  <si>
    <t>Custo por ano (10 Operações)</t>
  </si>
  <si>
    <t>- insumos</t>
  </si>
  <si>
    <t>- preparo do solo</t>
  </si>
  <si>
    <t>- plantio</t>
  </si>
  <si>
    <t>CUSTO DE PRODUÇÃO DE FENO DE ALFAFA</t>
  </si>
  <si>
    <t>1 ha</t>
  </si>
  <si>
    <t>Insumos</t>
  </si>
  <si>
    <t>Unidade</t>
  </si>
  <si>
    <t>Quantidade</t>
  </si>
  <si>
    <t xml:space="preserve"> P. Unitário</t>
  </si>
  <si>
    <t>P.Total</t>
  </si>
  <si>
    <t>*FORMAÇÃO</t>
  </si>
  <si>
    <t>*OPERAÇÕES ANUAIS</t>
  </si>
  <si>
    <t>*APLICAÇÃO DE HERBICIDAS</t>
  </si>
  <si>
    <t>*MANUTENÇÃO</t>
  </si>
  <si>
    <t>*CORTE E FENAÇÃO</t>
  </si>
  <si>
    <t>*IRRIGAÇÃO</t>
  </si>
  <si>
    <t xml:space="preserve"> - Micronutrientes</t>
  </si>
  <si>
    <t xml:space="preserve"> - distribuição de micronutrientes (vicon)</t>
  </si>
  <si>
    <t>IRRIGAÇÃO</t>
  </si>
  <si>
    <t>Item</t>
  </si>
  <si>
    <t>P. Unitário</t>
  </si>
  <si>
    <t>unidade</t>
  </si>
  <si>
    <t>Depreciação em dez anos</t>
  </si>
  <si>
    <t xml:space="preserve"> - Mão-de-obra</t>
  </si>
  <si>
    <t>CUSTO DE PRODUÇÃO DE SILAGEM PRÉ-SECADA DE ALFAFA</t>
  </si>
  <si>
    <t>Calcário</t>
  </si>
  <si>
    <t>Gesso</t>
  </si>
  <si>
    <t>Porcentagem de MS do feno:</t>
  </si>
  <si>
    <t>Manutenção</t>
  </si>
  <si>
    <t>R$/ha.ano</t>
  </si>
  <si>
    <t>R$/corte</t>
  </si>
  <si>
    <t>Perdas no processo:</t>
  </si>
  <si>
    <t>Prod. Líquida (t M.O):</t>
  </si>
  <si>
    <t>Produção estimada (t M.S):</t>
  </si>
  <si>
    <t>% MS da silagem:</t>
  </si>
  <si>
    <t>Produção por corte (t M.S):</t>
  </si>
  <si>
    <t xml:space="preserve">No. de cortes/ano: </t>
  </si>
  <si>
    <t>Produção Líquida (t M.S):</t>
  </si>
  <si>
    <t>Total</t>
  </si>
  <si>
    <t>Valor</t>
  </si>
  <si>
    <t>R$/ha</t>
  </si>
  <si>
    <t>Aração</t>
  </si>
  <si>
    <t>Calagem</t>
  </si>
  <si>
    <t>Bórax</t>
  </si>
  <si>
    <t>Produção</t>
  </si>
  <si>
    <t>Super simples</t>
  </si>
  <si>
    <t>Cloreto de potássio</t>
  </si>
  <si>
    <t xml:space="preserve">Longevidade Estimada (anos): </t>
  </si>
  <si>
    <t>15 kg</t>
  </si>
  <si>
    <t>Perdas do processo (%):</t>
  </si>
  <si>
    <t>Produção anual estimada (t M.S/ha ano):</t>
  </si>
  <si>
    <t>Produção Final de Feno(t/ha/ano)</t>
  </si>
  <si>
    <t>Produção Final de Feno (fardos)</t>
  </si>
  <si>
    <t>Impantação</t>
  </si>
  <si>
    <t>Barbante</t>
  </si>
  <si>
    <t>Área cortada em 1 mês:</t>
  </si>
  <si>
    <t xml:space="preserve"> 1 ha </t>
  </si>
  <si>
    <t>Custos anuais</t>
  </si>
  <si>
    <t>Sulfato de Zinco</t>
  </si>
  <si>
    <t>Sulfato de Cobre</t>
  </si>
  <si>
    <t>Calcário dolomítico</t>
  </si>
  <si>
    <t>Superfosfato simples</t>
  </si>
  <si>
    <t>Cloreto de Potássio (KCl)</t>
  </si>
  <si>
    <t>Sementes com inoculante</t>
  </si>
  <si>
    <t>Calagem (cocho)</t>
  </si>
  <si>
    <t>Fosfatagem +potassagem (vicon)</t>
  </si>
  <si>
    <t>Distribuição de micronutrientes (vicon)</t>
  </si>
  <si>
    <t>Gradeação (2 vezes)</t>
  </si>
  <si>
    <t>Aplicação de herbicida (ppi)</t>
  </si>
  <si>
    <t>Gradeação</t>
  </si>
  <si>
    <t>Plantio e adubação (Super Simples)</t>
  </si>
  <si>
    <t>Aplicação de herbicida (pré)</t>
  </si>
  <si>
    <t xml:space="preserve">Herbicida ppi  </t>
  </si>
  <si>
    <t xml:space="preserve">Herbicida pós-plantio </t>
  </si>
  <si>
    <t>$/fardo 15kg</t>
  </si>
  <si>
    <t>Vida útil (anos):</t>
  </si>
  <si>
    <t>SUBTOTAL ANUAL (10 anos)</t>
  </si>
  <si>
    <t>CUSTO DE FORMAÇÃO - ALFAFA ($/ha/10 anos)</t>
  </si>
  <si>
    <t>Adubação 2x</t>
  </si>
  <si>
    <t xml:space="preserve">$/ha/ano </t>
  </si>
  <si>
    <t xml:space="preserve">$/ha/corte </t>
  </si>
  <si>
    <t>$/t MS</t>
  </si>
  <si>
    <t>$/t M.O</t>
  </si>
  <si>
    <t>FORMAÇÃO</t>
  </si>
  <si>
    <t>OPERAÇÕES ANUAIS</t>
  </si>
  <si>
    <t>Herbicida pós emergente 2x</t>
  </si>
  <si>
    <t>Sega 10x</t>
  </si>
  <si>
    <t>Ancinho 20x</t>
  </si>
  <si>
    <t>Herbicida 2x</t>
  </si>
  <si>
    <t xml:space="preserve"> Insumos</t>
  </si>
  <si>
    <t>INSUMOS</t>
  </si>
  <si>
    <t>OPERAÇÕES</t>
  </si>
  <si>
    <t>INSUMOS MANUT.</t>
  </si>
  <si>
    <t>Ancinho 30x</t>
  </si>
  <si>
    <t>Enleiramento 10x</t>
  </si>
  <si>
    <t>Enfardar 10x</t>
  </si>
  <si>
    <t>Recolhimento 10x</t>
  </si>
  <si>
    <t>Embalagem 10x</t>
  </si>
  <si>
    <t>$/bola 550 kg</t>
  </si>
  <si>
    <t>Produção Bolas 550 Kg:</t>
  </si>
  <si>
    <t>Perdas do processo (%)</t>
  </si>
  <si>
    <t>Peso total de um fardo (Kg)</t>
  </si>
  <si>
    <t xml:space="preserve"> calcário dolomítico</t>
  </si>
  <si>
    <t xml:space="preserve"> superfosfato simples </t>
  </si>
  <si>
    <t xml:space="preserve"> Cloreto de Potássio </t>
  </si>
  <si>
    <t xml:space="preserve">  Micronutrientes</t>
  </si>
  <si>
    <t xml:space="preserve"> sementes com inoculante</t>
  </si>
  <si>
    <t xml:space="preserve"> herbicida ppi  (Trifluralina)</t>
  </si>
  <si>
    <t xml:space="preserve">Implantação </t>
  </si>
  <si>
    <t xml:space="preserve"> - herbicida pré-emergente Dual 960 CE (2X)</t>
  </si>
  <si>
    <t xml:space="preserve"> - herbicida pós (PIVOT - Imazethapyr)</t>
  </si>
  <si>
    <t xml:space="preserve">R$/ano </t>
  </si>
  <si>
    <t xml:space="preserve">R$/corte </t>
  </si>
  <si>
    <t>R$/t MS</t>
  </si>
  <si>
    <t xml:space="preserve">R$/t feno </t>
  </si>
  <si>
    <t>R$/fardo</t>
  </si>
  <si>
    <t>Produção Final de Feno (fardos/ha/ano)</t>
  </si>
  <si>
    <t>Produção Final de Feno (t/ha/ano)</t>
  </si>
  <si>
    <t>Produção anual estimada (t MS/ha/ano)</t>
  </si>
  <si>
    <t xml:space="preserve"> aração</t>
  </si>
  <si>
    <t xml:space="preserve">  herbicida pós-plantio (pivot)</t>
  </si>
  <si>
    <t>adubação potássica</t>
  </si>
  <si>
    <t>anos</t>
  </si>
  <si>
    <t>R$ / kg NDT</t>
  </si>
  <si>
    <t>Produção Total de Forragem (MV)</t>
  </si>
  <si>
    <t>Produção Total de Forragem (MS)</t>
  </si>
  <si>
    <t>Produção Total efetiva Feno (MV)</t>
  </si>
  <si>
    <t>Produção Total efetiva Feno (MS)</t>
  </si>
  <si>
    <t>Produção Total de NDT</t>
  </si>
  <si>
    <t>Produção Total de Proteina Bruta</t>
  </si>
  <si>
    <t>Produção anual estimada (t MV/ha/ano)</t>
  </si>
  <si>
    <t xml:space="preserve"> t/ha/ano</t>
  </si>
  <si>
    <t>Porcentagem de MS:</t>
  </si>
  <si>
    <t xml:space="preserve"> t/ha/ </t>
  </si>
  <si>
    <t xml:space="preserve"> anos</t>
  </si>
  <si>
    <t xml:space="preserve"> t/ha/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</si>
</sst>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0.0000"/>
    <numFmt numFmtId="187" formatCode="0.00000"/>
    <numFmt numFmtId="188" formatCode="0.000"/>
    <numFmt numFmtId="189" formatCode="0.0"/>
    <numFmt numFmtId="190" formatCode="0.000000"/>
    <numFmt numFmtId="191" formatCode="0.0000000"/>
    <numFmt numFmtId="192" formatCode="#,##0.0000_);\(#,##0.0000\)"/>
    <numFmt numFmtId="193" formatCode="_(* #,##0.0_);_(* \(#,##0.0\);_(* &quot;-&quot;??_);_(@_)"/>
    <numFmt numFmtId="194" formatCode="[$$-409]#,##0.00"/>
    <numFmt numFmtId="195" formatCode="_([$$-409]* #,##0.00_);_([$$-409]* \(#,##0.00\);_([$$-409]* &quot;-&quot;??_);_(@_)"/>
  </numFmts>
  <fonts count="47">
    <font>
      <sz val="10"/>
      <name val="Arial"/>
      <family val="0"/>
    </font>
    <font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u val="single"/>
      <sz val="12"/>
      <name val="Garamond"/>
      <family val="1"/>
    </font>
    <font>
      <b/>
      <i/>
      <sz val="12"/>
      <name val="Garamond"/>
      <family val="1"/>
    </font>
    <font>
      <b/>
      <u val="single"/>
      <sz val="14"/>
      <name val="Garamond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u val="single"/>
      <sz val="16"/>
      <name val="Calibri"/>
      <family val="2"/>
    </font>
    <font>
      <b/>
      <sz val="12"/>
      <color indexed="12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2" fontId="2" fillId="32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7" fontId="3" fillId="0" borderId="12" xfId="0" applyNumberFormat="1" applyFont="1" applyBorder="1" applyAlignment="1">
      <alignment horizontal="left"/>
    </xf>
    <xf numFmtId="0" fontId="2" fillId="0" borderId="0" xfId="0" applyFont="1" applyAlignment="1">
      <alignment/>
    </xf>
    <xf numFmtId="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2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33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33" borderId="0" xfId="0" applyNumberFormat="1" applyFont="1" applyFill="1" applyAlignment="1">
      <alignment/>
    </xf>
    <xf numFmtId="189" fontId="3" fillId="0" borderId="0" xfId="0" applyNumberFormat="1" applyFont="1" applyAlignment="1">
      <alignment horizontal="center"/>
    </xf>
    <xf numFmtId="189" fontId="3" fillId="0" borderId="0" xfId="0" applyNumberFormat="1" applyFont="1" applyAlignment="1">
      <alignment horizontal="right"/>
    </xf>
    <xf numFmtId="0" fontId="3" fillId="4" borderId="0" xfId="0" applyFont="1" applyFill="1" applyAlignment="1">
      <alignment/>
    </xf>
    <xf numFmtId="2" fontId="3" fillId="4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2" fontId="7" fillId="0" borderId="27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10" borderId="30" xfId="0" applyNumberFormat="1" applyFont="1" applyFill="1" applyBorder="1" applyAlignment="1">
      <alignment horizontal="center"/>
    </xf>
    <xf numFmtId="2" fontId="8" fillId="10" borderId="17" xfId="0" applyNumberFormat="1" applyFont="1" applyFill="1" applyBorder="1" applyAlignment="1">
      <alignment horizontal="center"/>
    </xf>
    <xf numFmtId="2" fontId="8" fillId="10" borderId="31" xfId="0" applyNumberFormat="1" applyFont="1" applyFill="1" applyBorder="1" applyAlignment="1">
      <alignment horizontal="center"/>
    </xf>
    <xf numFmtId="2" fontId="8" fillId="34" borderId="28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2" fontId="7" fillId="34" borderId="0" xfId="0" applyNumberFormat="1" applyFont="1" applyFill="1" applyAlignment="1">
      <alignment horizontal="center"/>
    </xf>
    <xf numFmtId="2" fontId="8" fillId="10" borderId="19" xfId="0" applyNumberFormat="1" applyFont="1" applyFill="1" applyBorder="1" applyAlignment="1">
      <alignment horizontal="center"/>
    </xf>
    <xf numFmtId="2" fontId="8" fillId="34" borderId="19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8" fillId="34" borderId="3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2" fontId="7" fillId="0" borderId="34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186" fontId="7" fillId="0" borderId="27" xfId="0" applyNumberFormat="1" applyFont="1" applyBorder="1" applyAlignment="1">
      <alignment horizontal="center"/>
    </xf>
    <xf numFmtId="186" fontId="7" fillId="0" borderId="28" xfId="0" applyNumberFormat="1" applyFont="1" applyBorder="1" applyAlignment="1">
      <alignment horizontal="center"/>
    </xf>
    <xf numFmtId="186" fontId="7" fillId="0" borderId="29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1" fontId="11" fillId="0" borderId="19" xfId="0" applyNumberFormat="1" applyFont="1" applyBorder="1" applyAlignment="1">
      <alignment/>
    </xf>
    <xf numFmtId="9" fontId="11" fillId="0" borderId="19" xfId="0" applyNumberFormat="1" applyFont="1" applyBorder="1" applyAlignment="1">
      <alignment/>
    </xf>
    <xf numFmtId="1" fontId="11" fillId="0" borderId="17" xfId="0" applyNumberFormat="1" applyFont="1" applyBorder="1" applyAlignment="1">
      <alignment/>
    </xf>
    <xf numFmtId="0" fontId="8" fillId="0" borderId="24" xfId="0" applyFont="1" applyFill="1" applyBorder="1" applyAlignment="1">
      <alignment horizontal="center"/>
    </xf>
    <xf numFmtId="188" fontId="7" fillId="0" borderId="32" xfId="0" applyNumberFormat="1" applyFont="1" applyBorder="1" applyAlignment="1">
      <alignment horizontal="center"/>
    </xf>
    <xf numFmtId="188" fontId="8" fillId="10" borderId="32" xfId="0" applyNumberFormat="1" applyFont="1" applyFill="1" applyBorder="1" applyAlignment="1">
      <alignment horizontal="center"/>
    </xf>
    <xf numFmtId="0" fontId="11" fillId="35" borderId="19" xfId="0" applyFont="1" applyFill="1" applyBorder="1" applyAlignment="1">
      <alignment/>
    </xf>
    <xf numFmtId="0" fontId="11" fillId="35" borderId="18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35" borderId="19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8" fillId="35" borderId="20" xfId="0" applyFont="1" applyFill="1" applyBorder="1" applyAlignment="1">
      <alignment horizontal="left"/>
    </xf>
    <xf numFmtId="0" fontId="11" fillId="35" borderId="18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9" fontId="11" fillId="0" borderId="38" xfId="0" applyNumberFormat="1" applyFont="1" applyBorder="1" applyAlignment="1">
      <alignment horizontal="center"/>
    </xf>
    <xf numFmtId="9" fontId="11" fillId="0" borderId="39" xfId="0" applyNumberFormat="1" applyFont="1" applyBorder="1" applyAlignment="1">
      <alignment horizontal="center"/>
    </xf>
    <xf numFmtId="9" fontId="11" fillId="0" borderId="40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center"/>
    </xf>
    <xf numFmtId="9" fontId="11" fillId="0" borderId="42" xfId="0" applyNumberFormat="1" applyFont="1" applyBorder="1" applyAlignment="1">
      <alignment horizontal="center"/>
    </xf>
    <xf numFmtId="9" fontId="11" fillId="0" borderId="49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7" fontId="11" fillId="0" borderId="15" xfId="0" applyNumberFormat="1" applyFont="1" applyBorder="1" applyAlignment="1">
      <alignment horizontal="center"/>
    </xf>
    <xf numFmtId="17" fontId="11" fillId="0" borderId="2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/>
    </xf>
    <xf numFmtId="0" fontId="8" fillId="10" borderId="19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34" borderId="19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8" fillId="10" borderId="52" xfId="0" applyFont="1" applyFill="1" applyBorder="1" applyAlignment="1">
      <alignment horizontal="center"/>
    </xf>
    <xf numFmtId="0" fontId="8" fillId="10" borderId="53" xfId="0" applyFont="1" applyFill="1" applyBorder="1" applyAlignment="1">
      <alignment horizontal="center"/>
    </xf>
    <xf numFmtId="0" fontId="8" fillId="10" borderId="60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3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22" xfId="0" applyFont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10" borderId="30" xfId="0" applyFont="1" applyFill="1" applyBorder="1" applyAlignment="1">
      <alignment horizontal="center"/>
    </xf>
    <xf numFmtId="0" fontId="8" fillId="10" borderId="31" xfId="0" applyFont="1" applyFill="1" applyBorder="1" applyAlignment="1">
      <alignment horizontal="center"/>
    </xf>
    <xf numFmtId="0" fontId="8" fillId="10" borderId="57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" fillId="36" borderId="0" xfId="0" applyFont="1" applyFill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2" fontId="11" fillId="35" borderId="41" xfId="0" applyNumberFormat="1" applyFont="1" applyFill="1" applyBorder="1" applyAlignment="1">
      <alignment horizontal="center"/>
    </xf>
    <xf numFmtId="2" fontId="11" fillId="35" borderId="42" xfId="0" applyNumberFormat="1" applyFont="1" applyFill="1" applyBorder="1" applyAlignment="1">
      <alignment horizontal="center"/>
    </xf>
    <xf numFmtId="2" fontId="11" fillId="35" borderId="49" xfId="0" applyNumberFormat="1" applyFont="1" applyFill="1" applyBorder="1" applyAlignment="1">
      <alignment horizontal="center"/>
    </xf>
    <xf numFmtId="1" fontId="11" fillId="0" borderId="52" xfId="0" applyNumberFormat="1" applyFont="1" applyBorder="1" applyAlignment="1">
      <alignment horizontal="center"/>
    </xf>
    <xf numFmtId="1" fontId="11" fillId="0" borderId="53" xfId="0" applyNumberFormat="1" applyFont="1" applyBorder="1" applyAlignment="1">
      <alignment horizontal="center"/>
    </xf>
    <xf numFmtId="1" fontId="11" fillId="0" borderId="6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10" borderId="30" xfId="0" applyFont="1" applyFill="1" applyBorder="1" applyAlignment="1">
      <alignment horizontal="center"/>
    </xf>
    <xf numFmtId="0" fontId="7" fillId="10" borderId="31" xfId="0" applyFont="1" applyFill="1" applyBorder="1" applyAlignment="1">
      <alignment horizontal="center"/>
    </xf>
    <xf numFmtId="0" fontId="7" fillId="10" borderId="5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Porcentagem 2" xfId="51"/>
    <cellStyle name="Saída" xfId="52"/>
    <cellStyle name="Comm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="123" zoomScaleNormal="123" zoomScalePageLayoutView="0" workbookViewId="0" topLeftCell="A14">
      <selection activeCell="C94" sqref="C94"/>
    </sheetView>
  </sheetViews>
  <sheetFormatPr defaultColWidth="9.140625" defaultRowHeight="12.75"/>
  <cols>
    <col min="2" max="2" width="14.421875" style="0" customWidth="1"/>
    <col min="3" max="3" width="13.28125" style="0" bestFit="1" customWidth="1"/>
    <col min="4" max="4" width="11.140625" style="0" bestFit="1" customWidth="1"/>
    <col min="5" max="5" width="12.7109375" style="0" bestFit="1" customWidth="1"/>
    <col min="6" max="6" width="12.57421875" style="0" bestFit="1" customWidth="1"/>
    <col min="7" max="7" width="13.421875" style="0" customWidth="1"/>
    <col min="8" max="8" width="12.140625" style="0" bestFit="1" customWidth="1"/>
  </cols>
  <sheetData>
    <row r="1" spans="1:7" ht="18.75">
      <c r="A1" s="133" t="s">
        <v>84</v>
      </c>
      <c r="B1" s="133"/>
      <c r="C1" s="133"/>
      <c r="D1" s="133"/>
      <c r="E1" s="133"/>
      <c r="F1" s="133"/>
      <c r="G1" s="133"/>
    </row>
    <row r="2" spans="1:7" ht="15.75">
      <c r="A2" s="4"/>
      <c r="B2" s="4"/>
      <c r="C2" s="4"/>
      <c r="D2" s="4"/>
      <c r="E2" s="4"/>
      <c r="F2" s="4"/>
      <c r="G2" s="4"/>
    </row>
    <row r="3" spans="1:7" ht="15.75">
      <c r="A3" s="59" t="s">
        <v>115</v>
      </c>
      <c r="B3" s="59"/>
      <c r="C3" s="59"/>
      <c r="D3" s="54" t="s">
        <v>116</v>
      </c>
      <c r="E3" s="4"/>
      <c r="F3" s="4"/>
      <c r="G3" s="4"/>
    </row>
    <row r="4" spans="1:7" ht="15.75">
      <c r="A4" s="59" t="s">
        <v>107</v>
      </c>
      <c r="B4" s="59"/>
      <c r="C4" s="59"/>
      <c r="D4" s="54">
        <v>10</v>
      </c>
      <c r="E4" s="4"/>
      <c r="F4" s="4"/>
      <c r="G4" s="4"/>
    </row>
    <row r="5" spans="1:7" ht="15.75">
      <c r="A5" s="53" t="s">
        <v>96</v>
      </c>
      <c r="B5" s="53"/>
      <c r="C5" s="53"/>
      <c r="D5" s="54">
        <v>10</v>
      </c>
      <c r="E5" s="5"/>
      <c r="F5" s="5"/>
      <c r="G5" s="5"/>
    </row>
    <row r="6" spans="1:7" ht="15.75">
      <c r="A6" s="53" t="s">
        <v>93</v>
      </c>
      <c r="B6" s="53"/>
      <c r="C6" s="53"/>
      <c r="D6" s="54">
        <v>25</v>
      </c>
      <c r="E6" s="5"/>
      <c r="F6" s="5"/>
      <c r="G6" s="5"/>
    </row>
    <row r="7" spans="1:7" ht="15.75">
      <c r="A7" s="53" t="s">
        <v>95</v>
      </c>
      <c r="B7" s="53"/>
      <c r="C7" s="53"/>
      <c r="D7" s="55">
        <f>D6/D5</f>
        <v>2.5</v>
      </c>
      <c r="E7" s="5"/>
      <c r="F7" s="5"/>
      <c r="G7" s="5"/>
    </row>
    <row r="8" spans="1:7" ht="15.75">
      <c r="A8" s="53" t="s">
        <v>94</v>
      </c>
      <c r="B8" s="53"/>
      <c r="C8" s="53"/>
      <c r="D8" s="54">
        <v>45</v>
      </c>
      <c r="E8" s="5"/>
      <c r="F8" s="5"/>
      <c r="G8" s="5"/>
    </row>
    <row r="9" spans="1:7" ht="15.75">
      <c r="A9" s="53" t="s">
        <v>91</v>
      </c>
      <c r="B9" s="53"/>
      <c r="C9" s="53"/>
      <c r="D9" s="54">
        <v>15</v>
      </c>
      <c r="E9" s="5"/>
      <c r="F9" s="5"/>
      <c r="G9" s="5"/>
    </row>
    <row r="10" spans="1:7" ht="15.75">
      <c r="A10" s="53" t="s">
        <v>92</v>
      </c>
      <c r="B10" s="53"/>
      <c r="C10" s="53"/>
      <c r="D10" s="55">
        <f>D6*100/D8</f>
        <v>55.55555555555556</v>
      </c>
      <c r="E10" s="5"/>
      <c r="F10" s="5"/>
      <c r="G10" s="5"/>
    </row>
    <row r="11" spans="1:7" ht="15.75">
      <c r="A11" s="53" t="s">
        <v>97</v>
      </c>
      <c r="B11" s="53"/>
      <c r="C11" s="53"/>
      <c r="D11" s="54">
        <f>D6*(1-D9/100)</f>
        <v>21.25</v>
      </c>
      <c r="E11" s="5"/>
      <c r="F11" s="5"/>
      <c r="G11" s="5"/>
    </row>
    <row r="12" spans="1:7" ht="15.75">
      <c r="A12" s="53" t="s">
        <v>159</v>
      </c>
      <c r="B12" s="53"/>
      <c r="C12" s="53"/>
      <c r="D12" s="60">
        <f>D10/0.55</f>
        <v>101.01010101010101</v>
      </c>
      <c r="E12" s="5"/>
      <c r="F12" s="5"/>
      <c r="G12" s="5"/>
    </row>
    <row r="13" spans="1:7" ht="15.75">
      <c r="A13" s="5"/>
      <c r="B13" s="5"/>
      <c r="C13" s="5"/>
      <c r="D13" s="5"/>
      <c r="E13" s="5"/>
      <c r="F13" s="5"/>
      <c r="G13" s="5"/>
    </row>
    <row r="14" spans="1:7" ht="15.75">
      <c r="A14" s="11" t="s">
        <v>137</v>
      </c>
      <c r="B14" s="11"/>
      <c r="C14" s="11"/>
      <c r="D14" s="11"/>
      <c r="E14" s="8"/>
      <c r="F14" s="8"/>
      <c r="G14" s="8"/>
    </row>
    <row r="15" spans="1:7" ht="15.75">
      <c r="A15" s="22" t="s">
        <v>65</v>
      </c>
      <c r="B15" s="22"/>
      <c r="C15" s="22"/>
      <c r="D15" s="22" t="s">
        <v>66</v>
      </c>
      <c r="E15" s="22" t="s">
        <v>67</v>
      </c>
      <c r="F15" s="22" t="s">
        <v>68</v>
      </c>
      <c r="G15" s="24" t="s">
        <v>100</v>
      </c>
    </row>
    <row r="16" spans="1:7" ht="15.75">
      <c r="A16" s="53" t="s">
        <v>120</v>
      </c>
      <c r="B16" s="53"/>
      <c r="C16" s="53"/>
      <c r="D16" s="54" t="s">
        <v>19</v>
      </c>
      <c r="E16" s="54">
        <v>4</v>
      </c>
      <c r="F16" s="55">
        <v>60</v>
      </c>
      <c r="G16" s="55">
        <f>E16*F16</f>
        <v>240</v>
      </c>
    </row>
    <row r="17" spans="1:7" ht="15.75">
      <c r="A17" s="53" t="s">
        <v>121</v>
      </c>
      <c r="B17" s="53"/>
      <c r="C17" s="53"/>
      <c r="D17" s="54" t="s">
        <v>19</v>
      </c>
      <c r="E17" s="54">
        <v>0.45</v>
      </c>
      <c r="F17" s="55">
        <v>575</v>
      </c>
      <c r="G17" s="55">
        <f aca="true" t="shared" si="0" ref="G17:G25">E17*F17</f>
        <v>258.75</v>
      </c>
    </row>
    <row r="18" spans="1:7" ht="15.75">
      <c r="A18" s="53" t="s">
        <v>122</v>
      </c>
      <c r="B18" s="53"/>
      <c r="C18" s="53"/>
      <c r="D18" s="54" t="s">
        <v>19</v>
      </c>
      <c r="E18" s="54">
        <v>0.2</v>
      </c>
      <c r="F18" s="55">
        <v>840</v>
      </c>
      <c r="G18" s="55">
        <f t="shared" si="0"/>
        <v>168</v>
      </c>
    </row>
    <row r="19" spans="1:7" ht="15.75">
      <c r="A19" s="53" t="s">
        <v>118</v>
      </c>
      <c r="B19" s="53"/>
      <c r="C19" s="53"/>
      <c r="D19" s="54" t="s">
        <v>19</v>
      </c>
      <c r="E19" s="54">
        <v>0.03</v>
      </c>
      <c r="F19" s="55">
        <v>80</v>
      </c>
      <c r="G19" s="55">
        <f t="shared" si="0"/>
        <v>2.4</v>
      </c>
    </row>
    <row r="20" spans="1:7" ht="15.75">
      <c r="A20" s="53" t="s">
        <v>119</v>
      </c>
      <c r="B20" s="53"/>
      <c r="C20" s="53"/>
      <c r="D20" s="54" t="s">
        <v>19</v>
      </c>
      <c r="E20" s="54">
        <v>0.02</v>
      </c>
      <c r="F20" s="55">
        <v>93</v>
      </c>
      <c r="G20" s="55">
        <f t="shared" si="0"/>
        <v>1.86</v>
      </c>
    </row>
    <row r="21" spans="1:7" ht="15.75">
      <c r="A21" s="53" t="s">
        <v>103</v>
      </c>
      <c r="B21" s="53"/>
      <c r="C21" s="53"/>
      <c r="D21" s="54" t="s">
        <v>19</v>
      </c>
      <c r="E21" s="54">
        <v>0.02</v>
      </c>
      <c r="F21" s="55">
        <v>135</v>
      </c>
      <c r="G21" s="55">
        <f t="shared" si="0"/>
        <v>2.7</v>
      </c>
    </row>
    <row r="22" spans="1:7" ht="15.75">
      <c r="A22" s="53" t="s">
        <v>123</v>
      </c>
      <c r="B22" s="53"/>
      <c r="C22" s="53"/>
      <c r="D22" s="54" t="s">
        <v>15</v>
      </c>
      <c r="E22" s="54">
        <v>15</v>
      </c>
      <c r="F22" s="55">
        <v>45</v>
      </c>
      <c r="G22" s="55">
        <f>E22*F22</f>
        <v>675</v>
      </c>
    </row>
    <row r="23" spans="1:7" ht="15.75">
      <c r="A23" s="5" t="s">
        <v>132</v>
      </c>
      <c r="B23" s="5"/>
      <c r="C23" s="5"/>
      <c r="D23" s="6" t="s">
        <v>20</v>
      </c>
      <c r="E23" s="6">
        <v>2</v>
      </c>
      <c r="F23" s="7">
        <v>18</v>
      </c>
      <c r="G23" s="7">
        <f t="shared" si="0"/>
        <v>36</v>
      </c>
    </row>
    <row r="24" spans="1:7" ht="15.75">
      <c r="A24" s="5" t="s">
        <v>133</v>
      </c>
      <c r="B24" s="5"/>
      <c r="C24" s="5"/>
      <c r="D24" s="6" t="s">
        <v>20</v>
      </c>
      <c r="E24" s="6">
        <v>1</v>
      </c>
      <c r="F24" s="7">
        <v>70</v>
      </c>
      <c r="G24" s="7">
        <f t="shared" si="0"/>
        <v>70</v>
      </c>
    </row>
    <row r="25" spans="1:7" ht="15.75">
      <c r="A25" s="38" t="s">
        <v>86</v>
      </c>
      <c r="B25" s="38"/>
      <c r="C25" s="38"/>
      <c r="D25" s="41" t="s">
        <v>19</v>
      </c>
      <c r="E25" s="41">
        <v>0.5</v>
      </c>
      <c r="F25" s="42">
        <v>60</v>
      </c>
      <c r="G25" s="42">
        <f t="shared" si="0"/>
        <v>30</v>
      </c>
    </row>
    <row r="26" spans="1:7" ht="15.75">
      <c r="A26" s="5"/>
      <c r="B26" s="5"/>
      <c r="C26" s="5"/>
      <c r="D26" s="6"/>
      <c r="E26" s="6"/>
      <c r="F26" s="7"/>
      <c r="G26" s="7"/>
    </row>
    <row r="27" spans="1:7" ht="15.75">
      <c r="A27" s="23" t="s">
        <v>21</v>
      </c>
      <c r="B27" s="22"/>
      <c r="C27" s="22"/>
      <c r="D27" s="24"/>
      <c r="E27" s="24"/>
      <c r="F27" s="25"/>
      <c r="G27" s="26">
        <f>SUM(G16:G25)</f>
        <v>1484.71</v>
      </c>
    </row>
    <row r="28" spans="1:7" ht="15.75">
      <c r="A28" s="17"/>
      <c r="B28" s="17"/>
      <c r="C28" s="17"/>
      <c r="D28" s="27"/>
      <c r="E28" s="27"/>
      <c r="F28" s="28"/>
      <c r="G28" s="28"/>
    </row>
    <row r="29" spans="1:7" ht="15.75">
      <c r="A29" s="11" t="s">
        <v>22</v>
      </c>
      <c r="B29" s="11"/>
      <c r="C29" s="11"/>
      <c r="D29" s="9"/>
      <c r="E29" s="9"/>
      <c r="F29" s="10"/>
      <c r="G29" s="10"/>
    </row>
    <row r="30" spans="1:7" ht="15.75">
      <c r="A30" s="22" t="s">
        <v>65</v>
      </c>
      <c r="B30" s="22"/>
      <c r="C30" s="22"/>
      <c r="D30" s="24" t="s">
        <v>66</v>
      </c>
      <c r="E30" s="24" t="s">
        <v>67</v>
      </c>
      <c r="F30" s="24" t="s">
        <v>68</v>
      </c>
      <c r="G30" s="24" t="s">
        <v>100</v>
      </c>
    </row>
    <row r="31" spans="1:7" ht="15.75">
      <c r="A31" s="5" t="s">
        <v>101</v>
      </c>
      <c r="B31" s="5"/>
      <c r="C31" s="5"/>
      <c r="D31" s="6" t="s">
        <v>23</v>
      </c>
      <c r="E31" s="7">
        <v>3</v>
      </c>
      <c r="F31" s="7">
        <v>36.4</v>
      </c>
      <c r="G31" s="7">
        <f>E31*F31</f>
        <v>109.19999999999999</v>
      </c>
    </row>
    <row r="32" spans="1:7" ht="15.75">
      <c r="A32" s="5" t="s">
        <v>124</v>
      </c>
      <c r="B32" s="5"/>
      <c r="C32" s="5"/>
      <c r="D32" s="6" t="s">
        <v>23</v>
      </c>
      <c r="E32" s="7">
        <v>0.95</v>
      </c>
      <c r="F32" s="7">
        <v>36</v>
      </c>
      <c r="G32" s="7">
        <f>E32*F32</f>
        <v>34.199999999999996</v>
      </c>
    </row>
    <row r="33" spans="1:8" ht="15.75">
      <c r="A33" s="5" t="s">
        <v>125</v>
      </c>
      <c r="B33" s="5"/>
      <c r="C33" s="5"/>
      <c r="D33" s="6" t="s">
        <v>23</v>
      </c>
      <c r="E33" s="7">
        <v>0.29</v>
      </c>
      <c r="F33" s="7">
        <v>36</v>
      </c>
      <c r="G33" s="7">
        <f>E33*F33</f>
        <v>10.44</v>
      </c>
      <c r="H33" s="36"/>
    </row>
    <row r="34" spans="1:8" ht="15.75">
      <c r="A34" s="5" t="s">
        <v>126</v>
      </c>
      <c r="B34" s="5"/>
      <c r="C34" s="5"/>
      <c r="D34" s="6" t="s">
        <v>23</v>
      </c>
      <c r="E34" s="7">
        <v>0.29</v>
      </c>
      <c r="F34" s="7">
        <v>36</v>
      </c>
      <c r="G34" s="7">
        <f>E34*F34</f>
        <v>10.44</v>
      </c>
      <c r="H34" s="14"/>
    </row>
    <row r="35" spans="1:8" ht="15.75">
      <c r="A35" s="5" t="s">
        <v>127</v>
      </c>
      <c r="B35" s="5"/>
      <c r="C35" s="5"/>
      <c r="D35" s="6" t="s">
        <v>23</v>
      </c>
      <c r="E35" s="7">
        <v>2.2</v>
      </c>
      <c r="F35" s="7">
        <v>37.8</v>
      </c>
      <c r="G35" s="7">
        <f>E35*F35</f>
        <v>83.16</v>
      </c>
      <c r="H35" s="36"/>
    </row>
    <row r="36" spans="1:7" ht="15.75">
      <c r="A36" s="23" t="s">
        <v>21</v>
      </c>
      <c r="B36" s="22"/>
      <c r="C36" s="22"/>
      <c r="D36" s="24"/>
      <c r="E36" s="24"/>
      <c r="F36" s="25"/>
      <c r="G36" s="26">
        <f>SUM(G31:G35)</f>
        <v>247.43999999999997</v>
      </c>
    </row>
    <row r="37" spans="1:7" ht="15.75">
      <c r="A37" s="1"/>
      <c r="B37" s="17"/>
      <c r="C37" s="17"/>
      <c r="D37" s="27"/>
      <c r="E37" s="27"/>
      <c r="F37" s="28"/>
      <c r="G37" s="2"/>
    </row>
    <row r="38" spans="1:7" ht="15.75">
      <c r="A38" s="11" t="s">
        <v>27</v>
      </c>
      <c r="B38" s="11"/>
      <c r="C38" s="8"/>
      <c r="D38" s="9"/>
      <c r="E38" s="9"/>
      <c r="F38" s="10"/>
      <c r="G38" s="10"/>
    </row>
    <row r="39" spans="1:7" ht="15.75">
      <c r="A39" s="22" t="s">
        <v>65</v>
      </c>
      <c r="B39" s="22"/>
      <c r="C39" s="22"/>
      <c r="D39" s="24" t="s">
        <v>66</v>
      </c>
      <c r="E39" s="24" t="s">
        <v>67</v>
      </c>
      <c r="F39" s="24" t="s">
        <v>68</v>
      </c>
      <c r="G39" s="24" t="s">
        <v>100</v>
      </c>
    </row>
    <row r="40" spans="1:7" ht="15.75">
      <c r="A40" s="5" t="s">
        <v>128</v>
      </c>
      <c r="B40" s="5"/>
      <c r="C40" s="5"/>
      <c r="D40" s="6" t="s">
        <v>23</v>
      </c>
      <c r="E40" s="6">
        <v>0.37</v>
      </c>
      <c r="F40" s="7">
        <v>36</v>
      </c>
      <c r="G40" s="7">
        <f>F40*E40</f>
        <v>13.32</v>
      </c>
    </row>
    <row r="41" spans="1:8" ht="15.75">
      <c r="A41" s="5" t="s">
        <v>129</v>
      </c>
      <c r="B41" s="5"/>
      <c r="C41" s="5"/>
      <c r="D41" s="6" t="s">
        <v>23</v>
      </c>
      <c r="E41" s="6">
        <v>1.11</v>
      </c>
      <c r="F41" s="7">
        <v>37.8</v>
      </c>
      <c r="G41" s="7">
        <f>F41*E41</f>
        <v>41.958</v>
      </c>
      <c r="H41" s="36"/>
    </row>
    <row r="42" spans="1:8" ht="15.75">
      <c r="A42" s="5" t="s">
        <v>130</v>
      </c>
      <c r="B42" s="5"/>
      <c r="C42" s="5"/>
      <c r="D42" s="6" t="s">
        <v>23</v>
      </c>
      <c r="E42" s="6">
        <v>1.19</v>
      </c>
      <c r="F42" s="7">
        <v>37.98</v>
      </c>
      <c r="G42" s="7">
        <f>F42*E42</f>
        <v>45.1962</v>
      </c>
      <c r="H42" s="36"/>
    </row>
    <row r="43" spans="1:8" ht="15.75">
      <c r="A43" s="5" t="s">
        <v>131</v>
      </c>
      <c r="B43" s="5"/>
      <c r="C43" s="5"/>
      <c r="D43" s="6" t="s">
        <v>23</v>
      </c>
      <c r="E43" s="6">
        <v>0.37</v>
      </c>
      <c r="F43" s="7">
        <v>36.31</v>
      </c>
      <c r="G43" s="7">
        <f>F43*E43</f>
        <v>13.434700000000001</v>
      </c>
      <c r="H43" s="36"/>
    </row>
    <row r="44" spans="1:8" ht="15.75">
      <c r="A44" s="23" t="s">
        <v>21</v>
      </c>
      <c r="B44" s="22"/>
      <c r="C44" s="22"/>
      <c r="D44" s="24"/>
      <c r="E44" s="24"/>
      <c r="F44" s="25"/>
      <c r="G44" s="26">
        <f>SUM(G40:G43)</f>
        <v>113.9089</v>
      </c>
      <c r="H44" s="14"/>
    </row>
    <row r="45" spans="1:8" s="33" customFormat="1" ht="15.75">
      <c r="A45" s="1"/>
      <c r="B45" s="17"/>
      <c r="C45" s="17"/>
      <c r="D45" s="27"/>
      <c r="E45" s="27"/>
      <c r="F45" s="28"/>
      <c r="G45" s="2"/>
      <c r="H45" s="14"/>
    </row>
    <row r="46" spans="1:8" s="33" customFormat="1" ht="15.75">
      <c r="A46" s="11" t="s">
        <v>78</v>
      </c>
      <c r="B46" s="8"/>
      <c r="C46" s="8"/>
      <c r="D46" s="9"/>
      <c r="E46" s="9"/>
      <c r="F46" s="10"/>
      <c r="G46" s="12"/>
      <c r="H46" s="14"/>
    </row>
    <row r="47" spans="1:8" ht="15.75">
      <c r="A47" s="22" t="s">
        <v>79</v>
      </c>
      <c r="B47" s="22"/>
      <c r="C47" s="22"/>
      <c r="D47" s="24" t="s">
        <v>66</v>
      </c>
      <c r="E47" s="24" t="s">
        <v>67</v>
      </c>
      <c r="F47" s="25" t="s">
        <v>80</v>
      </c>
      <c r="G47" s="25" t="s">
        <v>100</v>
      </c>
      <c r="H47" s="36"/>
    </row>
    <row r="48" spans="1:8" ht="15.75">
      <c r="A48" s="17" t="s">
        <v>113</v>
      </c>
      <c r="B48" s="17"/>
      <c r="C48" s="17"/>
      <c r="D48" s="27" t="s">
        <v>81</v>
      </c>
      <c r="E48" s="27">
        <v>1</v>
      </c>
      <c r="F48" s="28">
        <v>5000</v>
      </c>
      <c r="G48" s="28">
        <f>E48*F48</f>
        <v>5000</v>
      </c>
      <c r="H48" s="36"/>
    </row>
    <row r="49" spans="1:11" ht="15.75">
      <c r="A49" s="43" t="s">
        <v>88</v>
      </c>
      <c r="B49" s="43"/>
      <c r="C49" s="43"/>
      <c r="D49" s="44" t="s">
        <v>81</v>
      </c>
      <c r="E49" s="44">
        <v>1</v>
      </c>
      <c r="F49" s="45">
        <v>250</v>
      </c>
      <c r="G49" s="45">
        <f>E49*F49</f>
        <v>250</v>
      </c>
      <c r="H49" s="14"/>
      <c r="I49" s="34"/>
      <c r="J49" s="14"/>
      <c r="K49" s="14"/>
    </row>
    <row r="50" spans="1:8" ht="15.75">
      <c r="A50" s="43" t="s">
        <v>117</v>
      </c>
      <c r="B50" s="46"/>
      <c r="C50" s="46"/>
      <c r="D50" s="44" t="s">
        <v>81</v>
      </c>
      <c r="E50" s="44">
        <v>1</v>
      </c>
      <c r="F50" s="45">
        <v>2114</v>
      </c>
      <c r="G50" s="45">
        <f>E50*F50</f>
        <v>2114</v>
      </c>
      <c r="H50" s="36"/>
    </row>
    <row r="51" spans="1:8" ht="15.75">
      <c r="A51" s="23" t="s">
        <v>136</v>
      </c>
      <c r="B51" s="22"/>
      <c r="C51" s="22"/>
      <c r="D51" s="24"/>
      <c r="E51" s="24"/>
      <c r="F51" s="25"/>
      <c r="G51" s="26">
        <f>G48/10+G49+G50</f>
        <v>2864</v>
      </c>
      <c r="H51" s="36"/>
    </row>
    <row r="52" spans="1:8" ht="15.75">
      <c r="A52" s="1"/>
      <c r="B52" s="17"/>
      <c r="C52" s="17"/>
      <c r="D52" s="27"/>
      <c r="E52" s="27"/>
      <c r="F52" s="28"/>
      <c r="G52" s="28"/>
      <c r="H52" s="36"/>
    </row>
    <row r="53" spans="1:8" ht="15.75">
      <c r="A53" s="5"/>
      <c r="B53" s="5"/>
      <c r="C53" s="5"/>
      <c r="D53" s="5"/>
      <c r="E53" s="5"/>
      <c r="F53" s="29"/>
      <c r="G53" s="5"/>
      <c r="H53" s="14"/>
    </row>
    <row r="54" spans="1:8" ht="15.75">
      <c r="A54" s="61" t="s">
        <v>104</v>
      </c>
      <c r="B54" s="61"/>
      <c r="C54" s="61"/>
      <c r="D54" s="61"/>
      <c r="E54" s="61"/>
      <c r="F54" s="61"/>
      <c r="G54" s="61"/>
      <c r="H54" s="14"/>
    </row>
    <row r="55" spans="1:8" ht="15.75">
      <c r="A55" s="5"/>
      <c r="B55" s="58"/>
      <c r="C55" s="58"/>
      <c r="D55" s="58"/>
      <c r="E55" s="53"/>
      <c r="F55" s="53"/>
      <c r="G55" s="53"/>
      <c r="H55" s="36"/>
    </row>
    <row r="56" spans="1:7" ht="15.75">
      <c r="A56" s="11" t="s">
        <v>149</v>
      </c>
      <c r="B56" s="11"/>
      <c r="C56" s="15" t="s">
        <v>67</v>
      </c>
      <c r="D56" s="15" t="s">
        <v>99</v>
      </c>
      <c r="E56" s="15" t="s">
        <v>100</v>
      </c>
      <c r="F56" s="15" t="s">
        <v>90</v>
      </c>
      <c r="G56" s="15" t="s">
        <v>89</v>
      </c>
    </row>
    <row r="57" spans="1:7" ht="15.75">
      <c r="A57" s="35" t="s">
        <v>85</v>
      </c>
      <c r="B57" s="35"/>
      <c r="C57" s="37">
        <v>1</v>
      </c>
      <c r="D57" s="37">
        <v>60</v>
      </c>
      <c r="E57" s="37">
        <v>60</v>
      </c>
      <c r="F57" s="7">
        <f>E57/$D$5</f>
        <v>6</v>
      </c>
      <c r="G57" s="7">
        <f>E57</f>
        <v>60</v>
      </c>
    </row>
    <row r="58" spans="1:7" ht="15.75">
      <c r="A58" s="35" t="s">
        <v>105</v>
      </c>
      <c r="B58" s="35"/>
      <c r="C58" s="37">
        <v>0.45</v>
      </c>
      <c r="D58" s="37">
        <v>575</v>
      </c>
      <c r="E58" s="7">
        <f>D58*C58</f>
        <v>258.75</v>
      </c>
      <c r="F58" s="7">
        <f>E58/$D$5</f>
        <v>25.875</v>
      </c>
      <c r="G58" s="7">
        <f>E58</f>
        <v>258.75</v>
      </c>
    </row>
    <row r="59" spans="1:7" ht="15.75">
      <c r="A59" s="35" t="s">
        <v>106</v>
      </c>
      <c r="B59" s="13"/>
      <c r="C59" s="37">
        <v>0.15</v>
      </c>
      <c r="D59" s="37">
        <v>840</v>
      </c>
      <c r="E59" s="7">
        <f>D59*C59</f>
        <v>126</v>
      </c>
      <c r="F59" s="7">
        <f>E59/$D$5</f>
        <v>12.6</v>
      </c>
      <c r="G59" s="7">
        <f>E59</f>
        <v>126</v>
      </c>
    </row>
    <row r="60" spans="1:7" ht="15.75">
      <c r="A60" s="70" t="s">
        <v>145</v>
      </c>
      <c r="B60" s="35"/>
      <c r="C60" s="37">
        <v>4</v>
      </c>
      <c r="D60" s="37">
        <v>70</v>
      </c>
      <c r="E60" s="7">
        <f>D60*C60</f>
        <v>280</v>
      </c>
      <c r="F60" s="7">
        <f>E60/$D$5</f>
        <v>28</v>
      </c>
      <c r="G60" s="7">
        <f>E60</f>
        <v>280</v>
      </c>
    </row>
    <row r="61" spans="1:7" ht="15.75">
      <c r="A61" s="49" t="s">
        <v>98</v>
      </c>
      <c r="B61" s="50"/>
      <c r="C61" s="51"/>
      <c r="D61" s="51"/>
      <c r="E61" s="25"/>
      <c r="F61" s="25"/>
      <c r="G61" s="26">
        <f>SUM(G57:G60)</f>
        <v>724.75</v>
      </c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8" ht="15.75">
      <c r="A64" s="11" t="s">
        <v>151</v>
      </c>
      <c r="B64" s="8"/>
      <c r="C64" s="15" t="s">
        <v>67</v>
      </c>
      <c r="D64" s="15" t="s">
        <v>99</v>
      </c>
      <c r="E64" s="15" t="s">
        <v>100</v>
      </c>
      <c r="F64" s="15" t="s">
        <v>90</v>
      </c>
      <c r="G64" s="15" t="s">
        <v>89</v>
      </c>
      <c r="H64" s="36"/>
    </row>
    <row r="65" spans="1:8" ht="15.75">
      <c r="A65" s="38" t="s">
        <v>102</v>
      </c>
      <c r="B65" s="38"/>
      <c r="C65" s="42">
        <v>0.5</v>
      </c>
      <c r="D65" s="42">
        <v>36</v>
      </c>
      <c r="E65" s="42">
        <f aca="true" t="shared" si="1" ref="E65:E72">D65*C65</f>
        <v>18</v>
      </c>
      <c r="F65" s="42">
        <f>E65/$D$5</f>
        <v>1.8</v>
      </c>
      <c r="G65" s="42">
        <f aca="true" t="shared" si="2" ref="G65:G71">F65*$D$5</f>
        <v>18</v>
      </c>
      <c r="H65" s="14"/>
    </row>
    <row r="66" spans="1:7" ht="15.75">
      <c r="A66" s="38" t="s">
        <v>138</v>
      </c>
      <c r="B66" s="38"/>
      <c r="C66" s="42">
        <v>1</v>
      </c>
      <c r="D66" s="42">
        <v>36</v>
      </c>
      <c r="E66" s="42">
        <f t="shared" si="1"/>
        <v>36</v>
      </c>
      <c r="F66" s="42">
        <f>E66/$D$5</f>
        <v>3.6</v>
      </c>
      <c r="G66" s="42">
        <f t="shared" si="2"/>
        <v>36</v>
      </c>
    </row>
    <row r="67" spans="1:7" ht="15.75">
      <c r="A67" s="38" t="s">
        <v>148</v>
      </c>
      <c r="B67" s="38"/>
      <c r="C67" s="42">
        <v>1</v>
      </c>
      <c r="D67" s="42">
        <v>36</v>
      </c>
      <c r="E67" s="42">
        <f t="shared" si="1"/>
        <v>36</v>
      </c>
      <c r="F67" s="42">
        <f>E67/$D$5</f>
        <v>3.6</v>
      </c>
      <c r="G67" s="42">
        <f>F67*$D$5</f>
        <v>36</v>
      </c>
    </row>
    <row r="68" spans="1:7" ht="15.75">
      <c r="A68" s="38" t="s">
        <v>146</v>
      </c>
      <c r="B68" s="38"/>
      <c r="C68" s="42">
        <v>1.5</v>
      </c>
      <c r="D68" s="42">
        <v>34</v>
      </c>
      <c r="E68" s="42">
        <f t="shared" si="1"/>
        <v>51</v>
      </c>
      <c r="F68" s="42">
        <f>E68</f>
        <v>51</v>
      </c>
      <c r="G68" s="42">
        <f t="shared" si="2"/>
        <v>510</v>
      </c>
    </row>
    <row r="69" spans="1:7" ht="15.75">
      <c r="A69" s="38" t="s">
        <v>147</v>
      </c>
      <c r="B69" s="38"/>
      <c r="C69" s="42">
        <v>1</v>
      </c>
      <c r="D69" s="42">
        <v>34</v>
      </c>
      <c r="E69" s="42">
        <f t="shared" si="1"/>
        <v>34</v>
      </c>
      <c r="F69" s="42">
        <f>E69</f>
        <v>34</v>
      </c>
      <c r="G69" s="42">
        <f t="shared" si="2"/>
        <v>340</v>
      </c>
    </row>
    <row r="70" spans="1:7" ht="15.75">
      <c r="A70" s="38" t="s">
        <v>154</v>
      </c>
      <c r="B70" s="38"/>
      <c r="C70" s="42">
        <v>0.5</v>
      </c>
      <c r="D70" s="42">
        <v>34</v>
      </c>
      <c r="E70" s="42">
        <f t="shared" si="1"/>
        <v>17</v>
      </c>
      <c r="F70" s="42">
        <f>E70</f>
        <v>17</v>
      </c>
      <c r="G70" s="42">
        <f t="shared" si="2"/>
        <v>170</v>
      </c>
    </row>
    <row r="71" spans="1:7" ht="15.75">
      <c r="A71" s="38" t="s">
        <v>156</v>
      </c>
      <c r="B71" s="38"/>
      <c r="C71" s="42">
        <v>1</v>
      </c>
      <c r="D71" s="42">
        <v>28</v>
      </c>
      <c r="E71" s="42">
        <f t="shared" si="1"/>
        <v>28</v>
      </c>
      <c r="F71" s="42">
        <f>E71</f>
        <v>28</v>
      </c>
      <c r="G71" s="42">
        <f t="shared" si="2"/>
        <v>280</v>
      </c>
    </row>
    <row r="72" spans="1:7" ht="15.75">
      <c r="A72" s="68" t="s">
        <v>157</v>
      </c>
      <c r="B72" s="68"/>
      <c r="C72" s="69">
        <v>1</v>
      </c>
      <c r="D72" s="69">
        <v>50</v>
      </c>
      <c r="E72" s="69">
        <f t="shared" si="1"/>
        <v>50</v>
      </c>
      <c r="F72" s="69">
        <f>E72</f>
        <v>50</v>
      </c>
      <c r="G72" s="69">
        <f>E72*$D$5</f>
        <v>500</v>
      </c>
    </row>
    <row r="73" spans="1:7" ht="15.75">
      <c r="A73" s="5"/>
      <c r="B73" s="5"/>
      <c r="C73" s="6"/>
      <c r="D73" s="6"/>
      <c r="E73" s="6"/>
      <c r="F73" s="6"/>
      <c r="G73" s="6"/>
    </row>
    <row r="74" spans="1:7" ht="15.75">
      <c r="A74" s="30" t="s">
        <v>21</v>
      </c>
      <c r="B74" s="30"/>
      <c r="C74" s="31"/>
      <c r="D74" s="31"/>
      <c r="E74" s="32"/>
      <c r="F74" s="32">
        <f>SUM(F65:F72)</f>
        <v>189</v>
      </c>
      <c r="G74" s="32">
        <f>SUM(G65:G72)</f>
        <v>1890</v>
      </c>
    </row>
    <row r="75" spans="1:7" ht="15.75">
      <c r="A75" s="5"/>
      <c r="B75" s="5"/>
      <c r="C75" s="6"/>
      <c r="D75" s="6"/>
      <c r="E75" s="6"/>
      <c r="F75" s="6"/>
      <c r="G75" s="6"/>
    </row>
    <row r="76" spans="1:7" ht="15.75">
      <c r="A76" s="47" t="s">
        <v>4</v>
      </c>
      <c r="B76" s="47"/>
      <c r="C76" s="47"/>
      <c r="D76" s="48"/>
      <c r="E76" s="48"/>
      <c r="F76" s="48"/>
      <c r="G76" s="48"/>
    </row>
    <row r="77" spans="1:7" ht="15.75">
      <c r="A77" s="22" t="s">
        <v>5</v>
      </c>
      <c r="B77" s="22"/>
      <c r="C77" s="24" t="s">
        <v>139</v>
      </c>
      <c r="D77" s="24" t="s">
        <v>140</v>
      </c>
      <c r="E77" s="24" t="s">
        <v>141</v>
      </c>
      <c r="F77" s="24" t="s">
        <v>142</v>
      </c>
      <c r="G77" s="24" t="s">
        <v>158</v>
      </c>
    </row>
    <row r="78" spans="1:7" ht="15.75">
      <c r="A78" s="5" t="s">
        <v>143</v>
      </c>
      <c r="B78" s="5"/>
      <c r="C78" s="7">
        <f>SUM(C79:C81)</f>
        <v>184.60589000000002</v>
      </c>
      <c r="D78" s="7">
        <f>C78/$D$5</f>
        <v>18.460589000000002</v>
      </c>
      <c r="E78" s="7">
        <f>C78/$D$11</f>
        <v>8.687336</v>
      </c>
      <c r="F78" s="66">
        <f>E78*$D$8/100</f>
        <v>3.9093012</v>
      </c>
      <c r="G78" s="7">
        <f>C78/$D$12</f>
        <v>1.8275983110000003</v>
      </c>
    </row>
    <row r="79" spans="1:7" ht="15.75">
      <c r="A79" s="63" t="s">
        <v>60</v>
      </c>
      <c r="B79" s="63"/>
      <c r="C79" s="64">
        <f>G27/D4</f>
        <v>148.471</v>
      </c>
      <c r="D79" s="64">
        <f aca="true" t="shared" si="3" ref="D79:D84">C79/$D$5</f>
        <v>14.847100000000001</v>
      </c>
      <c r="E79" s="64">
        <f aca="true" t="shared" si="4" ref="E79:E84">C79/$D$11</f>
        <v>6.986870588235294</v>
      </c>
      <c r="F79" s="67">
        <f aca="true" t="shared" si="5" ref="F79:F84">E79*$D$8/100</f>
        <v>3.1440917647058826</v>
      </c>
      <c r="G79" s="64">
        <f aca="true" t="shared" si="6" ref="G79:G84">C79/$D$12</f>
        <v>1.4698629</v>
      </c>
    </row>
    <row r="80" spans="1:7" ht="15.75">
      <c r="A80" s="63" t="s">
        <v>61</v>
      </c>
      <c r="B80" s="63"/>
      <c r="C80" s="64">
        <f>G36/D4</f>
        <v>24.743999999999996</v>
      </c>
      <c r="D80" s="64">
        <f t="shared" si="3"/>
        <v>2.4743999999999997</v>
      </c>
      <c r="E80" s="64">
        <f t="shared" si="4"/>
        <v>1.1644235294117646</v>
      </c>
      <c r="F80" s="67">
        <f t="shared" si="5"/>
        <v>0.5239905882352941</v>
      </c>
      <c r="G80" s="64">
        <f t="shared" si="6"/>
        <v>0.24496559999999995</v>
      </c>
    </row>
    <row r="81" spans="1:7" ht="15.75">
      <c r="A81" s="63" t="s">
        <v>62</v>
      </c>
      <c r="B81" s="63"/>
      <c r="C81" s="64">
        <f>G44/D4</f>
        <v>11.39089</v>
      </c>
      <c r="D81" s="64">
        <f t="shared" si="3"/>
        <v>1.139089</v>
      </c>
      <c r="E81" s="64">
        <f t="shared" si="4"/>
        <v>0.5360418823529413</v>
      </c>
      <c r="F81" s="67">
        <f t="shared" si="5"/>
        <v>0.24121884705882354</v>
      </c>
      <c r="G81" s="64">
        <f t="shared" si="6"/>
        <v>0.11276981100000001</v>
      </c>
    </row>
    <row r="82" spans="1:7" ht="15.75">
      <c r="A82" s="5" t="s">
        <v>78</v>
      </c>
      <c r="B82" s="5"/>
      <c r="C82" s="7">
        <f>G51</f>
        <v>2864</v>
      </c>
      <c r="D82" s="7">
        <f t="shared" si="3"/>
        <v>286.4</v>
      </c>
      <c r="E82" s="7">
        <f t="shared" si="4"/>
        <v>134.7764705882353</v>
      </c>
      <c r="F82" s="66">
        <f t="shared" si="5"/>
        <v>60.64941176470588</v>
      </c>
      <c r="G82" s="7">
        <f t="shared" si="6"/>
        <v>28.3536</v>
      </c>
    </row>
    <row r="83" spans="1:7" ht="15.75">
      <c r="A83" s="5" t="s">
        <v>144</v>
      </c>
      <c r="B83" s="5"/>
      <c r="C83" s="7">
        <f>G74</f>
        <v>1890</v>
      </c>
      <c r="D83" s="7">
        <f t="shared" si="3"/>
        <v>189</v>
      </c>
      <c r="E83" s="7">
        <f t="shared" si="4"/>
        <v>88.94117647058823</v>
      </c>
      <c r="F83" s="66">
        <f t="shared" si="5"/>
        <v>40.023529411764706</v>
      </c>
      <c r="G83" s="7">
        <f t="shared" si="6"/>
        <v>18.711</v>
      </c>
    </row>
    <row r="84" spans="1:7" ht="15.75">
      <c r="A84" s="5" t="s">
        <v>152</v>
      </c>
      <c r="B84" s="5"/>
      <c r="C84" s="7">
        <f>G61</f>
        <v>724.75</v>
      </c>
      <c r="D84" s="7">
        <f t="shared" si="3"/>
        <v>72.475</v>
      </c>
      <c r="E84" s="7">
        <f t="shared" si="4"/>
        <v>34.10588235294118</v>
      </c>
      <c r="F84" s="66">
        <f t="shared" si="5"/>
        <v>15.347647058823531</v>
      </c>
      <c r="G84" s="7">
        <f t="shared" si="6"/>
        <v>7.175025</v>
      </c>
    </row>
    <row r="85" spans="1:7" ht="15.75">
      <c r="A85" s="23" t="s">
        <v>3</v>
      </c>
      <c r="B85" s="22"/>
      <c r="C85" s="26">
        <f>SUM(C79,C82:C84)</f>
        <v>5627.221</v>
      </c>
      <c r="D85" s="26">
        <f>SUM(D78,D82:D84)</f>
        <v>566.335589</v>
      </c>
      <c r="E85" s="26">
        <f>SUM(E78,E82:E84)</f>
        <v>266.5108654117647</v>
      </c>
      <c r="F85" s="26">
        <f>SUM(F78,F82:F84)</f>
        <v>119.92988943529411</v>
      </c>
      <c r="G85" s="26">
        <f>SUM(G78,G82:G84)</f>
        <v>56.067223311</v>
      </c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="111" zoomScaleNormal="111" zoomScalePageLayoutView="0" workbookViewId="0" topLeftCell="A22">
      <selection activeCell="C74" sqref="C74"/>
    </sheetView>
  </sheetViews>
  <sheetFormatPr defaultColWidth="9.140625" defaultRowHeight="12.75"/>
  <cols>
    <col min="1" max="1" width="16.28125" style="0" customWidth="1"/>
    <col min="2" max="2" width="14.140625" style="0" customWidth="1"/>
    <col min="3" max="3" width="19.28125" style="0" customWidth="1"/>
    <col min="4" max="4" width="10.8515625" style="0" bestFit="1" customWidth="1"/>
    <col min="5" max="6" width="11.28125" style="0" customWidth="1"/>
    <col min="7" max="7" width="13.00390625" style="0" customWidth="1"/>
    <col min="8" max="8" width="12.8515625" style="0" bestFit="1" customWidth="1"/>
  </cols>
  <sheetData>
    <row r="1" spans="1:7" ht="15.75">
      <c r="A1" s="134" t="s">
        <v>63</v>
      </c>
      <c r="B1" s="134"/>
      <c r="C1" s="134"/>
      <c r="D1" s="134"/>
      <c r="E1" s="134"/>
      <c r="F1" s="134"/>
      <c r="G1" s="5"/>
    </row>
    <row r="2" spans="1:7" ht="15.75">
      <c r="A2" s="5"/>
      <c r="B2" s="5"/>
      <c r="C2" s="5"/>
      <c r="D2" s="4"/>
      <c r="E2" s="4"/>
      <c r="F2" s="5"/>
      <c r="G2" s="5"/>
    </row>
    <row r="3" spans="1:7" ht="15.75">
      <c r="A3" s="4"/>
      <c r="B3" s="4"/>
      <c r="C3" s="4"/>
      <c r="D3" s="5"/>
      <c r="E3" s="5"/>
      <c r="F3" s="5"/>
      <c r="G3" s="5"/>
    </row>
    <row r="4" spans="1:7" ht="15.75">
      <c r="A4" s="16" t="s">
        <v>6</v>
      </c>
      <c r="B4" s="16"/>
      <c r="C4" s="16"/>
      <c r="D4" s="16" t="s">
        <v>7</v>
      </c>
      <c r="E4" s="5"/>
      <c r="F4" s="5"/>
      <c r="G4" s="5"/>
    </row>
    <row r="5" spans="1:7" ht="15.75">
      <c r="A5" s="17" t="s">
        <v>0</v>
      </c>
      <c r="B5" s="17"/>
      <c r="C5" s="17"/>
      <c r="D5" s="17" t="s">
        <v>8</v>
      </c>
      <c r="E5" s="5"/>
      <c r="F5" s="5"/>
      <c r="G5" s="5"/>
    </row>
    <row r="6" spans="1:7" ht="15.75">
      <c r="A6" s="17" t="s">
        <v>9</v>
      </c>
      <c r="B6" s="17"/>
      <c r="C6" s="17"/>
      <c r="D6" s="17" t="s">
        <v>10</v>
      </c>
      <c r="E6" s="5"/>
      <c r="F6" s="5"/>
      <c r="G6" s="5"/>
    </row>
    <row r="7" spans="1:7" ht="15.75">
      <c r="A7" s="18" t="s">
        <v>1</v>
      </c>
      <c r="B7" s="18"/>
      <c r="C7" s="18"/>
      <c r="D7" s="19">
        <v>38261</v>
      </c>
      <c r="E7" s="5"/>
      <c r="F7" s="5"/>
      <c r="G7" s="5"/>
    </row>
    <row r="8" spans="1:7" ht="15.75">
      <c r="A8" s="5"/>
      <c r="B8" s="5"/>
      <c r="C8" s="5"/>
      <c r="D8" s="5"/>
      <c r="E8" s="5"/>
      <c r="F8" s="5"/>
      <c r="G8" s="5"/>
    </row>
    <row r="9" spans="1:7" ht="15.75">
      <c r="A9" s="20" t="s">
        <v>2</v>
      </c>
      <c r="B9" s="20"/>
      <c r="C9" s="20"/>
      <c r="D9" s="5"/>
      <c r="E9" s="5"/>
      <c r="F9" s="5"/>
      <c r="G9" s="5"/>
    </row>
    <row r="10" spans="1:7" ht="15.75">
      <c r="A10" s="38" t="s">
        <v>110</v>
      </c>
      <c r="B10" s="38"/>
      <c r="C10" s="38"/>
      <c r="D10" s="39">
        <v>25</v>
      </c>
      <c r="E10" s="5"/>
      <c r="F10" s="5"/>
      <c r="G10" s="5"/>
    </row>
    <row r="11" spans="1:7" ht="15.75">
      <c r="A11" s="38" t="s">
        <v>109</v>
      </c>
      <c r="B11" s="38"/>
      <c r="C11" s="38"/>
      <c r="D11" s="57">
        <v>27</v>
      </c>
      <c r="E11" s="5"/>
      <c r="F11" s="5"/>
      <c r="G11" s="5"/>
    </row>
    <row r="12" spans="1:7" ht="15.75">
      <c r="A12" s="5" t="s">
        <v>11</v>
      </c>
      <c r="B12" s="5"/>
      <c r="C12" s="5"/>
      <c r="D12" s="3">
        <v>10</v>
      </c>
      <c r="E12" s="5"/>
      <c r="F12" s="5"/>
      <c r="G12" s="5"/>
    </row>
    <row r="13" spans="1:7" ht="15.75">
      <c r="A13" s="38" t="s">
        <v>135</v>
      </c>
      <c r="B13" s="38"/>
      <c r="C13" s="38"/>
      <c r="D13" s="39">
        <v>10</v>
      </c>
      <c r="E13" s="5"/>
      <c r="F13" s="5"/>
      <c r="G13" s="5"/>
    </row>
    <row r="14" spans="1:7" ht="15.75">
      <c r="A14" s="5" t="s">
        <v>13</v>
      </c>
      <c r="B14" s="5"/>
      <c r="C14" s="5"/>
      <c r="D14" s="3" t="s">
        <v>64</v>
      </c>
      <c r="E14" s="5"/>
      <c r="F14" s="5"/>
      <c r="G14" s="5"/>
    </row>
    <row r="15" spans="1:7" ht="15.75">
      <c r="A15" s="38" t="s">
        <v>14</v>
      </c>
      <c r="B15" s="38"/>
      <c r="C15" s="38"/>
      <c r="D15" s="39" t="s">
        <v>108</v>
      </c>
      <c r="E15" s="5"/>
      <c r="F15" s="5"/>
      <c r="G15" s="5"/>
    </row>
    <row r="16" spans="1:7" ht="15.75">
      <c r="A16" s="5" t="s">
        <v>16</v>
      </c>
      <c r="B16" s="5"/>
      <c r="C16" s="5"/>
      <c r="D16" s="21">
        <v>0.2</v>
      </c>
      <c r="E16" s="5"/>
      <c r="F16" s="5"/>
      <c r="G16" s="5"/>
    </row>
    <row r="17" spans="1:7" ht="15.75">
      <c r="A17" s="5" t="s">
        <v>17</v>
      </c>
      <c r="B17" s="5"/>
      <c r="C17" s="5"/>
      <c r="D17" s="21">
        <v>0.63</v>
      </c>
      <c r="E17" s="5"/>
      <c r="F17" s="5"/>
      <c r="G17" s="5"/>
    </row>
    <row r="18" spans="1:7" ht="15.75">
      <c r="A18" s="5" t="s">
        <v>87</v>
      </c>
      <c r="B18" s="5"/>
      <c r="C18" s="5"/>
      <c r="D18" s="21">
        <v>0.87</v>
      </c>
      <c r="E18" s="5"/>
      <c r="F18" s="5"/>
      <c r="G18" s="5"/>
    </row>
    <row r="19" spans="1:7" ht="15.75">
      <c r="A19" s="38" t="s">
        <v>111</v>
      </c>
      <c r="B19" s="38"/>
      <c r="C19" s="38"/>
      <c r="D19" s="40">
        <f>D10*(1-D11/100)*1.13</f>
        <v>20.6225</v>
      </c>
      <c r="E19" s="5"/>
      <c r="F19" s="5"/>
      <c r="G19" s="5"/>
    </row>
    <row r="20" spans="1:7" ht="15.75">
      <c r="A20" s="38" t="s">
        <v>112</v>
      </c>
      <c r="B20" s="38"/>
      <c r="C20" s="38"/>
      <c r="D20" s="40">
        <f>D19/15*1000</f>
        <v>1374.8333333333333</v>
      </c>
      <c r="E20" s="5"/>
      <c r="F20" s="5"/>
      <c r="G20" s="5"/>
    </row>
    <row r="21" spans="1:7" ht="15.75">
      <c r="A21" s="5"/>
      <c r="B21" s="5"/>
      <c r="C21" s="5"/>
      <c r="D21" s="5"/>
      <c r="E21" s="5"/>
      <c r="F21" s="5"/>
      <c r="G21" s="5"/>
    </row>
    <row r="22" spans="1:7" ht="15.75">
      <c r="A22" s="11" t="s">
        <v>137</v>
      </c>
      <c r="B22" s="11"/>
      <c r="C22" s="11"/>
      <c r="D22" s="11"/>
      <c r="E22" s="8"/>
      <c r="F22" s="8"/>
      <c r="G22" s="8"/>
    </row>
    <row r="23" spans="1:7" ht="15.75">
      <c r="A23" s="22" t="s">
        <v>65</v>
      </c>
      <c r="B23" s="22"/>
      <c r="C23" s="22"/>
      <c r="D23" s="22" t="s">
        <v>66</v>
      </c>
      <c r="E23" s="22" t="s">
        <v>67</v>
      </c>
      <c r="F23" s="22" t="s">
        <v>68</v>
      </c>
      <c r="G23" s="24" t="s">
        <v>100</v>
      </c>
    </row>
    <row r="24" spans="1:7" s="56" customFormat="1" ht="15.75">
      <c r="A24" s="53" t="s">
        <v>120</v>
      </c>
      <c r="B24" s="53"/>
      <c r="C24" s="53"/>
      <c r="D24" s="54" t="s">
        <v>19</v>
      </c>
      <c r="E24" s="54">
        <v>4</v>
      </c>
      <c r="F24" s="55">
        <v>60</v>
      </c>
      <c r="G24" s="55">
        <f>E24*F24</f>
        <v>240</v>
      </c>
    </row>
    <row r="25" spans="1:7" s="56" customFormat="1" ht="15.75">
      <c r="A25" s="53" t="s">
        <v>121</v>
      </c>
      <c r="B25" s="53"/>
      <c r="C25" s="53"/>
      <c r="D25" s="54" t="s">
        <v>19</v>
      </c>
      <c r="E25" s="54">
        <v>0.45</v>
      </c>
      <c r="F25" s="55">
        <v>575</v>
      </c>
      <c r="G25" s="55">
        <f aca="true" t="shared" si="0" ref="G25:G33">E25*F25</f>
        <v>258.75</v>
      </c>
    </row>
    <row r="26" spans="1:7" s="56" customFormat="1" ht="15.75">
      <c r="A26" s="53" t="s">
        <v>122</v>
      </c>
      <c r="B26" s="53"/>
      <c r="C26" s="53"/>
      <c r="D26" s="54" t="s">
        <v>19</v>
      </c>
      <c r="E26" s="54">
        <v>0.2</v>
      </c>
      <c r="F26" s="55">
        <v>840</v>
      </c>
      <c r="G26" s="55">
        <f t="shared" si="0"/>
        <v>168</v>
      </c>
    </row>
    <row r="27" spans="1:7" ht="15.75">
      <c r="A27" s="38" t="s">
        <v>118</v>
      </c>
      <c r="B27" s="38"/>
      <c r="C27" s="38"/>
      <c r="D27" s="41" t="s">
        <v>19</v>
      </c>
      <c r="E27" s="41">
        <v>0.03</v>
      </c>
      <c r="F27" s="42">
        <v>80</v>
      </c>
      <c r="G27" s="42">
        <f t="shared" si="0"/>
        <v>2.4</v>
      </c>
    </row>
    <row r="28" spans="1:7" ht="15.75">
      <c r="A28" s="38" t="s">
        <v>119</v>
      </c>
      <c r="B28" s="38"/>
      <c r="C28" s="38"/>
      <c r="D28" s="41" t="s">
        <v>19</v>
      </c>
      <c r="E28" s="41">
        <v>0.02</v>
      </c>
      <c r="F28" s="42">
        <v>93</v>
      </c>
      <c r="G28" s="42">
        <f t="shared" si="0"/>
        <v>1.86</v>
      </c>
    </row>
    <row r="29" spans="1:7" ht="15.75">
      <c r="A29" s="38" t="s">
        <v>103</v>
      </c>
      <c r="B29" s="38"/>
      <c r="C29" s="38"/>
      <c r="D29" s="41" t="s">
        <v>19</v>
      </c>
      <c r="E29" s="41">
        <v>0.02</v>
      </c>
      <c r="F29" s="42">
        <v>135</v>
      </c>
      <c r="G29" s="42">
        <f t="shared" si="0"/>
        <v>2.7</v>
      </c>
    </row>
    <row r="30" spans="1:7" s="56" customFormat="1" ht="15.75">
      <c r="A30" s="53" t="s">
        <v>123</v>
      </c>
      <c r="B30" s="53"/>
      <c r="C30" s="53"/>
      <c r="D30" s="54" t="s">
        <v>15</v>
      </c>
      <c r="E30" s="54">
        <v>15</v>
      </c>
      <c r="F30" s="55">
        <v>45</v>
      </c>
      <c r="G30" s="55">
        <f>E30*F30</f>
        <v>675</v>
      </c>
    </row>
    <row r="31" spans="1:7" ht="15.75">
      <c r="A31" s="5" t="s">
        <v>132</v>
      </c>
      <c r="B31" s="5"/>
      <c r="C31" s="5"/>
      <c r="D31" s="6" t="s">
        <v>20</v>
      </c>
      <c r="E31" s="6">
        <v>2</v>
      </c>
      <c r="F31" s="7">
        <v>18</v>
      </c>
      <c r="G31" s="7">
        <f t="shared" si="0"/>
        <v>36</v>
      </c>
    </row>
    <row r="32" spans="1:7" ht="15.75">
      <c r="A32" s="5" t="s">
        <v>133</v>
      </c>
      <c r="B32" s="5"/>
      <c r="C32" s="5"/>
      <c r="D32" s="6" t="s">
        <v>20</v>
      </c>
      <c r="E32" s="6">
        <v>1</v>
      </c>
      <c r="F32" s="7">
        <v>70</v>
      </c>
      <c r="G32" s="7">
        <f t="shared" si="0"/>
        <v>70</v>
      </c>
    </row>
    <row r="33" spans="1:7" ht="15.75">
      <c r="A33" s="38" t="s">
        <v>86</v>
      </c>
      <c r="B33" s="38"/>
      <c r="C33" s="38"/>
      <c r="D33" s="41" t="s">
        <v>19</v>
      </c>
      <c r="E33" s="41">
        <v>0.5</v>
      </c>
      <c r="F33" s="42">
        <v>60</v>
      </c>
      <c r="G33" s="42">
        <f t="shared" si="0"/>
        <v>30</v>
      </c>
    </row>
    <row r="34" spans="1:7" ht="15.75">
      <c r="A34" s="23" t="s">
        <v>21</v>
      </c>
      <c r="B34" s="22"/>
      <c r="C34" s="22"/>
      <c r="D34" s="24"/>
      <c r="E34" s="24"/>
      <c r="F34" s="25"/>
      <c r="G34" s="26">
        <f>SUM(G24:G33)</f>
        <v>1484.71</v>
      </c>
    </row>
    <row r="35" spans="1:7" ht="15.75">
      <c r="A35" s="17"/>
      <c r="B35" s="17"/>
      <c r="C35" s="17"/>
      <c r="D35" s="27"/>
      <c r="E35" s="27"/>
      <c r="F35" s="28"/>
      <c r="G35" s="28"/>
    </row>
    <row r="36" spans="1:7" ht="15.75">
      <c r="A36" s="11" t="s">
        <v>22</v>
      </c>
      <c r="B36" s="11"/>
      <c r="C36" s="11"/>
      <c r="D36" s="9"/>
      <c r="E36" s="9"/>
      <c r="F36" s="10"/>
      <c r="G36" s="10"/>
    </row>
    <row r="37" spans="1:7" ht="15.75">
      <c r="A37" s="22" t="s">
        <v>65</v>
      </c>
      <c r="B37" s="22"/>
      <c r="C37" s="22"/>
      <c r="D37" s="24" t="s">
        <v>66</v>
      </c>
      <c r="E37" s="24" t="s">
        <v>67</v>
      </c>
      <c r="F37" s="24" t="s">
        <v>68</v>
      </c>
      <c r="G37" s="24" t="s">
        <v>100</v>
      </c>
    </row>
    <row r="38" spans="1:7" ht="15.75">
      <c r="A38" s="5" t="s">
        <v>101</v>
      </c>
      <c r="B38" s="5"/>
      <c r="C38" s="5"/>
      <c r="D38" s="6" t="s">
        <v>23</v>
      </c>
      <c r="E38" s="7">
        <v>3</v>
      </c>
      <c r="F38" s="7">
        <v>36.4</v>
      </c>
      <c r="G38" s="7">
        <f>E38*F38</f>
        <v>109.19999999999999</v>
      </c>
    </row>
    <row r="39" spans="1:7" ht="15.75">
      <c r="A39" s="5" t="s">
        <v>124</v>
      </c>
      <c r="B39" s="5"/>
      <c r="C39" s="5"/>
      <c r="D39" s="6" t="s">
        <v>23</v>
      </c>
      <c r="E39" s="7">
        <v>0.95</v>
      </c>
      <c r="F39" s="7">
        <v>36</v>
      </c>
      <c r="G39" s="7">
        <f>E39*F39</f>
        <v>34.199999999999996</v>
      </c>
    </row>
    <row r="40" spans="1:7" ht="15.75">
      <c r="A40" s="5" t="s">
        <v>125</v>
      </c>
      <c r="B40" s="5"/>
      <c r="C40" s="5"/>
      <c r="D40" s="6" t="s">
        <v>23</v>
      </c>
      <c r="E40" s="7">
        <v>0.29</v>
      </c>
      <c r="F40" s="7">
        <v>36</v>
      </c>
      <c r="G40" s="7">
        <f>E40*F40</f>
        <v>10.44</v>
      </c>
    </row>
    <row r="41" spans="1:7" ht="15.75">
      <c r="A41" s="5" t="s">
        <v>126</v>
      </c>
      <c r="B41" s="5"/>
      <c r="C41" s="5"/>
      <c r="D41" s="6" t="s">
        <v>23</v>
      </c>
      <c r="E41" s="7">
        <v>0.29</v>
      </c>
      <c r="F41" s="7">
        <v>36</v>
      </c>
      <c r="G41" s="7">
        <f>E41*F41</f>
        <v>10.44</v>
      </c>
    </row>
    <row r="42" spans="1:7" ht="15.75">
      <c r="A42" s="5" t="s">
        <v>127</v>
      </c>
      <c r="B42" s="5"/>
      <c r="C42" s="5"/>
      <c r="D42" s="6" t="s">
        <v>23</v>
      </c>
      <c r="E42" s="7">
        <v>2.2</v>
      </c>
      <c r="F42" s="7">
        <v>37.8</v>
      </c>
      <c r="G42" s="7">
        <f>E42*F42</f>
        <v>83.16</v>
      </c>
    </row>
    <row r="43" spans="1:7" ht="15.75">
      <c r="A43" s="23" t="s">
        <v>21</v>
      </c>
      <c r="B43" s="22"/>
      <c r="C43" s="22"/>
      <c r="D43" s="24"/>
      <c r="E43" s="24"/>
      <c r="F43" s="25"/>
      <c r="G43" s="26">
        <f>SUM(G38:G42)</f>
        <v>247.43999999999997</v>
      </c>
    </row>
    <row r="44" spans="1:7" ht="15.75">
      <c r="A44" s="1"/>
      <c r="B44" s="17"/>
      <c r="C44" s="17"/>
      <c r="D44" s="27"/>
      <c r="E44" s="27"/>
      <c r="F44" s="28"/>
      <c r="G44" s="2"/>
    </row>
    <row r="45" spans="1:7" ht="15.75">
      <c r="A45" s="11" t="s">
        <v>27</v>
      </c>
      <c r="B45" s="11"/>
      <c r="C45" s="8"/>
      <c r="D45" s="9"/>
      <c r="E45" s="9"/>
      <c r="F45" s="10"/>
      <c r="G45" s="10"/>
    </row>
    <row r="46" spans="1:7" ht="15.75">
      <c r="A46" s="22" t="s">
        <v>65</v>
      </c>
      <c r="B46" s="22"/>
      <c r="C46" s="22"/>
      <c r="D46" s="24" t="s">
        <v>66</v>
      </c>
      <c r="E46" s="24" t="s">
        <v>67</v>
      </c>
      <c r="F46" s="24" t="s">
        <v>68</v>
      </c>
      <c r="G46" s="24" t="s">
        <v>100</v>
      </c>
    </row>
    <row r="47" spans="1:7" ht="15.75">
      <c r="A47" s="5" t="s">
        <v>128</v>
      </c>
      <c r="B47" s="5"/>
      <c r="C47" s="5"/>
      <c r="D47" s="6" t="s">
        <v>23</v>
      </c>
      <c r="E47" s="6">
        <v>0.37</v>
      </c>
      <c r="F47" s="7">
        <v>36</v>
      </c>
      <c r="G47" s="7">
        <f>F47*E47</f>
        <v>13.32</v>
      </c>
    </row>
    <row r="48" spans="1:7" ht="15.75">
      <c r="A48" s="5" t="s">
        <v>129</v>
      </c>
      <c r="B48" s="5"/>
      <c r="C48" s="5"/>
      <c r="D48" s="6" t="s">
        <v>23</v>
      </c>
      <c r="E48" s="6">
        <v>1.11</v>
      </c>
      <c r="F48" s="7">
        <v>37.8</v>
      </c>
      <c r="G48" s="7">
        <f>F48*E48</f>
        <v>41.958</v>
      </c>
    </row>
    <row r="49" spans="1:7" ht="15.75">
      <c r="A49" s="5" t="s">
        <v>130</v>
      </c>
      <c r="B49" s="5"/>
      <c r="C49" s="5"/>
      <c r="D49" s="6" t="s">
        <v>23</v>
      </c>
      <c r="E49" s="6">
        <v>1.19</v>
      </c>
      <c r="F49" s="7">
        <v>37.98</v>
      </c>
      <c r="G49" s="7">
        <f>F49*E49</f>
        <v>45.1962</v>
      </c>
    </row>
    <row r="50" spans="1:7" ht="15.75">
      <c r="A50" s="5" t="s">
        <v>131</v>
      </c>
      <c r="B50" s="5"/>
      <c r="C50" s="5"/>
      <c r="D50" s="6" t="s">
        <v>23</v>
      </c>
      <c r="E50" s="6">
        <v>0.37</v>
      </c>
      <c r="F50" s="7">
        <v>36.31</v>
      </c>
      <c r="G50" s="7">
        <f>F50*E50</f>
        <v>13.434700000000001</v>
      </c>
    </row>
    <row r="51" spans="1:7" ht="15.75">
      <c r="A51" s="23" t="s">
        <v>21</v>
      </c>
      <c r="B51" s="22"/>
      <c r="C51" s="22"/>
      <c r="D51" s="24"/>
      <c r="E51" s="24"/>
      <c r="F51" s="25"/>
      <c r="G51" s="26">
        <f>SUM(G47:G50)</f>
        <v>113.9089</v>
      </c>
    </row>
    <row r="52" spans="1:7" ht="15.75">
      <c r="A52" s="1"/>
      <c r="B52" s="17"/>
      <c r="C52" s="17"/>
      <c r="D52" s="27"/>
      <c r="E52" s="27"/>
      <c r="F52" s="28"/>
      <c r="G52" s="2"/>
    </row>
    <row r="53" spans="1:7" ht="15.75">
      <c r="A53" s="11" t="s">
        <v>78</v>
      </c>
      <c r="B53" s="8"/>
      <c r="C53" s="8"/>
      <c r="D53" s="9"/>
      <c r="E53" s="9"/>
      <c r="F53" s="10"/>
      <c r="G53" s="12"/>
    </row>
    <row r="54" spans="1:7" ht="15.75">
      <c r="A54" s="22" t="s">
        <v>79</v>
      </c>
      <c r="B54" s="22"/>
      <c r="C54" s="22"/>
      <c r="D54" s="24" t="s">
        <v>66</v>
      </c>
      <c r="E54" s="24" t="s">
        <v>67</v>
      </c>
      <c r="F54" s="25" t="s">
        <v>80</v>
      </c>
      <c r="G54" s="25" t="s">
        <v>100</v>
      </c>
    </row>
    <row r="55" spans="1:7" ht="15.75">
      <c r="A55" s="17" t="s">
        <v>113</v>
      </c>
      <c r="B55" s="17"/>
      <c r="C55" s="17"/>
      <c r="D55" s="27" t="s">
        <v>81</v>
      </c>
      <c r="E55" s="27">
        <v>1</v>
      </c>
      <c r="F55" s="28">
        <v>5000</v>
      </c>
      <c r="G55" s="28">
        <f>E55*F55</f>
        <v>5000</v>
      </c>
    </row>
    <row r="56" spans="1:7" ht="15.75">
      <c r="A56" s="35" t="s">
        <v>88</v>
      </c>
      <c r="B56" s="35"/>
      <c r="C56" s="35"/>
      <c r="D56" s="62" t="s">
        <v>81</v>
      </c>
      <c r="E56" s="62">
        <v>1</v>
      </c>
      <c r="F56" s="37">
        <v>250</v>
      </c>
      <c r="G56" s="37">
        <f>E56*F56</f>
        <v>250</v>
      </c>
    </row>
    <row r="57" spans="1:7" ht="15.75">
      <c r="A57" s="35" t="s">
        <v>117</v>
      </c>
      <c r="B57" s="13"/>
      <c r="C57" s="13"/>
      <c r="D57" s="62" t="s">
        <v>81</v>
      </c>
      <c r="E57" s="62">
        <v>1</v>
      </c>
      <c r="F57" s="37">
        <v>2114</v>
      </c>
      <c r="G57" s="37">
        <f>E57*F57</f>
        <v>2114</v>
      </c>
    </row>
    <row r="58" spans="1:7" ht="15.75">
      <c r="A58" s="23" t="s">
        <v>136</v>
      </c>
      <c r="B58" s="22"/>
      <c r="C58" s="22"/>
      <c r="D58" s="24"/>
      <c r="E58" s="24"/>
      <c r="F58" s="25"/>
      <c r="G58" s="26">
        <f>G55/10+G56+G57</f>
        <v>2864</v>
      </c>
    </row>
    <row r="59" spans="1:7" ht="15.75">
      <c r="A59" s="1"/>
      <c r="B59" s="17"/>
      <c r="C59" s="17"/>
      <c r="D59" s="27"/>
      <c r="E59" s="27"/>
      <c r="F59" s="28"/>
      <c r="G59" s="28"/>
    </row>
    <row r="60" spans="1:7" ht="15.75">
      <c r="A60" s="5"/>
      <c r="B60" s="5"/>
      <c r="C60" s="5"/>
      <c r="D60" s="5"/>
      <c r="E60" s="5"/>
      <c r="F60" s="29"/>
      <c r="G60" s="5"/>
    </row>
    <row r="61" spans="1:7" ht="15.75">
      <c r="A61" s="135" t="s">
        <v>104</v>
      </c>
      <c r="B61" s="135"/>
      <c r="C61" s="135"/>
      <c r="D61" s="135"/>
      <c r="E61" s="135"/>
      <c r="F61" s="135"/>
      <c r="G61" s="135"/>
    </row>
    <row r="62" spans="1:7" ht="15.75">
      <c r="A62" s="5"/>
      <c r="B62" s="58"/>
      <c r="C62" s="58"/>
      <c r="D62" s="58"/>
      <c r="E62" s="53"/>
      <c r="F62" s="53"/>
      <c r="G62" s="53"/>
    </row>
    <row r="63" spans="1:7" ht="15.75">
      <c r="A63" s="11" t="s">
        <v>150</v>
      </c>
      <c r="B63" s="11"/>
      <c r="C63" s="15" t="s">
        <v>67</v>
      </c>
      <c r="D63" s="15" t="s">
        <v>99</v>
      </c>
      <c r="E63" s="15" t="s">
        <v>100</v>
      </c>
      <c r="F63" s="15" t="s">
        <v>90</v>
      </c>
      <c r="G63" s="15" t="s">
        <v>89</v>
      </c>
    </row>
    <row r="64" spans="1:7" ht="15.75">
      <c r="A64" s="35" t="s">
        <v>85</v>
      </c>
      <c r="B64" s="35"/>
      <c r="C64" s="37">
        <v>1</v>
      </c>
      <c r="D64" s="37">
        <v>60</v>
      </c>
      <c r="E64" s="37">
        <v>60</v>
      </c>
      <c r="F64" s="7">
        <f>E64/$D$12</f>
        <v>6</v>
      </c>
      <c r="G64" s="7">
        <f>F64*$D$12</f>
        <v>60</v>
      </c>
    </row>
    <row r="65" spans="1:7" ht="15.75">
      <c r="A65" s="35" t="s">
        <v>105</v>
      </c>
      <c r="B65" s="35"/>
      <c r="C65" s="37">
        <v>0.45</v>
      </c>
      <c r="D65" s="37">
        <v>575</v>
      </c>
      <c r="E65" s="7">
        <f>D65*C65</f>
        <v>258.75</v>
      </c>
      <c r="F65" s="7">
        <f>E65/$D$12</f>
        <v>25.875</v>
      </c>
      <c r="G65" s="7">
        <f>F65*$D$12</f>
        <v>258.75</v>
      </c>
    </row>
    <row r="66" spans="1:7" ht="15.75">
      <c r="A66" s="35" t="s">
        <v>106</v>
      </c>
      <c r="B66" s="13"/>
      <c r="C66" s="37">
        <v>0.15</v>
      </c>
      <c r="D66" s="37">
        <v>840</v>
      </c>
      <c r="E66" s="7">
        <f>D66*C66</f>
        <v>126</v>
      </c>
      <c r="F66" s="7">
        <f>E66/$D$12</f>
        <v>12.6</v>
      </c>
      <c r="G66" s="7">
        <f>F66*$D$12</f>
        <v>126</v>
      </c>
    </row>
    <row r="67" spans="1:7" ht="15.75">
      <c r="A67" s="35" t="s">
        <v>145</v>
      </c>
      <c r="B67" s="35"/>
      <c r="C67" s="37">
        <v>4</v>
      </c>
      <c r="D67" s="37">
        <v>70</v>
      </c>
      <c r="E67" s="7">
        <f>D67*C67</f>
        <v>280</v>
      </c>
      <c r="F67" s="7">
        <f>E67/$D$12</f>
        <v>28</v>
      </c>
      <c r="G67" s="7">
        <f>F67*$D$12</f>
        <v>280</v>
      </c>
    </row>
    <row r="68" spans="1:7" ht="15.75">
      <c r="A68" s="49" t="s">
        <v>21</v>
      </c>
      <c r="B68" s="50"/>
      <c r="C68" s="51"/>
      <c r="D68" s="51"/>
      <c r="E68" s="25"/>
      <c r="F68" s="25"/>
      <c r="G68" s="26">
        <f>SUM(G64:G67)</f>
        <v>724.75</v>
      </c>
    </row>
    <row r="69" spans="1:7" ht="15.75">
      <c r="A69" s="35"/>
      <c r="B69" s="35"/>
      <c r="C69" s="14"/>
      <c r="D69" s="14"/>
      <c r="E69" s="28"/>
      <c r="F69" s="28"/>
      <c r="G69" s="28"/>
    </row>
    <row r="70" spans="1:7" ht="15.75">
      <c r="A70" s="11" t="s">
        <v>151</v>
      </c>
      <c r="B70" s="8"/>
      <c r="C70" s="15" t="s">
        <v>67</v>
      </c>
      <c r="D70" s="15" t="s">
        <v>99</v>
      </c>
      <c r="E70" s="15" t="s">
        <v>100</v>
      </c>
      <c r="F70" s="15" t="s">
        <v>90</v>
      </c>
      <c r="G70" s="15" t="s">
        <v>89</v>
      </c>
    </row>
    <row r="71" spans="1:7" ht="15.75">
      <c r="A71" s="5" t="s">
        <v>102</v>
      </c>
      <c r="B71" s="5"/>
      <c r="C71" s="29">
        <v>0.5</v>
      </c>
      <c r="D71" s="29">
        <v>36</v>
      </c>
      <c r="E71" s="7">
        <f>D71*C71</f>
        <v>18</v>
      </c>
      <c r="F71" s="7">
        <f>E71/$D$12</f>
        <v>1.8</v>
      </c>
      <c r="G71" s="7">
        <f>F71*$D$12</f>
        <v>18</v>
      </c>
    </row>
    <row r="72" spans="1:7" ht="15.75">
      <c r="A72" s="5" t="s">
        <v>138</v>
      </c>
      <c r="B72" s="5"/>
      <c r="C72" s="29">
        <v>2</v>
      </c>
      <c r="D72" s="29">
        <v>36</v>
      </c>
      <c r="E72" s="7">
        <f aca="true" t="shared" si="1" ref="E72:E78">D72*C72</f>
        <v>72</v>
      </c>
      <c r="F72" s="7">
        <f>E72/$D$12</f>
        <v>7.2</v>
      </c>
      <c r="G72" s="7">
        <f aca="true" t="shared" si="2" ref="G72:G78">F72*$D$12</f>
        <v>72</v>
      </c>
    </row>
    <row r="73" spans="1:7" ht="15.75">
      <c r="A73" s="5" t="s">
        <v>148</v>
      </c>
      <c r="B73" s="5"/>
      <c r="C73" s="29">
        <v>2</v>
      </c>
      <c r="D73" s="29">
        <v>36</v>
      </c>
      <c r="E73" s="7">
        <f t="shared" si="1"/>
        <v>72</v>
      </c>
      <c r="F73" s="7">
        <f>E73/$D$12</f>
        <v>7.2</v>
      </c>
      <c r="G73" s="7">
        <f t="shared" si="2"/>
        <v>72</v>
      </c>
    </row>
    <row r="74" spans="1:7" ht="15.75">
      <c r="A74" s="5" t="s">
        <v>146</v>
      </c>
      <c r="B74" s="5"/>
      <c r="C74" s="29">
        <v>1.5</v>
      </c>
      <c r="D74" s="29">
        <v>34</v>
      </c>
      <c r="E74" s="7">
        <f t="shared" si="1"/>
        <v>51</v>
      </c>
      <c r="F74" s="7">
        <f>E74</f>
        <v>51</v>
      </c>
      <c r="G74" s="7">
        <f t="shared" si="2"/>
        <v>510</v>
      </c>
    </row>
    <row r="75" spans="1:7" ht="15.75">
      <c r="A75" s="5" t="s">
        <v>153</v>
      </c>
      <c r="B75" s="5"/>
      <c r="C75" s="29">
        <v>2</v>
      </c>
      <c r="D75" s="29">
        <v>34</v>
      </c>
      <c r="E75" s="7">
        <f t="shared" si="1"/>
        <v>68</v>
      </c>
      <c r="F75" s="7">
        <f>E75</f>
        <v>68</v>
      </c>
      <c r="G75" s="7">
        <f t="shared" si="2"/>
        <v>680</v>
      </c>
    </row>
    <row r="76" spans="1:7" ht="15.75">
      <c r="A76" s="5" t="s">
        <v>154</v>
      </c>
      <c r="B76" s="5"/>
      <c r="C76" s="29">
        <v>0.5</v>
      </c>
      <c r="D76" s="29">
        <v>34</v>
      </c>
      <c r="E76" s="7">
        <f t="shared" si="1"/>
        <v>17</v>
      </c>
      <c r="F76" s="7">
        <f>E76</f>
        <v>17</v>
      </c>
      <c r="G76" s="7">
        <f t="shared" si="2"/>
        <v>170</v>
      </c>
    </row>
    <row r="77" spans="1:7" ht="15.75">
      <c r="A77" s="5" t="s">
        <v>155</v>
      </c>
      <c r="B77" s="5"/>
      <c r="C77" s="5">
        <v>0.9</v>
      </c>
      <c r="D77" s="29">
        <v>36</v>
      </c>
      <c r="E77" s="7">
        <f t="shared" si="1"/>
        <v>32.4</v>
      </c>
      <c r="F77" s="7">
        <f>E77</f>
        <v>32.4</v>
      </c>
      <c r="G77" s="7">
        <f t="shared" si="2"/>
        <v>324</v>
      </c>
    </row>
    <row r="78" spans="1:7" ht="15.75">
      <c r="A78" s="38" t="s">
        <v>114</v>
      </c>
      <c r="B78" s="38"/>
      <c r="C78" s="38">
        <v>1</v>
      </c>
      <c r="D78" s="65">
        <v>15</v>
      </c>
      <c r="E78" s="42">
        <f t="shared" si="1"/>
        <v>15</v>
      </c>
      <c r="F78" s="42">
        <f>E78</f>
        <v>15</v>
      </c>
      <c r="G78" s="42">
        <f t="shared" si="2"/>
        <v>150</v>
      </c>
    </row>
    <row r="79" spans="1:7" ht="15.75">
      <c r="A79" s="23" t="s">
        <v>39</v>
      </c>
      <c r="B79" s="23"/>
      <c r="C79" s="23"/>
      <c r="D79" s="52"/>
      <c r="E79" s="52"/>
      <c r="F79" s="26"/>
      <c r="G79" s="26">
        <f>SUM(G71:G78)</f>
        <v>1996</v>
      </c>
    </row>
    <row r="80" spans="1:7" ht="15.75">
      <c r="A80" s="5"/>
      <c r="B80" s="5"/>
      <c r="C80" s="5"/>
      <c r="D80" s="5"/>
      <c r="E80" s="5"/>
      <c r="F80" s="5"/>
      <c r="G80" s="29"/>
    </row>
    <row r="81" spans="1:7" ht="15.75">
      <c r="A81" s="5"/>
      <c r="B81" s="5"/>
      <c r="C81" s="5"/>
      <c r="D81" s="5"/>
      <c r="E81" s="5"/>
      <c r="F81" s="5"/>
      <c r="G81" s="29"/>
    </row>
    <row r="82" spans="1:7" ht="15.75">
      <c r="A82" s="20" t="s">
        <v>4</v>
      </c>
      <c r="B82" s="20"/>
      <c r="C82" s="20"/>
      <c r="D82" s="5"/>
      <c r="E82" s="5"/>
      <c r="F82" s="5"/>
      <c r="G82" s="5"/>
    </row>
    <row r="83" spans="1:7" ht="15.75">
      <c r="A83" s="22" t="s">
        <v>5</v>
      </c>
      <c r="B83" s="22"/>
      <c r="C83" s="24" t="s">
        <v>139</v>
      </c>
      <c r="D83" s="24" t="s">
        <v>140</v>
      </c>
      <c r="E83" s="24" t="s">
        <v>141</v>
      </c>
      <c r="F83" s="24" t="s">
        <v>142</v>
      </c>
      <c r="G83" s="24" t="s">
        <v>134</v>
      </c>
    </row>
    <row r="84" spans="1:7" ht="15.75">
      <c r="A84" s="5" t="s">
        <v>143</v>
      </c>
      <c r="B84" s="5"/>
      <c r="C84" s="7">
        <f>SUM(C85:C87)</f>
        <v>184.60589000000002</v>
      </c>
      <c r="D84" s="7">
        <f>C84/10</f>
        <v>18.460589000000002</v>
      </c>
      <c r="E84" s="7">
        <f>C84/($D$19*0.87)</f>
        <v>10.289280065991978</v>
      </c>
      <c r="F84" s="66">
        <f aca="true" t="shared" si="3" ref="F84:F90">E84*0.87</f>
        <v>8.951673657413021</v>
      </c>
      <c r="G84" s="7">
        <f aca="true" t="shared" si="4" ref="G84:G90">C84/$D$20</f>
        <v>0.13427510486119532</v>
      </c>
    </row>
    <row r="85" spans="1:7" ht="15.75">
      <c r="A85" s="63" t="s">
        <v>60</v>
      </c>
      <c r="B85" s="5"/>
      <c r="C85" s="64">
        <f>G34/D13</f>
        <v>148.471</v>
      </c>
      <c r="D85" s="64">
        <f aca="true" t="shared" si="5" ref="D85:D90">C85/10</f>
        <v>14.847100000000001</v>
      </c>
      <c r="E85" s="64">
        <f aca="true" t="shared" si="6" ref="E85:E90">C85/($D$19*0.87)</f>
        <v>8.275248967830304</v>
      </c>
      <c r="F85" s="67">
        <f t="shared" si="3"/>
        <v>7.1994666020123645</v>
      </c>
      <c r="G85" s="64">
        <f t="shared" si="4"/>
        <v>0.10799199903018548</v>
      </c>
    </row>
    <row r="86" spans="1:7" ht="15.75">
      <c r="A86" s="63" t="s">
        <v>61</v>
      </c>
      <c r="B86" s="5"/>
      <c r="C86" s="64">
        <f>G43/D13</f>
        <v>24.743999999999996</v>
      </c>
      <c r="D86" s="64">
        <f t="shared" si="5"/>
        <v>2.4743999999999997</v>
      </c>
      <c r="E86" s="64">
        <f t="shared" si="6"/>
        <v>1.3791431354270736</v>
      </c>
      <c r="F86" s="67">
        <f t="shared" si="3"/>
        <v>1.199854527821554</v>
      </c>
      <c r="G86" s="64">
        <f t="shared" si="4"/>
        <v>0.01799781791732331</v>
      </c>
    </row>
    <row r="87" spans="1:7" ht="15.75">
      <c r="A87" s="63" t="s">
        <v>62</v>
      </c>
      <c r="B87" s="5"/>
      <c r="C87" s="64">
        <f>G51/D13</f>
        <v>11.39089</v>
      </c>
      <c r="D87" s="64">
        <f t="shared" si="5"/>
        <v>1.139089</v>
      </c>
      <c r="E87" s="64">
        <f t="shared" si="6"/>
        <v>0.6348879627345982</v>
      </c>
      <c r="F87" s="67">
        <f t="shared" si="3"/>
        <v>0.5523525275791005</v>
      </c>
      <c r="G87" s="64">
        <f t="shared" si="4"/>
        <v>0.008285287913686509</v>
      </c>
    </row>
    <row r="88" spans="1:7" ht="15.75">
      <c r="A88" s="5" t="s">
        <v>78</v>
      </c>
      <c r="B88" s="5"/>
      <c r="C88" s="7">
        <f>G58</f>
        <v>2864</v>
      </c>
      <c r="D88" s="7">
        <f>C88/10</f>
        <v>286.4</v>
      </c>
      <c r="E88" s="7">
        <f t="shared" si="6"/>
        <v>159.62924102259694</v>
      </c>
      <c r="F88" s="66">
        <f t="shared" si="3"/>
        <v>138.87743968965933</v>
      </c>
      <c r="G88" s="7">
        <f t="shared" si="4"/>
        <v>2.0831615953448903</v>
      </c>
    </row>
    <row r="89" spans="1:7" ht="15.75">
      <c r="A89" s="5" t="s">
        <v>144</v>
      </c>
      <c r="B89" s="5"/>
      <c r="C89" s="7">
        <f>G79</f>
        <v>1996</v>
      </c>
      <c r="D89" s="7">
        <f t="shared" si="5"/>
        <v>199.6</v>
      </c>
      <c r="E89" s="7">
        <f t="shared" si="6"/>
        <v>111.24998780764788</v>
      </c>
      <c r="F89" s="66">
        <f t="shared" si="3"/>
        <v>96.78748939265365</v>
      </c>
      <c r="G89" s="7">
        <f t="shared" si="4"/>
        <v>1.451812340889805</v>
      </c>
    </row>
    <row r="90" spans="1:7" ht="15.75">
      <c r="A90" s="5" t="s">
        <v>152</v>
      </c>
      <c r="B90" s="5"/>
      <c r="C90" s="7">
        <f>G68</f>
        <v>724.75</v>
      </c>
      <c r="D90" s="7">
        <f t="shared" si="5"/>
        <v>72.475</v>
      </c>
      <c r="E90" s="7">
        <f t="shared" si="6"/>
        <v>40.39500434047736</v>
      </c>
      <c r="F90" s="66">
        <f t="shared" si="3"/>
        <v>35.1436537762153</v>
      </c>
      <c r="G90" s="7">
        <f t="shared" si="4"/>
        <v>0.5271548066432296</v>
      </c>
    </row>
    <row r="91" spans="1:7" ht="15.75">
      <c r="A91" s="23" t="s">
        <v>3</v>
      </c>
      <c r="B91" s="22"/>
      <c r="C91" s="26">
        <f>SUM(C84,C88:C90)</f>
        <v>5769.35589</v>
      </c>
      <c r="D91" s="26">
        <f>SUM(D84,D88:D90)</f>
        <v>576.935589</v>
      </c>
      <c r="E91" s="26">
        <f>SUM(E84,E88:E90)</f>
        <v>321.56351323671413</v>
      </c>
      <c r="F91" s="26">
        <f>SUM(F84,F88:F90)</f>
        <v>279.76025651594125</v>
      </c>
      <c r="G91" s="26">
        <f>SUM(G84,G88:G90)</f>
        <v>4.196403847739121</v>
      </c>
    </row>
  </sheetData>
  <sheetProtection/>
  <mergeCells count="2">
    <mergeCell ref="A1:F1"/>
    <mergeCell ref="A61:G61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7">
      <selection activeCell="D14" sqref="D14"/>
    </sheetView>
  </sheetViews>
  <sheetFormatPr defaultColWidth="9.140625" defaultRowHeight="12.75"/>
  <cols>
    <col min="3" max="3" width="31.00390625" style="0" customWidth="1"/>
    <col min="4" max="4" width="10.28125" style="0" customWidth="1"/>
    <col min="5" max="5" width="14.57421875" style="0" customWidth="1"/>
    <col min="6" max="6" width="12.421875" style="0" customWidth="1"/>
    <col min="7" max="7" width="13.140625" style="0" customWidth="1"/>
    <col min="8" max="8" width="11.7109375" style="0" customWidth="1"/>
    <col min="9" max="9" width="14.421875" style="0" customWidth="1"/>
  </cols>
  <sheetData>
    <row r="1" spans="1:8" ht="21.75" thickBot="1">
      <c r="A1" s="141" t="s">
        <v>63</v>
      </c>
      <c r="B1" s="142"/>
      <c r="C1" s="142"/>
      <c r="D1" s="142"/>
      <c r="E1" s="142"/>
      <c r="F1" s="142"/>
      <c r="G1" s="142"/>
      <c r="H1" s="306"/>
    </row>
    <row r="2" spans="1:8" ht="6" customHeight="1" thickBot="1">
      <c r="A2" s="143"/>
      <c r="B2" s="143"/>
      <c r="C2" s="143"/>
      <c r="D2" s="143"/>
      <c r="E2" s="143"/>
      <c r="F2" s="143"/>
      <c r="G2" s="143"/>
      <c r="H2" s="307"/>
    </row>
    <row r="3" spans="1:8" ht="15.75">
      <c r="A3" s="146" t="s">
        <v>6</v>
      </c>
      <c r="B3" s="147"/>
      <c r="C3" s="147"/>
      <c r="D3" s="182" t="s">
        <v>7</v>
      </c>
      <c r="E3" s="182"/>
      <c r="F3" s="182"/>
      <c r="G3" s="183"/>
      <c r="H3" s="307"/>
    </row>
    <row r="4" spans="1:8" ht="15.75">
      <c r="A4" s="144" t="s">
        <v>0</v>
      </c>
      <c r="B4" s="145"/>
      <c r="C4" s="145"/>
      <c r="D4" s="184" t="s">
        <v>8</v>
      </c>
      <c r="E4" s="184"/>
      <c r="F4" s="184"/>
      <c r="G4" s="185"/>
      <c r="H4" s="307"/>
    </row>
    <row r="5" spans="1:8" ht="15.75">
      <c r="A5" s="144" t="s">
        <v>9</v>
      </c>
      <c r="B5" s="145"/>
      <c r="C5" s="145"/>
      <c r="D5" s="184" t="s">
        <v>10</v>
      </c>
      <c r="E5" s="184"/>
      <c r="F5" s="184"/>
      <c r="G5" s="185"/>
      <c r="H5" s="307"/>
    </row>
    <row r="6" spans="1:8" ht="16.5" thickBot="1">
      <c r="A6" s="180" t="s">
        <v>1</v>
      </c>
      <c r="B6" s="181"/>
      <c r="C6" s="181"/>
      <c r="D6" s="186">
        <v>40817</v>
      </c>
      <c r="E6" s="186"/>
      <c r="F6" s="186"/>
      <c r="G6" s="187"/>
      <c r="H6" s="307"/>
    </row>
    <row r="7" spans="1:8" ht="0.75" customHeight="1">
      <c r="A7" s="188"/>
      <c r="B7" s="188"/>
      <c r="C7" s="188"/>
      <c r="D7" s="188"/>
      <c r="E7" s="188"/>
      <c r="F7" s="188"/>
      <c r="G7" s="188"/>
      <c r="H7" s="307"/>
    </row>
    <row r="8" spans="1:8" ht="16.5" thickBot="1">
      <c r="A8" s="189" t="s">
        <v>2</v>
      </c>
      <c r="B8" s="189"/>
      <c r="C8" s="189"/>
      <c r="D8" s="189"/>
      <c r="E8" s="189"/>
      <c r="F8" s="189"/>
      <c r="G8" s="189"/>
      <c r="H8" s="307"/>
    </row>
    <row r="9" spans="1:8" ht="16.5" thickBot="1">
      <c r="A9" s="148" t="s">
        <v>190</v>
      </c>
      <c r="B9" s="149"/>
      <c r="C9" s="150"/>
      <c r="D9" s="129">
        <f>(D10/D11)</f>
        <v>100</v>
      </c>
      <c r="E9" s="151" t="s">
        <v>191</v>
      </c>
      <c r="F9" s="151"/>
      <c r="G9" s="152"/>
      <c r="H9" s="307"/>
    </row>
    <row r="10" spans="1:8" ht="16.5" thickBot="1">
      <c r="A10" s="165" t="s">
        <v>178</v>
      </c>
      <c r="B10" s="166"/>
      <c r="C10" s="167"/>
      <c r="D10" s="122">
        <v>20</v>
      </c>
      <c r="E10" s="151" t="s">
        <v>191</v>
      </c>
      <c r="F10" s="151"/>
      <c r="G10" s="152"/>
      <c r="H10" s="307"/>
    </row>
    <row r="11" spans="1:8" ht="16.5" thickBot="1">
      <c r="A11" s="153" t="s">
        <v>192</v>
      </c>
      <c r="B11" s="154"/>
      <c r="C11" s="155"/>
      <c r="D11" s="124">
        <v>0.2</v>
      </c>
      <c r="E11" s="136"/>
      <c r="F11" s="136"/>
      <c r="G11" s="137"/>
      <c r="H11" s="307"/>
    </row>
    <row r="12" spans="1:8" ht="16.5" thickBot="1">
      <c r="A12" s="156" t="s">
        <v>160</v>
      </c>
      <c r="B12" s="157"/>
      <c r="C12" s="158"/>
      <c r="D12" s="124">
        <v>0.15</v>
      </c>
      <c r="E12" s="293"/>
      <c r="F12" s="293"/>
      <c r="G12" s="294"/>
      <c r="H12" s="307"/>
    </row>
    <row r="13" spans="1:8" ht="16.5" thickBot="1">
      <c r="A13" s="162" t="s">
        <v>11</v>
      </c>
      <c r="B13" s="163"/>
      <c r="C13" s="164"/>
      <c r="D13" s="122">
        <v>8</v>
      </c>
      <c r="E13" s="136"/>
      <c r="F13" s="136"/>
      <c r="G13" s="137"/>
      <c r="H13" s="307"/>
    </row>
    <row r="14" spans="1:8" ht="16.5" thickBot="1">
      <c r="A14" s="156" t="s">
        <v>12</v>
      </c>
      <c r="B14" s="157"/>
      <c r="C14" s="158"/>
      <c r="D14" s="122">
        <v>10</v>
      </c>
      <c r="E14" s="136" t="s">
        <v>182</v>
      </c>
      <c r="F14" s="136"/>
      <c r="G14" s="137"/>
      <c r="H14" s="307"/>
    </row>
    <row r="15" spans="1:8" ht="16.5" thickBot="1">
      <c r="A15" s="162" t="s">
        <v>13</v>
      </c>
      <c r="B15" s="163"/>
      <c r="C15" s="164"/>
      <c r="D15" s="138" t="s">
        <v>64</v>
      </c>
      <c r="E15" s="139"/>
      <c r="F15" s="139"/>
      <c r="G15" s="140"/>
      <c r="H15" s="307"/>
    </row>
    <row r="16" spans="1:8" ht="16.5" thickBot="1">
      <c r="A16" s="156" t="s">
        <v>161</v>
      </c>
      <c r="B16" s="157"/>
      <c r="C16" s="158"/>
      <c r="D16" s="193">
        <v>13</v>
      </c>
      <c r="E16" s="194"/>
      <c r="F16" s="194"/>
      <c r="G16" s="195"/>
      <c r="H16" s="307"/>
    </row>
    <row r="17" spans="1:8" ht="16.5" thickBot="1">
      <c r="A17" s="162" t="s">
        <v>16</v>
      </c>
      <c r="B17" s="163"/>
      <c r="C17" s="164"/>
      <c r="D17" s="168">
        <v>0.2</v>
      </c>
      <c r="E17" s="169"/>
      <c r="F17" s="169"/>
      <c r="G17" s="170"/>
      <c r="H17" s="307"/>
    </row>
    <row r="18" spans="1:8" ht="16.5" thickBot="1">
      <c r="A18" s="156" t="s">
        <v>17</v>
      </c>
      <c r="B18" s="157"/>
      <c r="C18" s="158"/>
      <c r="D18" s="171">
        <v>0.63</v>
      </c>
      <c r="E18" s="172"/>
      <c r="F18" s="172"/>
      <c r="G18" s="173"/>
      <c r="H18" s="307"/>
    </row>
    <row r="19" spans="1:8" ht="16.5" thickBot="1">
      <c r="A19" s="162" t="s">
        <v>87</v>
      </c>
      <c r="B19" s="163"/>
      <c r="C19" s="164"/>
      <c r="D19" s="168">
        <v>0.87</v>
      </c>
      <c r="E19" s="169"/>
      <c r="F19" s="169"/>
      <c r="G19" s="170"/>
      <c r="H19" s="307"/>
    </row>
    <row r="20" spans="1:8" ht="16.5" thickBot="1">
      <c r="A20" s="156" t="s">
        <v>177</v>
      </c>
      <c r="B20" s="157"/>
      <c r="C20" s="158"/>
      <c r="D20" s="278">
        <f>20*0.85*1.13</f>
        <v>19.209999999999997</v>
      </c>
      <c r="E20" s="279"/>
      <c r="F20" s="279"/>
      <c r="G20" s="280"/>
      <c r="H20" s="307"/>
    </row>
    <row r="21" spans="1:8" ht="16.5" thickBot="1">
      <c r="A21" s="202" t="s">
        <v>176</v>
      </c>
      <c r="B21" s="203"/>
      <c r="C21" s="204"/>
      <c r="D21" s="281">
        <f>((D25*1000/D16)/D14)</f>
        <v>1307.6923076923076</v>
      </c>
      <c r="E21" s="282"/>
      <c r="F21" s="282"/>
      <c r="G21" s="283"/>
      <c r="H21" s="307"/>
    </row>
    <row r="22" spans="1:8" ht="16.5" thickBot="1">
      <c r="A22" s="272" t="s">
        <v>184</v>
      </c>
      <c r="B22" s="273"/>
      <c r="C22" s="274"/>
      <c r="D22" s="123">
        <f>(D9*D14)</f>
        <v>1000</v>
      </c>
      <c r="E22" s="130" t="s">
        <v>193</v>
      </c>
      <c r="F22" s="130">
        <f aca="true" t="shared" si="0" ref="F22:F27">($D$14)</f>
        <v>10</v>
      </c>
      <c r="G22" s="131" t="s">
        <v>194</v>
      </c>
      <c r="H22" s="307"/>
    </row>
    <row r="23" spans="1:8" ht="16.5" thickBot="1">
      <c r="A23" s="275" t="s">
        <v>185</v>
      </c>
      <c r="B23" s="276"/>
      <c r="C23" s="277"/>
      <c r="D23" s="123">
        <f>(D10*D14)</f>
        <v>200</v>
      </c>
      <c r="E23" s="130" t="s">
        <v>195</v>
      </c>
      <c r="F23" s="130">
        <f t="shared" si="0"/>
        <v>10</v>
      </c>
      <c r="G23" s="131" t="s">
        <v>194</v>
      </c>
      <c r="H23" s="307"/>
    </row>
    <row r="24" spans="1:8" ht="16.5" thickBot="1">
      <c r="A24" s="174" t="s">
        <v>186</v>
      </c>
      <c r="B24" s="175"/>
      <c r="C24" s="176"/>
      <c r="D24" s="125">
        <f>(D25/D19)</f>
        <v>195.4022988505747</v>
      </c>
      <c r="E24" s="132" t="s">
        <v>193</v>
      </c>
      <c r="F24" s="130">
        <f t="shared" si="0"/>
        <v>10</v>
      </c>
      <c r="G24" s="131" t="s">
        <v>194</v>
      </c>
      <c r="H24" s="307"/>
    </row>
    <row r="25" spans="1:8" ht="16.5" thickBot="1">
      <c r="A25" s="174" t="s">
        <v>187</v>
      </c>
      <c r="B25" s="175"/>
      <c r="C25" s="176"/>
      <c r="D25" s="125">
        <f>(D23*(1-D12))</f>
        <v>170</v>
      </c>
      <c r="E25" s="132" t="s">
        <v>193</v>
      </c>
      <c r="F25" s="130">
        <f t="shared" si="0"/>
        <v>10</v>
      </c>
      <c r="G25" s="131" t="s">
        <v>194</v>
      </c>
      <c r="H25" s="307"/>
    </row>
    <row r="26" spans="1:8" ht="16.5" thickBot="1">
      <c r="A26" s="174" t="s">
        <v>188</v>
      </c>
      <c r="B26" s="175"/>
      <c r="C26" s="176"/>
      <c r="D26" s="125">
        <f>(D25*D18)</f>
        <v>107.1</v>
      </c>
      <c r="E26" s="132" t="s">
        <v>193</v>
      </c>
      <c r="F26" s="130">
        <f t="shared" si="0"/>
        <v>10</v>
      </c>
      <c r="G26" s="131" t="s">
        <v>194</v>
      </c>
      <c r="H26" s="307"/>
    </row>
    <row r="27" spans="1:8" ht="16.5" thickBot="1">
      <c r="A27" s="269" t="s">
        <v>189</v>
      </c>
      <c r="B27" s="270"/>
      <c r="C27" s="271"/>
      <c r="D27" s="125">
        <f>(D25*D17)</f>
        <v>34</v>
      </c>
      <c r="E27" s="132" t="s">
        <v>193</v>
      </c>
      <c r="F27" s="130">
        <f t="shared" si="0"/>
        <v>10</v>
      </c>
      <c r="G27" s="131" t="s">
        <v>194</v>
      </c>
      <c r="H27" s="307"/>
    </row>
    <row r="28" spans="1:8" ht="15.75">
      <c r="A28" s="190"/>
      <c r="B28" s="191"/>
      <c r="C28" s="191"/>
      <c r="D28" s="191"/>
      <c r="E28" s="191"/>
      <c r="F28" s="191"/>
      <c r="G28" s="192"/>
      <c r="H28" s="308"/>
    </row>
    <row r="29" spans="1:8" ht="16.5" thickBot="1">
      <c r="A29" s="196"/>
      <c r="B29" s="196"/>
      <c r="C29" s="196"/>
      <c r="D29" s="196"/>
      <c r="E29" s="196"/>
      <c r="F29" s="196"/>
      <c r="G29" s="196"/>
      <c r="H29" s="307"/>
    </row>
    <row r="30" spans="1:8" ht="16.5" thickBot="1">
      <c r="A30" s="197" t="s">
        <v>18</v>
      </c>
      <c r="B30" s="198"/>
      <c r="C30" s="198"/>
      <c r="D30" s="198"/>
      <c r="E30" s="198"/>
      <c r="F30" s="198"/>
      <c r="G30" s="198"/>
      <c r="H30" s="307"/>
    </row>
    <row r="31" spans="1:8" ht="16.5" thickBot="1">
      <c r="A31" s="199" t="s">
        <v>65</v>
      </c>
      <c r="B31" s="200"/>
      <c r="C31" s="201"/>
      <c r="D31" s="82" t="s">
        <v>66</v>
      </c>
      <c r="E31" s="82" t="s">
        <v>67</v>
      </c>
      <c r="F31" s="83" t="s">
        <v>68</v>
      </c>
      <c r="G31" s="84" t="s">
        <v>69</v>
      </c>
      <c r="H31" s="307"/>
    </row>
    <row r="32" spans="1:8" ht="15.75">
      <c r="A32" s="159" t="s">
        <v>162</v>
      </c>
      <c r="B32" s="160"/>
      <c r="C32" s="161"/>
      <c r="D32" s="110" t="s">
        <v>19</v>
      </c>
      <c r="E32" s="111">
        <v>4</v>
      </c>
      <c r="F32" s="112">
        <v>87.74</v>
      </c>
      <c r="G32" s="113">
        <f>E32*F32</f>
        <v>350.96</v>
      </c>
      <c r="H32" s="307"/>
    </row>
    <row r="33" spans="1:8" ht="15.75">
      <c r="A33" s="177" t="s">
        <v>163</v>
      </c>
      <c r="B33" s="178"/>
      <c r="C33" s="179"/>
      <c r="D33" s="79" t="s">
        <v>19</v>
      </c>
      <c r="E33" s="80">
        <v>0.72</v>
      </c>
      <c r="F33" s="81">
        <v>660</v>
      </c>
      <c r="G33" s="114">
        <f aca="true" t="shared" si="1" ref="G33:G38">E33*F33</f>
        <v>475.2</v>
      </c>
      <c r="H33" s="307"/>
    </row>
    <row r="34" spans="1:8" ht="15.75">
      <c r="A34" s="177" t="s">
        <v>164</v>
      </c>
      <c r="B34" s="178"/>
      <c r="C34" s="179"/>
      <c r="D34" s="79" t="s">
        <v>19</v>
      </c>
      <c r="E34" s="80">
        <v>0.156</v>
      </c>
      <c r="F34" s="81">
        <v>1290</v>
      </c>
      <c r="G34" s="114">
        <f t="shared" si="1"/>
        <v>201.24</v>
      </c>
      <c r="H34" s="307"/>
    </row>
    <row r="35" spans="1:8" ht="15.75">
      <c r="A35" s="177" t="s">
        <v>165</v>
      </c>
      <c r="B35" s="178"/>
      <c r="C35" s="179"/>
      <c r="D35" s="79" t="s">
        <v>15</v>
      </c>
      <c r="E35" s="80">
        <v>20</v>
      </c>
      <c r="F35" s="81">
        <v>0.8</v>
      </c>
      <c r="G35" s="114">
        <f>E35*F35</f>
        <v>16</v>
      </c>
      <c r="H35" s="307"/>
    </row>
    <row r="36" spans="1:10" ht="15.75">
      <c r="A36" s="177" t="s">
        <v>166</v>
      </c>
      <c r="B36" s="178"/>
      <c r="C36" s="179"/>
      <c r="D36" s="79" t="s">
        <v>15</v>
      </c>
      <c r="E36" s="80">
        <v>15</v>
      </c>
      <c r="F36" s="81">
        <v>25</v>
      </c>
      <c r="G36" s="114">
        <f>E36*F36</f>
        <v>375</v>
      </c>
      <c r="H36" s="307"/>
      <c r="I36" s="94"/>
      <c r="J36" s="94"/>
    </row>
    <row r="37" spans="1:9" ht="15.75">
      <c r="A37" s="177" t="s">
        <v>167</v>
      </c>
      <c r="B37" s="178"/>
      <c r="C37" s="179"/>
      <c r="D37" s="79" t="s">
        <v>20</v>
      </c>
      <c r="E37" s="80">
        <v>2</v>
      </c>
      <c r="F37" s="81">
        <v>10.3</v>
      </c>
      <c r="G37" s="114">
        <f t="shared" si="1"/>
        <v>20.6</v>
      </c>
      <c r="H37" s="307"/>
      <c r="I37" s="94"/>
    </row>
    <row r="38" spans="1:9" ht="16.5" thickBot="1">
      <c r="A38" s="208" t="s">
        <v>180</v>
      </c>
      <c r="B38" s="209"/>
      <c r="C38" s="210"/>
      <c r="D38" s="115" t="s">
        <v>20</v>
      </c>
      <c r="E38" s="116">
        <v>1</v>
      </c>
      <c r="F38" s="117">
        <v>17.8</v>
      </c>
      <c r="G38" s="118">
        <f t="shared" si="1"/>
        <v>17.8</v>
      </c>
      <c r="H38" s="307"/>
      <c r="I38" s="94"/>
    </row>
    <row r="39" spans="1:8" ht="16.5" thickBot="1">
      <c r="A39" s="211" t="s">
        <v>21</v>
      </c>
      <c r="B39" s="212"/>
      <c r="C39" s="212"/>
      <c r="D39" s="212"/>
      <c r="E39" s="212"/>
      <c r="F39" s="213"/>
      <c r="G39" s="107">
        <f>SUM(G32:G38)</f>
        <v>1456.8</v>
      </c>
      <c r="H39" s="307"/>
    </row>
    <row r="40" spans="1:8" ht="9.75" customHeight="1" thickBot="1">
      <c r="A40" s="243"/>
      <c r="B40" s="243"/>
      <c r="C40" s="243"/>
      <c r="D40" s="243"/>
      <c r="E40" s="243"/>
      <c r="F40" s="243"/>
      <c r="G40" s="268"/>
      <c r="H40" s="307"/>
    </row>
    <row r="41" spans="1:8" ht="16.5" thickBot="1">
      <c r="A41" s="214" t="s">
        <v>22</v>
      </c>
      <c r="B41" s="215"/>
      <c r="C41" s="215"/>
      <c r="D41" s="215"/>
      <c r="E41" s="215"/>
      <c r="F41" s="215"/>
      <c r="G41" s="215"/>
      <c r="H41" s="307"/>
    </row>
    <row r="42" spans="1:8" ht="16.5" thickBot="1">
      <c r="A42" s="205" t="s">
        <v>65</v>
      </c>
      <c r="B42" s="206"/>
      <c r="C42" s="207"/>
      <c r="D42" s="91" t="s">
        <v>66</v>
      </c>
      <c r="E42" s="91" t="s">
        <v>67</v>
      </c>
      <c r="F42" s="92" t="s">
        <v>68</v>
      </c>
      <c r="G42" s="93" t="s">
        <v>69</v>
      </c>
      <c r="H42" s="307"/>
    </row>
    <row r="43" spans="1:8" ht="15.75">
      <c r="A43" s="146" t="s">
        <v>179</v>
      </c>
      <c r="B43" s="147"/>
      <c r="C43" s="147"/>
      <c r="D43" s="77" t="s">
        <v>23</v>
      </c>
      <c r="E43" s="87">
        <v>3</v>
      </c>
      <c r="F43" s="87">
        <v>18</v>
      </c>
      <c r="G43" s="95">
        <f>E43*F43</f>
        <v>54</v>
      </c>
      <c r="H43" s="307"/>
    </row>
    <row r="44" spans="1:8" ht="15.75">
      <c r="A44" s="144" t="s">
        <v>24</v>
      </c>
      <c r="B44" s="145"/>
      <c r="C44" s="145"/>
      <c r="D44" s="73" t="s">
        <v>23</v>
      </c>
      <c r="E44" s="74">
        <v>0.95</v>
      </c>
      <c r="F44" s="74">
        <v>18</v>
      </c>
      <c r="G44" s="96">
        <f>E44*F44</f>
        <v>17.099999999999998</v>
      </c>
      <c r="H44" s="307"/>
    </row>
    <row r="45" spans="1:8" ht="15.75">
      <c r="A45" s="144" t="s">
        <v>25</v>
      </c>
      <c r="B45" s="145"/>
      <c r="C45" s="145"/>
      <c r="D45" s="73" t="s">
        <v>23</v>
      </c>
      <c r="E45" s="74">
        <v>0.29</v>
      </c>
      <c r="F45" s="74">
        <v>18</v>
      </c>
      <c r="G45" s="96">
        <f>E45*F45</f>
        <v>5.22</v>
      </c>
      <c r="H45" s="307"/>
    </row>
    <row r="46" spans="1:8" ht="15.75">
      <c r="A46" s="144" t="s">
        <v>77</v>
      </c>
      <c r="B46" s="145"/>
      <c r="C46" s="145"/>
      <c r="D46" s="73" t="s">
        <v>23</v>
      </c>
      <c r="E46" s="74">
        <v>0.29</v>
      </c>
      <c r="F46" s="74">
        <v>18</v>
      </c>
      <c r="G46" s="96">
        <f>E46*F46</f>
        <v>5.22</v>
      </c>
      <c r="H46" s="307"/>
    </row>
    <row r="47" spans="1:8" ht="16.5" thickBot="1">
      <c r="A47" s="180" t="s">
        <v>26</v>
      </c>
      <c r="B47" s="181"/>
      <c r="C47" s="181"/>
      <c r="D47" s="78" t="s">
        <v>23</v>
      </c>
      <c r="E47" s="90">
        <v>2.2</v>
      </c>
      <c r="F47" s="90">
        <v>20</v>
      </c>
      <c r="G47" s="97">
        <f>E47*F47</f>
        <v>44</v>
      </c>
      <c r="H47" s="307"/>
    </row>
    <row r="48" spans="1:8" ht="16.5" thickBot="1">
      <c r="A48" s="216" t="s">
        <v>21</v>
      </c>
      <c r="B48" s="217"/>
      <c r="C48" s="217"/>
      <c r="D48" s="217"/>
      <c r="E48" s="217"/>
      <c r="F48" s="218"/>
      <c r="G48" s="98">
        <f>SUM(G43:G47)</f>
        <v>125.53999999999999</v>
      </c>
      <c r="H48" s="307"/>
    </row>
    <row r="49" spans="1:8" ht="9.75" customHeight="1" thickBot="1">
      <c r="A49" s="217"/>
      <c r="B49" s="217"/>
      <c r="C49" s="217"/>
      <c r="D49" s="217"/>
      <c r="E49" s="217"/>
      <c r="F49" s="217"/>
      <c r="G49" s="217"/>
      <c r="H49" s="307"/>
    </row>
    <row r="50" spans="1:8" ht="16.5" thickBot="1">
      <c r="A50" s="214" t="s">
        <v>27</v>
      </c>
      <c r="B50" s="215"/>
      <c r="C50" s="215"/>
      <c r="D50" s="215"/>
      <c r="E50" s="215"/>
      <c r="F50" s="215"/>
      <c r="G50" s="215"/>
      <c r="H50" s="307"/>
    </row>
    <row r="51" spans="1:8" ht="16.5" thickBot="1">
      <c r="A51" s="205" t="s">
        <v>65</v>
      </c>
      <c r="B51" s="206"/>
      <c r="C51" s="207"/>
      <c r="D51" s="91" t="s">
        <v>66</v>
      </c>
      <c r="E51" s="91" t="s">
        <v>67</v>
      </c>
      <c r="F51" s="92" t="s">
        <v>68</v>
      </c>
      <c r="G51" s="93" t="s">
        <v>69</v>
      </c>
      <c r="H51" s="307"/>
    </row>
    <row r="52" spans="1:8" ht="15.75">
      <c r="A52" s="146" t="s">
        <v>28</v>
      </c>
      <c r="B52" s="147"/>
      <c r="C52" s="147"/>
      <c r="D52" s="77" t="s">
        <v>23</v>
      </c>
      <c r="E52" s="77">
        <v>0.37</v>
      </c>
      <c r="F52" s="87">
        <v>18</v>
      </c>
      <c r="G52" s="95">
        <f>F52*E52</f>
        <v>6.66</v>
      </c>
      <c r="H52" s="307"/>
    </row>
    <row r="53" spans="1:8" ht="15.75">
      <c r="A53" s="144" t="s">
        <v>29</v>
      </c>
      <c r="B53" s="145"/>
      <c r="C53" s="145"/>
      <c r="D53" s="73" t="s">
        <v>23</v>
      </c>
      <c r="E53" s="73">
        <v>1.11</v>
      </c>
      <c r="F53" s="74">
        <v>19</v>
      </c>
      <c r="G53" s="96">
        <f>F53*E53</f>
        <v>21.090000000000003</v>
      </c>
      <c r="H53" s="307"/>
    </row>
    <row r="54" spans="1:8" ht="15.75">
      <c r="A54" s="144" t="s">
        <v>30</v>
      </c>
      <c r="B54" s="145"/>
      <c r="C54" s="145"/>
      <c r="D54" s="73" t="s">
        <v>23</v>
      </c>
      <c r="E54" s="73">
        <v>1.19</v>
      </c>
      <c r="F54" s="74">
        <v>20</v>
      </c>
      <c r="G54" s="96">
        <f>F54*E54</f>
        <v>23.799999999999997</v>
      </c>
      <c r="H54" s="307"/>
    </row>
    <row r="55" spans="1:8" ht="16.5" thickBot="1">
      <c r="A55" s="180" t="s">
        <v>31</v>
      </c>
      <c r="B55" s="181"/>
      <c r="C55" s="181"/>
      <c r="D55" s="78" t="s">
        <v>23</v>
      </c>
      <c r="E55" s="78">
        <v>0.37</v>
      </c>
      <c r="F55" s="90">
        <v>18</v>
      </c>
      <c r="G55" s="97">
        <f>F55*E55</f>
        <v>6.66</v>
      </c>
      <c r="H55" s="307"/>
    </row>
    <row r="56" spans="1:8" ht="16.5" thickBot="1">
      <c r="A56" s="216" t="s">
        <v>21</v>
      </c>
      <c r="B56" s="217"/>
      <c r="C56" s="217"/>
      <c r="D56" s="217"/>
      <c r="E56" s="217"/>
      <c r="F56" s="218"/>
      <c r="G56" s="98">
        <f>SUM(G52:G55)</f>
        <v>58.209999999999994</v>
      </c>
      <c r="H56" s="307"/>
    </row>
    <row r="57" spans="1:8" ht="12" customHeight="1" thickBot="1">
      <c r="A57" s="222"/>
      <c r="B57" s="222"/>
      <c r="C57" s="222"/>
      <c r="D57" s="222"/>
      <c r="E57" s="222"/>
      <c r="F57" s="222"/>
      <c r="G57" s="222"/>
      <c r="H57" s="307"/>
    </row>
    <row r="58" spans="1:8" ht="16.5" thickBot="1">
      <c r="A58" s="214" t="s">
        <v>78</v>
      </c>
      <c r="B58" s="215"/>
      <c r="C58" s="215"/>
      <c r="D58" s="215"/>
      <c r="E58" s="215"/>
      <c r="F58" s="215"/>
      <c r="G58" s="215"/>
      <c r="H58" s="307"/>
    </row>
    <row r="59" spans="1:8" ht="16.5" thickBot="1">
      <c r="A59" s="219" t="s">
        <v>79</v>
      </c>
      <c r="B59" s="220"/>
      <c r="C59" s="221"/>
      <c r="D59" s="91" t="s">
        <v>66</v>
      </c>
      <c r="E59" s="91" t="s">
        <v>67</v>
      </c>
      <c r="F59" s="92" t="s">
        <v>68</v>
      </c>
      <c r="G59" s="93" t="s">
        <v>69</v>
      </c>
      <c r="H59" s="307"/>
    </row>
    <row r="60" spans="1:8" ht="15.75">
      <c r="A60" s="146" t="s">
        <v>168</v>
      </c>
      <c r="B60" s="147"/>
      <c r="C60" s="147"/>
      <c r="D60" s="77" t="s">
        <v>81</v>
      </c>
      <c r="E60" s="77">
        <v>1</v>
      </c>
      <c r="F60" s="87">
        <v>5000</v>
      </c>
      <c r="G60" s="95">
        <f>E60*F60</f>
        <v>5000</v>
      </c>
      <c r="H60" s="307"/>
    </row>
    <row r="61" spans="1:8" ht="15.75">
      <c r="A61" s="144" t="s">
        <v>88</v>
      </c>
      <c r="B61" s="145"/>
      <c r="C61" s="145"/>
      <c r="D61" s="73" t="s">
        <v>81</v>
      </c>
      <c r="E61" s="73">
        <v>1</v>
      </c>
      <c r="F61" s="74">
        <v>2114</v>
      </c>
      <c r="G61" s="96">
        <f>E61*F61</f>
        <v>2114</v>
      </c>
      <c r="H61" s="307"/>
    </row>
    <row r="62" spans="1:8" ht="16.5" thickBot="1">
      <c r="A62" s="180" t="s">
        <v>117</v>
      </c>
      <c r="B62" s="181"/>
      <c r="C62" s="181"/>
      <c r="D62" s="78" t="s">
        <v>81</v>
      </c>
      <c r="E62" s="78">
        <v>1</v>
      </c>
      <c r="F62" s="90">
        <v>250</v>
      </c>
      <c r="G62" s="97">
        <f>E62*F62</f>
        <v>250</v>
      </c>
      <c r="H62" s="307"/>
    </row>
    <row r="63" spans="1:8" ht="16.5" thickBot="1">
      <c r="A63" s="216" t="s">
        <v>82</v>
      </c>
      <c r="B63" s="217"/>
      <c r="C63" s="217"/>
      <c r="D63" s="217"/>
      <c r="E63" s="217"/>
      <c r="F63" s="218"/>
      <c r="G63" s="98">
        <f>G60/D14+G62+G61</f>
        <v>2864</v>
      </c>
      <c r="H63" s="307"/>
    </row>
    <row r="64" spans="1:8" ht="12.75" customHeight="1" thickBot="1">
      <c r="A64" s="229"/>
      <c r="B64" s="229"/>
      <c r="C64" s="229"/>
      <c r="D64" s="229"/>
      <c r="E64" s="229"/>
      <c r="F64" s="229"/>
      <c r="G64" s="229"/>
      <c r="H64" s="307"/>
    </row>
    <row r="65" spans="1:8" ht="16.5" thickBot="1">
      <c r="A65" s="214" t="s">
        <v>32</v>
      </c>
      <c r="B65" s="215"/>
      <c r="C65" s="228"/>
      <c r="D65" s="223" t="s">
        <v>33</v>
      </c>
      <c r="E65" s="224"/>
      <c r="F65" s="225"/>
      <c r="G65" s="99">
        <f>G39+G48+G56+G60</f>
        <v>6640.55</v>
      </c>
      <c r="H65" s="307"/>
    </row>
    <row r="66" spans="1:8" ht="16.5" thickBot="1">
      <c r="A66" s="214" t="s">
        <v>34</v>
      </c>
      <c r="B66" s="215"/>
      <c r="C66" s="228"/>
      <c r="D66" s="226" t="s">
        <v>33</v>
      </c>
      <c r="E66" s="227"/>
      <c r="F66" s="227"/>
      <c r="G66" s="99">
        <f>G65/8+G62</f>
        <v>1080.06875</v>
      </c>
      <c r="H66" s="307"/>
    </row>
    <row r="67" spans="1:8" ht="13.5" customHeight="1" thickBot="1">
      <c r="A67" s="230"/>
      <c r="B67" s="230"/>
      <c r="C67" s="230"/>
      <c r="D67" s="231"/>
      <c r="E67" s="231"/>
      <c r="F67" s="231"/>
      <c r="G67" s="230"/>
      <c r="H67" s="307"/>
    </row>
    <row r="68" spans="1:8" ht="16.5" customHeight="1" hidden="1" thickBot="1">
      <c r="A68" s="230"/>
      <c r="B68" s="230"/>
      <c r="C68" s="230"/>
      <c r="D68" s="230"/>
      <c r="E68" s="230"/>
      <c r="F68" s="230"/>
      <c r="G68" s="230"/>
      <c r="H68" s="307"/>
    </row>
    <row r="69" spans="1:8" ht="16.5" thickBot="1">
      <c r="A69" s="214" t="s">
        <v>36</v>
      </c>
      <c r="B69" s="215"/>
      <c r="C69" s="215"/>
      <c r="D69" s="215"/>
      <c r="E69" s="215"/>
      <c r="F69" s="215"/>
      <c r="G69" s="215"/>
      <c r="H69" s="307"/>
    </row>
    <row r="70" spans="1:8" ht="15.75">
      <c r="A70" s="205" t="s">
        <v>65</v>
      </c>
      <c r="B70" s="206"/>
      <c r="C70" s="207"/>
      <c r="D70" s="91" t="s">
        <v>66</v>
      </c>
      <c r="E70" s="91" t="s">
        <v>67</v>
      </c>
      <c r="F70" s="92" t="s">
        <v>68</v>
      </c>
      <c r="G70" s="93" t="s">
        <v>69</v>
      </c>
      <c r="H70" s="307"/>
    </row>
    <row r="71" spans="1:8" ht="15.75">
      <c r="A71" s="178" t="s">
        <v>37</v>
      </c>
      <c r="B71" s="178"/>
      <c r="C71" s="178"/>
      <c r="D71" s="75" t="s">
        <v>19</v>
      </c>
      <c r="E71" s="75">
        <v>1.5</v>
      </c>
      <c r="F71" s="76">
        <v>87.74</v>
      </c>
      <c r="G71" s="108">
        <f>F71*E71</f>
        <v>131.60999999999999</v>
      </c>
      <c r="H71" s="307"/>
    </row>
    <row r="72" spans="1:8" ht="15.75">
      <c r="A72" s="178" t="s">
        <v>181</v>
      </c>
      <c r="B72" s="178"/>
      <c r="C72" s="178"/>
      <c r="D72" s="75" t="s">
        <v>19</v>
      </c>
      <c r="E72" s="75">
        <v>0.1</v>
      </c>
      <c r="F72" s="76">
        <v>1290</v>
      </c>
      <c r="G72" s="108">
        <f>F72*E72</f>
        <v>129</v>
      </c>
      <c r="H72" s="307"/>
    </row>
    <row r="73" spans="1:8" ht="15.75">
      <c r="A73" s="178" t="s">
        <v>76</v>
      </c>
      <c r="B73" s="178"/>
      <c r="C73" s="178"/>
      <c r="D73" s="75" t="s">
        <v>15</v>
      </c>
      <c r="E73" s="75">
        <v>20</v>
      </c>
      <c r="F73" s="76">
        <v>0.8</v>
      </c>
      <c r="G73" s="108">
        <f>F73*E73</f>
        <v>16</v>
      </c>
      <c r="H73" s="307"/>
    </row>
    <row r="74" spans="1:8" ht="16.5" thickBot="1">
      <c r="A74" s="233" t="s">
        <v>21</v>
      </c>
      <c r="B74" s="234"/>
      <c r="C74" s="234"/>
      <c r="D74" s="234"/>
      <c r="E74" s="234"/>
      <c r="F74" s="235"/>
      <c r="G74" s="109">
        <f>SUM(G71:G72:G73)</f>
        <v>276.61</v>
      </c>
      <c r="H74" s="307"/>
    </row>
    <row r="75" spans="1:8" ht="12" customHeight="1" thickBot="1">
      <c r="A75" s="230"/>
      <c r="B75" s="230"/>
      <c r="C75" s="230"/>
      <c r="D75" s="230"/>
      <c r="E75" s="230"/>
      <c r="F75" s="230"/>
      <c r="G75" s="230"/>
      <c r="H75" s="307"/>
    </row>
    <row r="76" spans="1:8" ht="16.5" thickBot="1">
      <c r="A76" s="214" t="s">
        <v>38</v>
      </c>
      <c r="B76" s="215"/>
      <c r="C76" s="215"/>
      <c r="D76" s="215"/>
      <c r="E76" s="215"/>
      <c r="F76" s="215"/>
      <c r="G76" s="215"/>
      <c r="H76" s="307"/>
    </row>
    <row r="77" spans="1:8" ht="16.5" thickBot="1">
      <c r="A77" s="199" t="s">
        <v>65</v>
      </c>
      <c r="B77" s="200"/>
      <c r="C77" s="201"/>
      <c r="D77" s="82" t="s">
        <v>66</v>
      </c>
      <c r="E77" s="82" t="s">
        <v>67</v>
      </c>
      <c r="F77" s="83" t="s">
        <v>68</v>
      </c>
      <c r="G77" s="84" t="s">
        <v>69</v>
      </c>
      <c r="H77" s="307"/>
    </row>
    <row r="78" spans="1:8" ht="15.75">
      <c r="A78" s="232" t="s">
        <v>24</v>
      </c>
      <c r="B78" s="232"/>
      <c r="C78" s="232"/>
      <c r="D78" s="71" t="s">
        <v>23</v>
      </c>
      <c r="E78" s="71">
        <v>0.95</v>
      </c>
      <c r="F78" s="72">
        <v>18</v>
      </c>
      <c r="G78" s="72">
        <f>F78*E78</f>
        <v>17.099999999999998</v>
      </c>
      <c r="H78" s="307"/>
    </row>
    <row r="79" spans="1:8" ht="16.5" thickBot="1">
      <c r="A79" s="239" t="s">
        <v>77</v>
      </c>
      <c r="B79" s="239"/>
      <c r="C79" s="239"/>
      <c r="D79" s="71" t="s">
        <v>23</v>
      </c>
      <c r="E79" s="71">
        <v>0.29</v>
      </c>
      <c r="F79" s="72">
        <v>18</v>
      </c>
      <c r="G79" s="72">
        <f>F79*E79</f>
        <v>5.22</v>
      </c>
      <c r="H79" s="307"/>
    </row>
    <row r="80" spans="1:8" ht="16.5" thickBot="1">
      <c r="A80" s="240" t="s">
        <v>21</v>
      </c>
      <c r="B80" s="241"/>
      <c r="C80" s="241"/>
      <c r="D80" s="241"/>
      <c r="E80" s="241"/>
      <c r="F80" s="242"/>
      <c r="G80" s="107">
        <v>18.6</v>
      </c>
      <c r="H80" s="307"/>
    </row>
    <row r="81" spans="1:8" ht="12.75" customHeight="1" thickBot="1">
      <c r="A81" s="243"/>
      <c r="B81" s="243"/>
      <c r="C81" s="243"/>
      <c r="D81" s="243"/>
      <c r="E81" s="243"/>
      <c r="F81" s="243"/>
      <c r="G81" s="243"/>
      <c r="H81" s="307"/>
    </row>
    <row r="82" spans="1:8" ht="16.5" thickBot="1">
      <c r="A82" s="214" t="s">
        <v>39</v>
      </c>
      <c r="B82" s="215"/>
      <c r="C82" s="215"/>
      <c r="D82" s="215"/>
      <c r="E82" s="215"/>
      <c r="F82" s="228"/>
      <c r="G82" s="99">
        <f>G80+G74</f>
        <v>295.21000000000004</v>
      </c>
      <c r="H82" s="307"/>
    </row>
    <row r="83" spans="1:8" ht="12" customHeight="1" thickBot="1">
      <c r="A83" s="247"/>
      <c r="B83" s="247"/>
      <c r="C83" s="247"/>
      <c r="D83" s="247"/>
      <c r="E83" s="247"/>
      <c r="F83" s="247"/>
      <c r="G83" s="247"/>
      <c r="H83" s="307"/>
    </row>
    <row r="84" spans="1:8" ht="16.5" thickBot="1">
      <c r="A84" s="214" t="s">
        <v>40</v>
      </c>
      <c r="B84" s="215"/>
      <c r="C84" s="215"/>
      <c r="D84" s="215"/>
      <c r="E84" s="215"/>
      <c r="F84" s="215"/>
      <c r="G84" s="215"/>
      <c r="H84" s="307"/>
    </row>
    <row r="85" spans="1:8" ht="16.5" thickBot="1">
      <c r="A85" s="199" t="s">
        <v>65</v>
      </c>
      <c r="B85" s="200"/>
      <c r="C85" s="201"/>
      <c r="D85" s="82" t="s">
        <v>66</v>
      </c>
      <c r="E85" s="82" t="s">
        <v>67</v>
      </c>
      <c r="F85" s="83" t="s">
        <v>68</v>
      </c>
      <c r="G85" s="84" t="s">
        <v>69</v>
      </c>
      <c r="H85" s="307"/>
    </row>
    <row r="86" spans="1:8" ht="15.75">
      <c r="A86" s="232" t="s">
        <v>169</v>
      </c>
      <c r="B86" s="232"/>
      <c r="C86" s="232"/>
      <c r="D86" s="71" t="s">
        <v>20</v>
      </c>
      <c r="E86" s="71">
        <v>3</v>
      </c>
      <c r="F86" s="72">
        <v>25.4</v>
      </c>
      <c r="G86" s="72">
        <f>(F86*E86)</f>
        <v>76.19999999999999</v>
      </c>
      <c r="H86" s="307"/>
    </row>
    <row r="87" spans="1:8" ht="15.75">
      <c r="A87" s="249" t="s">
        <v>170</v>
      </c>
      <c r="B87" s="249"/>
      <c r="C87" s="249"/>
      <c r="D87" s="71" t="s">
        <v>20</v>
      </c>
      <c r="E87" s="71">
        <v>1</v>
      </c>
      <c r="F87" s="72">
        <v>17.8</v>
      </c>
      <c r="G87" s="72">
        <f>F87*E87</f>
        <v>17.8</v>
      </c>
      <c r="H87" s="307"/>
    </row>
    <row r="88" spans="1:8" ht="15.75">
      <c r="A88" s="249" t="s">
        <v>41</v>
      </c>
      <c r="B88" s="249"/>
      <c r="C88" s="249"/>
      <c r="D88" s="71" t="s">
        <v>23</v>
      </c>
      <c r="E88" s="71">
        <v>0.37</v>
      </c>
      <c r="F88" s="72">
        <v>18</v>
      </c>
      <c r="G88" s="72">
        <f>F88*E88</f>
        <v>6.66</v>
      </c>
      <c r="H88" s="307"/>
    </row>
    <row r="89" spans="1:8" ht="16.5" thickBot="1">
      <c r="A89" s="250" t="s">
        <v>42</v>
      </c>
      <c r="B89" s="250"/>
      <c r="C89" s="250"/>
      <c r="D89" s="104"/>
      <c r="E89" s="104"/>
      <c r="F89" s="104"/>
      <c r="G89" s="105">
        <f>SUM(G86:G88)</f>
        <v>100.65999999999998</v>
      </c>
      <c r="H89" s="307"/>
    </row>
    <row r="90" spans="1:8" ht="16.5" thickBot="1">
      <c r="A90" s="236" t="s">
        <v>43</v>
      </c>
      <c r="B90" s="237"/>
      <c r="C90" s="237"/>
      <c r="D90" s="237"/>
      <c r="E90" s="237"/>
      <c r="F90" s="238"/>
      <c r="G90" s="106">
        <f>SUM(G86:G89)</f>
        <v>201.31999999999996</v>
      </c>
      <c r="H90" s="307"/>
    </row>
    <row r="91" spans="1:8" ht="12" customHeight="1" thickBot="1">
      <c r="A91" s="243"/>
      <c r="B91" s="243"/>
      <c r="C91" s="243"/>
      <c r="D91" s="243"/>
      <c r="E91" s="243"/>
      <c r="F91" s="243"/>
      <c r="G91" s="243"/>
      <c r="H91" s="307"/>
    </row>
    <row r="92" spans="1:8" ht="16.5" thickBot="1">
      <c r="A92" s="214" t="s">
        <v>44</v>
      </c>
      <c r="B92" s="215"/>
      <c r="C92" s="215"/>
      <c r="D92" s="215"/>
      <c r="E92" s="215"/>
      <c r="F92" s="215"/>
      <c r="G92" s="215"/>
      <c r="H92" s="307"/>
    </row>
    <row r="93" spans="1:8" ht="15.75">
      <c r="A93" s="205" t="s">
        <v>65</v>
      </c>
      <c r="B93" s="206"/>
      <c r="C93" s="207"/>
      <c r="D93" s="91" t="s">
        <v>66</v>
      </c>
      <c r="E93" s="91" t="s">
        <v>67</v>
      </c>
      <c r="F93" s="92" t="s">
        <v>68</v>
      </c>
      <c r="G93" s="93" t="s">
        <v>69</v>
      </c>
      <c r="H93" s="307"/>
    </row>
    <row r="94" spans="1:8" ht="15.75">
      <c r="A94" s="248" t="s">
        <v>45</v>
      </c>
      <c r="B94" s="248"/>
      <c r="C94" s="248"/>
      <c r="D94" s="73" t="s">
        <v>19</v>
      </c>
      <c r="E94" s="73">
        <v>0.15</v>
      </c>
      <c r="F94" s="74">
        <v>1290</v>
      </c>
      <c r="G94" s="96">
        <f>F94*E94</f>
        <v>193.5</v>
      </c>
      <c r="H94" s="307"/>
    </row>
    <row r="95" spans="1:8" ht="15.75">
      <c r="A95" s="248" t="s">
        <v>46</v>
      </c>
      <c r="B95" s="248"/>
      <c r="C95" s="248"/>
      <c r="D95" s="73" t="s">
        <v>19</v>
      </c>
      <c r="E95" s="73">
        <v>0.15</v>
      </c>
      <c r="F95" s="74">
        <v>660</v>
      </c>
      <c r="G95" s="96">
        <f>F95*E95</f>
        <v>99</v>
      </c>
      <c r="H95" s="307"/>
    </row>
    <row r="96" spans="1:8" ht="15.75">
      <c r="A96" s="248" t="s">
        <v>47</v>
      </c>
      <c r="B96" s="248"/>
      <c r="C96" s="248"/>
      <c r="D96" s="73" t="s">
        <v>23</v>
      </c>
      <c r="E96" s="73">
        <v>0.29</v>
      </c>
      <c r="F96" s="74">
        <v>18</v>
      </c>
      <c r="G96" s="96">
        <f>F96*E96</f>
        <v>5.22</v>
      </c>
      <c r="H96" s="307"/>
    </row>
    <row r="97" spans="1:8" ht="15.75">
      <c r="A97" s="248" t="s">
        <v>48</v>
      </c>
      <c r="B97" s="248"/>
      <c r="C97" s="248"/>
      <c r="D97" s="73" t="s">
        <v>23</v>
      </c>
      <c r="E97" s="73">
        <v>0.29</v>
      </c>
      <c r="F97" s="74">
        <v>18</v>
      </c>
      <c r="G97" s="96">
        <f>F97*E97</f>
        <v>5.22</v>
      </c>
      <c r="H97" s="307"/>
    </row>
    <row r="98" spans="1:8" ht="15.75">
      <c r="A98" s="265" t="s">
        <v>49</v>
      </c>
      <c r="B98" s="266"/>
      <c r="C98" s="266"/>
      <c r="D98" s="266"/>
      <c r="E98" s="266"/>
      <c r="F98" s="267"/>
      <c r="G98" s="103">
        <f>SUM(G94:G97)</f>
        <v>302.94000000000005</v>
      </c>
      <c r="H98" s="307"/>
    </row>
    <row r="99" spans="1:8" ht="16.5" thickBot="1">
      <c r="A99" s="258" t="s">
        <v>50</v>
      </c>
      <c r="B99" s="259"/>
      <c r="C99" s="259"/>
      <c r="D99" s="259"/>
      <c r="E99" s="259"/>
      <c r="F99" s="260"/>
      <c r="G99" s="100">
        <f>G98*10</f>
        <v>3029.4000000000005</v>
      </c>
      <c r="H99" s="307"/>
    </row>
    <row r="100" spans="1:8" ht="12.75" customHeight="1" thickBot="1">
      <c r="A100" s="263"/>
      <c r="B100" s="263"/>
      <c r="C100" s="263"/>
      <c r="D100" s="263"/>
      <c r="E100" s="263"/>
      <c r="F100" s="263"/>
      <c r="G100" s="263"/>
      <c r="H100" s="307"/>
    </row>
    <row r="101" spans="1:8" ht="16.5" customHeight="1" hidden="1" thickBot="1">
      <c r="A101" s="264"/>
      <c r="B101" s="264"/>
      <c r="C101" s="264"/>
      <c r="D101" s="264"/>
      <c r="E101" s="264"/>
      <c r="F101" s="264"/>
      <c r="G101" s="264"/>
      <c r="H101" s="307"/>
    </row>
    <row r="102" spans="1:8" ht="16.5" thickBot="1">
      <c r="A102" s="214" t="s">
        <v>51</v>
      </c>
      <c r="B102" s="215"/>
      <c r="C102" s="215"/>
      <c r="D102" s="215"/>
      <c r="E102" s="215"/>
      <c r="F102" s="215"/>
      <c r="G102" s="215"/>
      <c r="H102" s="307"/>
    </row>
    <row r="103" spans="1:8" ht="16.5" thickBot="1">
      <c r="A103" s="205" t="s">
        <v>65</v>
      </c>
      <c r="B103" s="206"/>
      <c r="C103" s="207"/>
      <c r="D103" s="91" t="s">
        <v>66</v>
      </c>
      <c r="E103" s="91" t="s">
        <v>67</v>
      </c>
      <c r="F103" s="92" t="s">
        <v>68</v>
      </c>
      <c r="G103" s="93" t="s">
        <v>69</v>
      </c>
      <c r="H103" s="307"/>
    </row>
    <row r="104" spans="1:8" ht="15.75">
      <c r="A104" s="261" t="s">
        <v>52</v>
      </c>
      <c r="B104" s="262"/>
      <c r="C104" s="262"/>
      <c r="D104" s="77" t="s">
        <v>23</v>
      </c>
      <c r="E104" s="77">
        <v>0.82</v>
      </c>
      <c r="F104" s="87">
        <v>16</v>
      </c>
      <c r="G104" s="95">
        <f aca="true" t="shared" si="2" ref="G104:G109">F104*E104</f>
        <v>13.12</v>
      </c>
      <c r="H104" s="307"/>
    </row>
    <row r="105" spans="1:8" ht="15.75">
      <c r="A105" s="252" t="s">
        <v>53</v>
      </c>
      <c r="B105" s="248"/>
      <c r="C105" s="248"/>
      <c r="D105" s="73" t="s">
        <v>23</v>
      </c>
      <c r="E105" s="73">
        <v>1</v>
      </c>
      <c r="F105" s="74">
        <v>18</v>
      </c>
      <c r="G105" s="96">
        <f t="shared" si="2"/>
        <v>18</v>
      </c>
      <c r="H105" s="307"/>
    </row>
    <row r="106" spans="1:8" ht="15.75">
      <c r="A106" s="252" t="s">
        <v>54</v>
      </c>
      <c r="B106" s="248"/>
      <c r="C106" s="248"/>
      <c r="D106" s="73" t="s">
        <v>23</v>
      </c>
      <c r="E106" s="73">
        <v>0.5</v>
      </c>
      <c r="F106" s="74">
        <v>18</v>
      </c>
      <c r="G106" s="96">
        <f t="shared" si="2"/>
        <v>9</v>
      </c>
      <c r="H106" s="307"/>
    </row>
    <row r="107" spans="1:8" ht="15.75">
      <c r="A107" s="252" t="s">
        <v>55</v>
      </c>
      <c r="B107" s="248"/>
      <c r="C107" s="248"/>
      <c r="D107" s="73" t="s">
        <v>23</v>
      </c>
      <c r="E107" s="73">
        <v>1</v>
      </c>
      <c r="F107" s="74">
        <v>23</v>
      </c>
      <c r="G107" s="96">
        <f t="shared" si="2"/>
        <v>23</v>
      </c>
      <c r="H107" s="307"/>
    </row>
    <row r="108" spans="1:8" ht="15.75">
      <c r="A108" s="252" t="s">
        <v>56</v>
      </c>
      <c r="B108" s="248"/>
      <c r="C108" s="248"/>
      <c r="D108" s="73" t="s">
        <v>23</v>
      </c>
      <c r="E108" s="73">
        <v>2</v>
      </c>
      <c r="F108" s="74">
        <v>1</v>
      </c>
      <c r="G108" s="96">
        <f t="shared" si="2"/>
        <v>2</v>
      </c>
      <c r="H108" s="307"/>
    </row>
    <row r="109" spans="1:8" ht="15.75">
      <c r="A109" s="252" t="s">
        <v>57</v>
      </c>
      <c r="B109" s="248"/>
      <c r="C109" s="248"/>
      <c r="D109" s="73" t="s">
        <v>23</v>
      </c>
      <c r="E109" s="73">
        <v>1</v>
      </c>
      <c r="F109" s="74">
        <v>15</v>
      </c>
      <c r="G109" s="96">
        <f t="shared" si="2"/>
        <v>15</v>
      </c>
      <c r="H109" s="307"/>
    </row>
    <row r="110" spans="1:8" ht="15.75">
      <c r="A110" s="252" t="s">
        <v>83</v>
      </c>
      <c r="B110" s="248"/>
      <c r="C110" s="248"/>
      <c r="D110" s="300"/>
      <c r="E110" s="301"/>
      <c r="F110" s="302"/>
      <c r="G110" s="96">
        <v>250</v>
      </c>
      <c r="H110" s="307"/>
    </row>
    <row r="111" spans="1:8" ht="16.5" thickBot="1">
      <c r="A111" s="295" t="s">
        <v>58</v>
      </c>
      <c r="B111" s="296"/>
      <c r="C111" s="296"/>
      <c r="D111" s="303"/>
      <c r="E111" s="304"/>
      <c r="F111" s="305"/>
      <c r="G111" s="97">
        <f>SUM(G104:G110)</f>
        <v>330.12</v>
      </c>
      <c r="H111" s="307"/>
    </row>
    <row r="112" spans="1:8" ht="16.5" thickBot="1">
      <c r="A112" s="297" t="s">
        <v>59</v>
      </c>
      <c r="B112" s="298"/>
      <c r="C112" s="298"/>
      <c r="D112" s="298"/>
      <c r="E112" s="298"/>
      <c r="F112" s="299"/>
      <c r="G112" s="100">
        <f>((G111-G110)*10)+G110</f>
        <v>1051.2</v>
      </c>
      <c r="H112" s="309"/>
    </row>
    <row r="113" spans="1:8" ht="12" customHeight="1">
      <c r="A113" s="263" t="s">
        <v>35</v>
      </c>
      <c r="B113" s="263"/>
      <c r="C113" s="263"/>
      <c r="D113" s="263"/>
      <c r="E113" s="263"/>
      <c r="F113" s="263"/>
      <c r="G113" s="263"/>
      <c r="H113" s="263"/>
    </row>
    <row r="114" spans="1:8" ht="16.5" thickBot="1">
      <c r="A114" s="253" t="s">
        <v>4</v>
      </c>
      <c r="B114" s="253"/>
      <c r="C114" s="253"/>
      <c r="D114" s="253"/>
      <c r="E114" s="253"/>
      <c r="F114" s="253"/>
      <c r="G114" s="253"/>
      <c r="H114" s="253"/>
    </row>
    <row r="115" spans="1:9" ht="16.5" thickBot="1">
      <c r="A115" s="199" t="s">
        <v>5</v>
      </c>
      <c r="B115" s="200"/>
      <c r="C115" s="254"/>
      <c r="D115" s="83" t="s">
        <v>171</v>
      </c>
      <c r="E115" s="82" t="s">
        <v>172</v>
      </c>
      <c r="F115" s="83" t="s">
        <v>173</v>
      </c>
      <c r="G115" s="82" t="s">
        <v>174</v>
      </c>
      <c r="H115" s="85" t="s">
        <v>175</v>
      </c>
      <c r="I115" s="126" t="s">
        <v>183</v>
      </c>
    </row>
    <row r="116" spans="1:9" ht="16.5" thickBot="1">
      <c r="A116" s="287" t="s">
        <v>70</v>
      </c>
      <c r="B116" s="288"/>
      <c r="C116" s="289"/>
      <c r="D116" s="86">
        <f>D119+D118+D117</f>
        <v>205.06875</v>
      </c>
      <c r="E116" s="87">
        <f>D116/10</f>
        <v>20.506875</v>
      </c>
      <c r="F116" s="87">
        <f>D116/($D$10*(1-$D$12/100))</f>
        <v>10.26884076114171</v>
      </c>
      <c r="G116" s="87">
        <f>D116/$D$20</f>
        <v>10.675104112441439</v>
      </c>
      <c r="H116" s="119">
        <f>D116/$D$21</f>
        <v>0.1568172794117647</v>
      </c>
      <c r="I116" s="127">
        <f>(F116/$D$18)/1000</f>
        <v>0.016299747239907476</v>
      </c>
    </row>
    <row r="117" spans="1:9" ht="16.5" thickBot="1">
      <c r="A117" s="290" t="s">
        <v>60</v>
      </c>
      <c r="B117" s="291"/>
      <c r="C117" s="292"/>
      <c r="D117" s="88">
        <f>G39/8</f>
        <v>182.1</v>
      </c>
      <c r="E117" s="74">
        <f aca="true" t="shared" si="3" ref="E117:E124">D117/10</f>
        <v>18.21</v>
      </c>
      <c r="F117" s="74">
        <f aca="true" t="shared" si="4" ref="F117:F125">D117/($D$10*(1-$D$12/100))</f>
        <v>9.118678017025537</v>
      </c>
      <c r="G117" s="74">
        <f aca="true" t="shared" si="5" ref="G117:G125">D117/$D$20</f>
        <v>9.479437792816242</v>
      </c>
      <c r="H117" s="120">
        <f aca="true" t="shared" si="6" ref="H117:H125">D117/$D$21</f>
        <v>0.13925294117647058</v>
      </c>
      <c r="I117" s="127">
        <f aca="true" t="shared" si="7" ref="I117:I125">(F117/$D$18)/1000</f>
        <v>0.014474092090516725</v>
      </c>
    </row>
    <row r="118" spans="1:9" ht="16.5" thickBot="1">
      <c r="A118" s="290" t="s">
        <v>61</v>
      </c>
      <c r="B118" s="291"/>
      <c r="C118" s="292"/>
      <c r="D118" s="88">
        <f>G48/8</f>
        <v>15.692499999999999</v>
      </c>
      <c r="E118" s="74">
        <f t="shared" si="3"/>
        <v>1.5692499999999998</v>
      </c>
      <c r="F118" s="74">
        <f t="shared" si="4"/>
        <v>0.7858037055583373</v>
      </c>
      <c r="G118" s="74">
        <f t="shared" si="5"/>
        <v>0.8168922436231131</v>
      </c>
      <c r="H118" s="120">
        <f t="shared" si="6"/>
        <v>0.012000147058823529</v>
      </c>
      <c r="I118" s="127">
        <f t="shared" si="7"/>
        <v>0.001247307469140218</v>
      </c>
    </row>
    <row r="119" spans="1:9" ht="16.5" thickBot="1">
      <c r="A119" s="290" t="s">
        <v>62</v>
      </c>
      <c r="B119" s="291"/>
      <c r="C119" s="292"/>
      <c r="D119" s="88">
        <f>G56/8</f>
        <v>7.276249999999999</v>
      </c>
      <c r="E119" s="74">
        <f t="shared" si="3"/>
        <v>0.727625</v>
      </c>
      <c r="F119" s="74">
        <f t="shared" si="4"/>
        <v>0.3643590385578367</v>
      </c>
      <c r="G119" s="74">
        <f t="shared" si="5"/>
        <v>0.37877407600208224</v>
      </c>
      <c r="H119" s="120">
        <f t="shared" si="6"/>
        <v>0.005564191176470588</v>
      </c>
      <c r="I119" s="127">
        <f t="shared" si="7"/>
        <v>0.0005783476802505344</v>
      </c>
    </row>
    <row r="120" spans="1:9" ht="16.5" thickBot="1">
      <c r="A120" s="284" t="s">
        <v>71</v>
      </c>
      <c r="B120" s="285"/>
      <c r="C120" s="286"/>
      <c r="D120" s="88">
        <f>G82</f>
        <v>295.21000000000004</v>
      </c>
      <c r="E120" s="74">
        <f t="shared" si="3"/>
        <v>29.521000000000004</v>
      </c>
      <c r="F120" s="74">
        <f t="shared" si="4"/>
        <v>14.782674011016525</v>
      </c>
      <c r="G120" s="74">
        <f t="shared" si="5"/>
        <v>15.367516918271738</v>
      </c>
      <c r="H120" s="120">
        <f t="shared" si="6"/>
        <v>0.2257488235294118</v>
      </c>
      <c r="I120" s="127">
        <f t="shared" si="7"/>
        <v>0.023464561922248453</v>
      </c>
    </row>
    <row r="121" spans="1:9" ht="16.5" thickBot="1">
      <c r="A121" s="284" t="s">
        <v>72</v>
      </c>
      <c r="B121" s="285"/>
      <c r="C121" s="286"/>
      <c r="D121" s="88">
        <f>G90</f>
        <v>201.31999999999996</v>
      </c>
      <c r="E121" s="74">
        <f t="shared" si="3"/>
        <v>20.131999999999998</v>
      </c>
      <c r="F121" s="74">
        <f t="shared" si="4"/>
        <v>10.081121682523783</v>
      </c>
      <c r="G121" s="74">
        <f t="shared" si="5"/>
        <v>10.479958355023426</v>
      </c>
      <c r="H121" s="120">
        <f t="shared" si="6"/>
        <v>0.1539505882352941</v>
      </c>
      <c r="I121" s="127">
        <f t="shared" si="7"/>
        <v>0.01600178044845045</v>
      </c>
    </row>
    <row r="122" spans="1:9" ht="16.5" thickBot="1">
      <c r="A122" s="284" t="s">
        <v>73</v>
      </c>
      <c r="B122" s="285"/>
      <c r="C122" s="286"/>
      <c r="D122" s="88">
        <f>G99</f>
        <v>3029.4000000000005</v>
      </c>
      <c r="E122" s="74">
        <f t="shared" si="3"/>
        <v>302.94000000000005</v>
      </c>
      <c r="F122" s="74">
        <f t="shared" si="4"/>
        <v>151.69754631947922</v>
      </c>
      <c r="G122" s="74">
        <f t="shared" si="5"/>
        <v>157.69911504424783</v>
      </c>
      <c r="H122" s="120">
        <f t="shared" si="6"/>
        <v>2.3166000000000007</v>
      </c>
      <c r="I122" s="127">
        <f t="shared" si="7"/>
        <v>0.24078975606266542</v>
      </c>
    </row>
    <row r="123" spans="1:9" ht="16.5" thickBot="1">
      <c r="A123" s="284" t="s">
        <v>74</v>
      </c>
      <c r="B123" s="285"/>
      <c r="C123" s="286"/>
      <c r="D123" s="88">
        <f>G112</f>
        <v>1051.2</v>
      </c>
      <c r="E123" s="74">
        <f t="shared" si="3"/>
        <v>105.12</v>
      </c>
      <c r="F123" s="74">
        <f t="shared" si="4"/>
        <v>52.638958437656484</v>
      </c>
      <c r="G123" s="74">
        <f t="shared" si="5"/>
        <v>54.7214992191567</v>
      </c>
      <c r="H123" s="120">
        <f t="shared" si="6"/>
        <v>0.8038588235294118</v>
      </c>
      <c r="I123" s="127">
        <f t="shared" si="7"/>
        <v>0.08355390228199443</v>
      </c>
    </row>
    <row r="124" spans="1:9" ht="16.5" thickBot="1">
      <c r="A124" s="255" t="s">
        <v>75</v>
      </c>
      <c r="B124" s="256"/>
      <c r="C124" s="257"/>
      <c r="D124" s="89">
        <f>G63</f>
        <v>2864</v>
      </c>
      <c r="E124" s="90">
        <f t="shared" si="3"/>
        <v>286.4</v>
      </c>
      <c r="F124" s="90">
        <f t="shared" si="4"/>
        <v>143.41512268402602</v>
      </c>
      <c r="G124" s="90">
        <f t="shared" si="5"/>
        <v>149.08901613742844</v>
      </c>
      <c r="H124" s="121">
        <f t="shared" si="6"/>
        <v>2.1901176470588237</v>
      </c>
      <c r="I124" s="127">
        <f t="shared" si="7"/>
        <v>0.2276430518794064</v>
      </c>
    </row>
    <row r="125" spans="1:9" ht="16.5" thickBot="1">
      <c r="A125" s="244" t="s">
        <v>3</v>
      </c>
      <c r="B125" s="245"/>
      <c r="C125" s="246"/>
      <c r="D125" s="101">
        <f>SUM(D116,D120:D124)</f>
        <v>7646.1987500000005</v>
      </c>
      <c r="E125" s="101">
        <f>SUM(E116,E120:E124)</f>
        <v>764.6198750000001</v>
      </c>
      <c r="F125" s="102">
        <f t="shared" si="4"/>
        <v>382.88426389584373</v>
      </c>
      <c r="G125" s="101">
        <f t="shared" si="5"/>
        <v>398.0322097865696</v>
      </c>
      <c r="H125" s="102">
        <f t="shared" si="6"/>
        <v>5.847093161764707</v>
      </c>
      <c r="I125" s="128">
        <f t="shared" si="7"/>
        <v>0.6077527998346726</v>
      </c>
    </row>
    <row r="126" spans="1:9" ht="15" customHeight="1">
      <c r="A126" s="251"/>
      <c r="B126" s="251"/>
      <c r="C126" s="251"/>
      <c r="D126" s="251"/>
      <c r="E126" s="251"/>
      <c r="F126" s="251"/>
      <c r="G126" s="251"/>
      <c r="H126" s="251"/>
      <c r="I126" s="251"/>
    </row>
    <row r="127" spans="1:9" ht="15" customHeight="1">
      <c r="A127" s="251"/>
      <c r="B127" s="251"/>
      <c r="C127" s="251"/>
      <c r="D127" s="251"/>
      <c r="E127" s="251"/>
      <c r="F127" s="251"/>
      <c r="G127" s="251"/>
      <c r="H127" s="251"/>
      <c r="I127" s="251"/>
    </row>
    <row r="128" spans="1:9" ht="12.75">
      <c r="A128" s="251"/>
      <c r="B128" s="251"/>
      <c r="C128" s="251"/>
      <c r="D128" s="251"/>
      <c r="E128" s="251"/>
      <c r="F128" s="251"/>
      <c r="G128" s="251"/>
      <c r="H128" s="251"/>
      <c r="I128" s="251"/>
    </row>
    <row r="129" spans="1:9" ht="12.75">
      <c r="A129" s="251"/>
      <c r="B129" s="251"/>
      <c r="C129" s="251"/>
      <c r="D129" s="251"/>
      <c r="E129" s="251"/>
      <c r="F129" s="251"/>
      <c r="G129" s="251"/>
      <c r="H129" s="251"/>
      <c r="I129" s="251"/>
    </row>
  </sheetData>
  <sheetProtection/>
  <mergeCells count="145">
    <mergeCell ref="E12:G12"/>
    <mergeCell ref="E13:G13"/>
    <mergeCell ref="A122:C122"/>
    <mergeCell ref="A109:C109"/>
    <mergeCell ref="A110:C110"/>
    <mergeCell ref="A111:C111"/>
    <mergeCell ref="A112:F112"/>
    <mergeCell ref="D110:F111"/>
    <mergeCell ref="A113:H113"/>
    <mergeCell ref="H1:H112"/>
    <mergeCell ref="A34:C34"/>
    <mergeCell ref="A35:C35"/>
    <mergeCell ref="A123:C123"/>
    <mergeCell ref="A116:C116"/>
    <mergeCell ref="A117:C117"/>
    <mergeCell ref="A118:C118"/>
    <mergeCell ref="A119:C119"/>
    <mergeCell ref="A120:C120"/>
    <mergeCell ref="A121:C121"/>
    <mergeCell ref="A27:C27"/>
    <mergeCell ref="A26:C26"/>
    <mergeCell ref="A22:C22"/>
    <mergeCell ref="A23:C23"/>
    <mergeCell ref="D19:G19"/>
    <mergeCell ref="D20:G20"/>
    <mergeCell ref="D21:G21"/>
    <mergeCell ref="A14:C14"/>
    <mergeCell ref="A97:C97"/>
    <mergeCell ref="A99:F99"/>
    <mergeCell ref="A103:C103"/>
    <mergeCell ref="A104:C104"/>
    <mergeCell ref="A100:G101"/>
    <mergeCell ref="A98:F98"/>
    <mergeCell ref="A92:G92"/>
    <mergeCell ref="A93:C93"/>
    <mergeCell ref="A94:C94"/>
    <mergeCell ref="A95:C95"/>
    <mergeCell ref="A126:I129"/>
    <mergeCell ref="A106:C106"/>
    <mergeCell ref="A102:G102"/>
    <mergeCell ref="A107:C107"/>
    <mergeCell ref="A108:C108"/>
    <mergeCell ref="A114:H114"/>
    <mergeCell ref="A115:C115"/>
    <mergeCell ref="A105:C105"/>
    <mergeCell ref="A124:C124"/>
    <mergeCell ref="A125:C125"/>
    <mergeCell ref="A83:G83"/>
    <mergeCell ref="A96:C96"/>
    <mergeCell ref="A91:G91"/>
    <mergeCell ref="A84:G84"/>
    <mergeCell ref="A85:C85"/>
    <mergeCell ref="A86:C86"/>
    <mergeCell ref="A87:C87"/>
    <mergeCell ref="A88:C88"/>
    <mergeCell ref="A89:C89"/>
    <mergeCell ref="A90:F90"/>
    <mergeCell ref="A79:C79"/>
    <mergeCell ref="A80:F80"/>
    <mergeCell ref="A82:F82"/>
    <mergeCell ref="A81:G81"/>
    <mergeCell ref="A76:G76"/>
    <mergeCell ref="A77:C77"/>
    <mergeCell ref="A72:C72"/>
    <mergeCell ref="A78:C78"/>
    <mergeCell ref="A71:C71"/>
    <mergeCell ref="A73:C73"/>
    <mergeCell ref="A74:F74"/>
    <mergeCell ref="A75:G75"/>
    <mergeCell ref="A69:G69"/>
    <mergeCell ref="A70:C70"/>
    <mergeCell ref="D65:F65"/>
    <mergeCell ref="D66:F66"/>
    <mergeCell ref="A65:C65"/>
    <mergeCell ref="A64:G64"/>
    <mergeCell ref="A66:C66"/>
    <mergeCell ref="A67:G68"/>
    <mergeCell ref="A60:C60"/>
    <mergeCell ref="A61:C61"/>
    <mergeCell ref="A62:C62"/>
    <mergeCell ref="A63:F63"/>
    <mergeCell ref="A55:C55"/>
    <mergeCell ref="A56:F56"/>
    <mergeCell ref="A58:G58"/>
    <mergeCell ref="A59:C59"/>
    <mergeCell ref="A57:G57"/>
    <mergeCell ref="A51:C51"/>
    <mergeCell ref="A52:C52"/>
    <mergeCell ref="A53:C53"/>
    <mergeCell ref="A54:C54"/>
    <mergeCell ref="A46:C46"/>
    <mergeCell ref="A47:C47"/>
    <mergeCell ref="A48:F48"/>
    <mergeCell ref="A50:G50"/>
    <mergeCell ref="A49:G49"/>
    <mergeCell ref="A24:C24"/>
    <mergeCell ref="A42:C42"/>
    <mergeCell ref="A43:C43"/>
    <mergeCell ref="A44:C44"/>
    <mergeCell ref="A45:C45"/>
    <mergeCell ref="A37:C37"/>
    <mergeCell ref="A38:C38"/>
    <mergeCell ref="A39:F39"/>
    <mergeCell ref="A41:G41"/>
    <mergeCell ref="A40:G40"/>
    <mergeCell ref="A8:G8"/>
    <mergeCell ref="A36:C36"/>
    <mergeCell ref="A28:G28"/>
    <mergeCell ref="D16:G16"/>
    <mergeCell ref="A29:G29"/>
    <mergeCell ref="A30:G30"/>
    <mergeCell ref="A31:C31"/>
    <mergeCell ref="A21:C21"/>
    <mergeCell ref="A19:C19"/>
    <mergeCell ref="A20:C20"/>
    <mergeCell ref="A18:C18"/>
    <mergeCell ref="A25:C25"/>
    <mergeCell ref="A33:C33"/>
    <mergeCell ref="A5:C5"/>
    <mergeCell ref="A6:C6"/>
    <mergeCell ref="D3:G3"/>
    <mergeCell ref="D4:G4"/>
    <mergeCell ref="D5:G5"/>
    <mergeCell ref="D6:G6"/>
    <mergeCell ref="A7:G7"/>
    <mergeCell ref="A11:C11"/>
    <mergeCell ref="A12:C12"/>
    <mergeCell ref="A32:C32"/>
    <mergeCell ref="A13:C13"/>
    <mergeCell ref="A10:C10"/>
    <mergeCell ref="D17:G17"/>
    <mergeCell ref="D18:G18"/>
    <mergeCell ref="A15:C15"/>
    <mergeCell ref="A16:C16"/>
    <mergeCell ref="A17:C17"/>
    <mergeCell ref="E11:G11"/>
    <mergeCell ref="D15:G15"/>
    <mergeCell ref="E14:G14"/>
    <mergeCell ref="A1:G1"/>
    <mergeCell ref="A2:G2"/>
    <mergeCell ref="A4:C4"/>
    <mergeCell ref="A3:C3"/>
    <mergeCell ref="A9:C9"/>
    <mergeCell ref="E10:G10"/>
    <mergeCell ref="E9:G9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CEPEA - 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 Bertini Galan</dc:creator>
  <cp:keywords/>
  <dc:description/>
  <cp:lastModifiedBy>Mariana (Mafalda)</cp:lastModifiedBy>
  <cp:lastPrinted>2004-12-01T20:26:25Z</cp:lastPrinted>
  <dcterms:created xsi:type="dcterms:W3CDTF">2000-10-31T16:58:00Z</dcterms:created>
  <dcterms:modified xsi:type="dcterms:W3CDTF">2011-10-27T12:37:28Z</dcterms:modified>
  <cp:category/>
  <cp:version/>
  <cp:contentType/>
  <cp:contentStatus/>
</cp:coreProperties>
</file>