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7752" activeTab="3"/>
  </bookViews>
  <sheets>
    <sheet name="teta" sheetId="4" r:id="rId1"/>
    <sheet name="Lead_Time_P=&lt;M" sheetId="1" r:id="rId2"/>
    <sheet name="Lead_Time_P&gt;M" sheetId="5" r:id="rId3"/>
    <sheet name="Lead_Time_P&gt;M (2)" sheetId="6" r:id="rId4"/>
  </sheets>
  <calcPr calcId="125725"/>
</workbook>
</file>

<file path=xl/calcChain.xml><?xml version="1.0" encoding="utf-8"?>
<calcChain xmlns="http://schemas.openxmlformats.org/spreadsheetml/2006/main">
  <c r="G6" i="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5"/>
  <c r="AG1"/>
  <c r="AO2" l="1"/>
  <c r="AN25"/>
  <c r="AP25" s="1"/>
  <c r="N5" l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Y4"/>
  <c r="AQ5" l="1"/>
  <c r="AR5" s="1"/>
  <c r="AH5" l="1"/>
  <c r="AH36"/>
  <c r="BP35"/>
  <c r="AJ33"/>
  <c r="AK33" s="1"/>
  <c r="AJ32"/>
  <c r="AH24"/>
  <c r="A24" s="1"/>
  <c r="AH23"/>
  <c r="A23" s="1"/>
  <c r="AH22"/>
  <c r="A22" s="1"/>
  <c r="AH21"/>
  <c r="AH20"/>
  <c r="A20" s="1"/>
  <c r="AH19"/>
  <c r="A19" s="1"/>
  <c r="AH18"/>
  <c r="A18" s="1"/>
  <c r="AH17"/>
  <c r="AH16"/>
  <c r="A16" s="1"/>
  <c r="AH15"/>
  <c r="A15" s="1"/>
  <c r="AH14"/>
  <c r="A14" s="1"/>
  <c r="AH13"/>
  <c r="AH12"/>
  <c r="A12" s="1"/>
  <c r="AH11"/>
  <c r="A11" s="1"/>
  <c r="AH10"/>
  <c r="A10" s="1"/>
  <c r="AH9"/>
  <c r="AH8"/>
  <c r="A8" s="1"/>
  <c r="AH7"/>
  <c r="A7" s="1"/>
  <c r="BA6"/>
  <c r="BA5"/>
  <c r="A5"/>
  <c r="BF3"/>
  <c r="BF2"/>
  <c r="E3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I5"/>
  <c r="G25" i="1"/>
  <c r="J24" i="5"/>
  <c r="Y35"/>
  <c r="X35" s="1"/>
  <c r="G33"/>
  <c r="H33" s="1"/>
  <c r="G32"/>
  <c r="H32" s="1"/>
  <c r="B25"/>
  <c r="E24"/>
  <c r="E23"/>
  <c r="A23" s="1"/>
  <c r="F23" s="1"/>
  <c r="E22"/>
  <c r="E21"/>
  <c r="A21" s="1"/>
  <c r="F21" s="1"/>
  <c r="E20"/>
  <c r="E19"/>
  <c r="A19" s="1"/>
  <c r="F19" s="1"/>
  <c r="E18"/>
  <c r="E17"/>
  <c r="A17" s="1"/>
  <c r="F17" s="1"/>
  <c r="E16"/>
  <c r="E15"/>
  <c r="E14"/>
  <c r="E13"/>
  <c r="E12"/>
  <c r="E11"/>
  <c r="E10"/>
  <c r="A10" s="1"/>
  <c r="F10" s="1"/>
  <c r="E9"/>
  <c r="A9" s="1"/>
  <c r="F9" s="1"/>
  <c r="E8"/>
  <c r="A8" s="1"/>
  <c r="F8" s="1"/>
  <c r="E7"/>
  <c r="A7" s="1"/>
  <c r="F7" s="1"/>
  <c r="M6"/>
  <c r="N6" s="1"/>
  <c r="E6"/>
  <c r="M5"/>
  <c r="N5" s="1"/>
  <c r="E5"/>
  <c r="A5"/>
  <c r="F5" s="1"/>
  <c r="O3"/>
  <c r="F3"/>
  <c r="D29" s="1"/>
  <c r="E29" s="1"/>
  <c r="O2"/>
  <c r="F2"/>
  <c r="D28" s="1"/>
  <c r="E28" s="1"/>
  <c r="N3" i="1"/>
  <c r="N2"/>
  <c r="X35"/>
  <c r="W35" s="1"/>
  <c r="V35" s="1"/>
  <c r="U35" s="1"/>
  <c r="T35" s="1"/>
  <c r="S35" s="1"/>
  <c r="R35" s="1"/>
  <c r="Q35" s="1"/>
  <c r="P35" s="1"/>
  <c r="O35" s="1"/>
  <c r="N35" s="1"/>
  <c r="M35" s="1"/>
  <c r="L35" s="1"/>
  <c r="K35" s="1"/>
  <c r="E25" i="5" l="1"/>
  <c r="J5"/>
  <c r="AI2" i="6"/>
  <c r="AG19" s="1"/>
  <c r="AI3"/>
  <c r="BD5"/>
  <c r="BE5" s="1"/>
  <c r="BD6"/>
  <c r="BE6" s="1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25"/>
  <c r="AH6"/>
  <c r="A6" s="1"/>
  <c r="K37" i="1"/>
  <c r="K36"/>
  <c r="L36" s="1"/>
  <c r="A17" i="6"/>
  <c r="A21"/>
  <c r="A9"/>
  <c r="A13"/>
  <c r="AK32"/>
  <c r="BO35"/>
  <c r="O5" i="5"/>
  <c r="G34" s="1"/>
  <c r="X36"/>
  <c r="J23"/>
  <c r="J21"/>
  <c r="J19"/>
  <c r="J17"/>
  <c r="J15"/>
  <c r="J13"/>
  <c r="J11"/>
  <c r="Z36"/>
  <c r="Y37"/>
  <c r="J22"/>
  <c r="J20"/>
  <c r="J18"/>
  <c r="J16"/>
  <c r="J14"/>
  <c r="J12"/>
  <c r="J10"/>
  <c r="Z37"/>
  <c r="J9"/>
  <c r="J7"/>
  <c r="AD36"/>
  <c r="AB36"/>
  <c r="AE37"/>
  <c r="AC37"/>
  <c r="AA37"/>
  <c r="J8"/>
  <c r="J6"/>
  <c r="AE36"/>
  <c r="AC36"/>
  <c r="AA36"/>
  <c r="AD37"/>
  <c r="AB37"/>
  <c r="X37"/>
  <c r="Y36"/>
  <c r="D13"/>
  <c r="D18"/>
  <c r="D20"/>
  <c r="D22"/>
  <c r="A13"/>
  <c r="F13" s="1"/>
  <c r="D17"/>
  <c r="G17" s="1"/>
  <c r="A18"/>
  <c r="F18" s="1"/>
  <c r="D19"/>
  <c r="G19" s="1"/>
  <c r="A20"/>
  <c r="F20" s="1"/>
  <c r="D21"/>
  <c r="G21" s="1"/>
  <c r="A22"/>
  <c r="F22" s="1"/>
  <c r="D23"/>
  <c r="G23" s="1"/>
  <c r="D11"/>
  <c r="D14"/>
  <c r="D15"/>
  <c r="D24"/>
  <c r="D10"/>
  <c r="G10" s="1"/>
  <c r="D12"/>
  <c r="A14"/>
  <c r="F14" s="1"/>
  <c r="A15"/>
  <c r="F15" s="1"/>
  <c r="D16"/>
  <c r="A24"/>
  <c r="F24" s="1"/>
  <c r="D6"/>
  <c r="A11"/>
  <c r="F11" s="1"/>
  <c r="A12"/>
  <c r="F12" s="1"/>
  <c r="A16"/>
  <c r="F16" s="1"/>
  <c r="A6"/>
  <c r="F6" s="1"/>
  <c r="D8"/>
  <c r="G8" s="1"/>
  <c r="D7"/>
  <c r="G7" s="1"/>
  <c r="D9"/>
  <c r="G9" s="1"/>
  <c r="W35"/>
  <c r="W37" s="1"/>
  <c r="G5"/>
  <c r="K38" i="1"/>
  <c r="M36"/>
  <c r="G32"/>
  <c r="I32" s="1"/>
  <c r="A5"/>
  <c r="F5" s="1"/>
  <c r="C22" i="4"/>
  <c r="C23" s="1"/>
  <c r="D2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"/>
  <c r="G33" i="1"/>
  <c r="I33" s="1"/>
  <c r="F3"/>
  <c r="D29" s="1"/>
  <c r="I11"/>
  <c r="I12"/>
  <c r="I13"/>
  <c r="I14"/>
  <c r="I15"/>
  <c r="I16"/>
  <c r="I17"/>
  <c r="I18"/>
  <c r="I19"/>
  <c r="I20"/>
  <c r="I21"/>
  <c r="I22"/>
  <c r="I23"/>
  <c r="I24"/>
  <c r="E25"/>
  <c r="I8" s="1"/>
  <c r="L6"/>
  <c r="M6" s="1"/>
  <c r="L5"/>
  <c r="M5" s="1"/>
  <c r="F2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E7"/>
  <c r="A7" s="1"/>
  <c r="F7" s="1"/>
  <c r="E8"/>
  <c r="A8" s="1"/>
  <c r="F8" s="1"/>
  <c r="E9"/>
  <c r="E10"/>
  <c r="E11"/>
  <c r="A11" s="1"/>
  <c r="F11" s="1"/>
  <c r="E12"/>
  <c r="A12" s="1"/>
  <c r="F12" s="1"/>
  <c r="E13"/>
  <c r="A13" s="1"/>
  <c r="F13" s="1"/>
  <c r="E14"/>
  <c r="D14" s="1"/>
  <c r="E15"/>
  <c r="A15" s="1"/>
  <c r="F15" s="1"/>
  <c r="E16"/>
  <c r="A16" s="1"/>
  <c r="F16" s="1"/>
  <c r="E17"/>
  <c r="A17" s="1"/>
  <c r="F17" s="1"/>
  <c r="E18"/>
  <c r="D18" s="1"/>
  <c r="E19"/>
  <c r="A19" s="1"/>
  <c r="F19" s="1"/>
  <c r="E20"/>
  <c r="A20" s="1"/>
  <c r="F20" s="1"/>
  <c r="E21"/>
  <c r="A21" s="1"/>
  <c r="F21" s="1"/>
  <c r="E22"/>
  <c r="D22" s="1"/>
  <c r="E23"/>
  <c r="A23" s="1"/>
  <c r="F23" s="1"/>
  <c r="E24"/>
  <c r="A24" s="1"/>
  <c r="F24" s="1"/>
  <c r="E6"/>
  <c r="B25"/>
  <c r="E5"/>
  <c r="AG24" i="6" l="1"/>
  <c r="AO24" s="1"/>
  <c r="AG23"/>
  <c r="AZ23" s="1"/>
  <c r="H23" s="1"/>
  <c r="AG9"/>
  <c r="AZ9" s="1"/>
  <c r="H9" s="1"/>
  <c r="AG22"/>
  <c r="AG20"/>
  <c r="AZ19"/>
  <c r="H19" s="1"/>
  <c r="AZ24"/>
  <c r="H24" s="1"/>
  <c r="AG18"/>
  <c r="AG16"/>
  <c r="AG14"/>
  <c r="AG21"/>
  <c r="AO21" s="1"/>
  <c r="AG17"/>
  <c r="BA25"/>
  <c r="AZ5"/>
  <c r="H5" s="1"/>
  <c r="AO19"/>
  <c r="AG10"/>
  <c r="AG15"/>
  <c r="AG7"/>
  <c r="AG11"/>
  <c r="AG12"/>
  <c r="AG8"/>
  <c r="AG28"/>
  <c r="AH28" s="1"/>
  <c r="AG13"/>
  <c r="AG6"/>
  <c r="BF5"/>
  <c r="AJ34" s="1"/>
  <c r="AH25"/>
  <c r="AG29"/>
  <c r="AH29" s="1"/>
  <c r="I6" i="1"/>
  <c r="I9"/>
  <c r="I7"/>
  <c r="I5"/>
  <c r="I10"/>
  <c r="BN35" i="6"/>
  <c r="G24" i="5"/>
  <c r="G14"/>
  <c r="G13"/>
  <c r="G15"/>
  <c r="G11"/>
  <c r="W36"/>
  <c r="G6"/>
  <c r="G16"/>
  <c r="G12"/>
  <c r="G22"/>
  <c r="G18"/>
  <c r="G20"/>
  <c r="D25"/>
  <c r="V35"/>
  <c r="V37" s="1"/>
  <c r="L38" i="1"/>
  <c r="N36"/>
  <c r="M38"/>
  <c r="D28"/>
  <c r="E28" s="1"/>
  <c r="Y37"/>
  <c r="J5"/>
  <c r="E29"/>
  <c r="D9"/>
  <c r="G5"/>
  <c r="N5"/>
  <c r="D8"/>
  <c r="D13"/>
  <c r="D10"/>
  <c r="D17"/>
  <c r="D21"/>
  <c r="D7"/>
  <c r="D23"/>
  <c r="D19"/>
  <c r="D15"/>
  <c r="D11"/>
  <c r="D24"/>
  <c r="D20"/>
  <c r="D16"/>
  <c r="D12"/>
  <c r="A14"/>
  <c r="F14" s="1"/>
  <c r="G14" s="1"/>
  <c r="A9"/>
  <c r="F9" s="1"/>
  <c r="A10"/>
  <c r="F10" s="1"/>
  <c r="A18"/>
  <c r="F18" s="1"/>
  <c r="G18" s="1"/>
  <c r="A22"/>
  <c r="F22" s="1"/>
  <c r="G22" s="1"/>
  <c r="D6"/>
  <c r="A25"/>
  <c r="A6"/>
  <c r="F6" s="1"/>
  <c r="AO23" i="6" l="1"/>
  <c r="AN23" s="1"/>
  <c r="AZ22"/>
  <c r="H22" s="1"/>
  <c r="AZ20"/>
  <c r="H20" s="1"/>
  <c r="AO18"/>
  <c r="AN18" s="1"/>
  <c r="AO16"/>
  <c r="AN16" s="1"/>
  <c r="I24"/>
  <c r="AN24"/>
  <c r="I19"/>
  <c r="AN19"/>
  <c r="I21"/>
  <c r="AN21"/>
  <c r="AZ14"/>
  <c r="H14" s="1"/>
  <c r="AZ21"/>
  <c r="H21" s="1"/>
  <c r="AO9"/>
  <c r="AO22"/>
  <c r="AZ16"/>
  <c r="H16" s="1"/>
  <c r="AO20"/>
  <c r="AO17"/>
  <c r="AO14"/>
  <c r="AZ17"/>
  <c r="H17" s="1"/>
  <c r="AZ18"/>
  <c r="H18" s="1"/>
  <c r="AZ15"/>
  <c r="H15" s="1"/>
  <c r="AZ13"/>
  <c r="H13" s="1"/>
  <c r="AZ12"/>
  <c r="H12" s="1"/>
  <c r="AZ7"/>
  <c r="H7" s="1"/>
  <c r="AZ10"/>
  <c r="H10" s="1"/>
  <c r="AZ8"/>
  <c r="H8" s="1"/>
  <c r="AZ11"/>
  <c r="H11" s="1"/>
  <c r="AZ6"/>
  <c r="H6" s="1"/>
  <c r="AO13"/>
  <c r="AO8"/>
  <c r="AO11"/>
  <c r="AO15"/>
  <c r="BB25"/>
  <c r="AO25"/>
  <c r="AO6"/>
  <c r="AO12"/>
  <c r="AO7"/>
  <c r="AO10"/>
  <c r="BM35"/>
  <c r="V36" i="5"/>
  <c r="U35"/>
  <c r="U37" s="1"/>
  <c r="N38" i="1"/>
  <c r="O36"/>
  <c r="Z37"/>
  <c r="G34"/>
  <c r="F5" i="4"/>
  <c r="J5" s="1"/>
  <c r="F9"/>
  <c r="J9" s="1"/>
  <c r="F13"/>
  <c r="J13" s="1"/>
  <c r="F17"/>
  <c r="J17" s="1"/>
  <c r="F21"/>
  <c r="J21" s="1"/>
  <c r="F12"/>
  <c r="J12" s="1"/>
  <c r="F6"/>
  <c r="J6" s="1"/>
  <c r="F10"/>
  <c r="J10" s="1"/>
  <c r="F14"/>
  <c r="J14" s="1"/>
  <c r="F18"/>
  <c r="J18" s="1"/>
  <c r="F2"/>
  <c r="J2" s="1"/>
  <c r="F3"/>
  <c r="J3" s="1"/>
  <c r="F7"/>
  <c r="J7" s="1"/>
  <c r="F11"/>
  <c r="J11" s="1"/>
  <c r="F15"/>
  <c r="J15" s="1"/>
  <c r="F19"/>
  <c r="J19" s="1"/>
  <c r="F4"/>
  <c r="J4" s="1"/>
  <c r="F8"/>
  <c r="J8" s="1"/>
  <c r="F16"/>
  <c r="J16" s="1"/>
  <c r="F20"/>
  <c r="J20" s="1"/>
  <c r="G15" i="1"/>
  <c r="G24"/>
  <c r="G23"/>
  <c r="G12"/>
  <c r="G11"/>
  <c r="G7"/>
  <c r="G13"/>
  <c r="G16"/>
  <c r="G21"/>
  <c r="G20"/>
  <c r="G19"/>
  <c r="G17"/>
  <c r="G9"/>
  <c r="D25"/>
  <c r="G8"/>
  <c r="G10"/>
  <c r="G6"/>
  <c r="H6" s="1"/>
  <c r="I23" i="6" l="1"/>
  <c r="I18"/>
  <c r="J18" s="1"/>
  <c r="I16"/>
  <c r="J16" s="1"/>
  <c r="I13"/>
  <c r="J13" s="1"/>
  <c r="AN13"/>
  <c r="I9"/>
  <c r="J9" s="1"/>
  <c r="AN9"/>
  <c r="I10"/>
  <c r="J10" s="1"/>
  <c r="AN10"/>
  <c r="I8"/>
  <c r="J8" s="1"/>
  <c r="AN8"/>
  <c r="I22"/>
  <c r="AN22"/>
  <c r="I15"/>
  <c r="J15" s="1"/>
  <c r="AN15"/>
  <c r="I20"/>
  <c r="J20" s="1"/>
  <c r="AN20"/>
  <c r="I11"/>
  <c r="J11" s="1"/>
  <c r="AN11"/>
  <c r="I17"/>
  <c r="J17" s="1"/>
  <c r="AN17"/>
  <c r="I7"/>
  <c r="J7" s="1"/>
  <c r="AN7"/>
  <c r="I14"/>
  <c r="J14" s="1"/>
  <c r="AN14"/>
  <c r="I6"/>
  <c r="J6" s="1"/>
  <c r="AN6"/>
  <c r="I12"/>
  <c r="J12" s="1"/>
  <c r="AN12"/>
  <c r="J24"/>
  <c r="J19"/>
  <c r="J22"/>
  <c r="J23"/>
  <c r="J21"/>
  <c r="BL35"/>
  <c r="U36" i="5"/>
  <c r="T35"/>
  <c r="T37" s="1"/>
  <c r="P36" i="1"/>
  <c r="O38"/>
  <c r="AA37"/>
  <c r="J6"/>
  <c r="H7"/>
  <c r="BK35" i="6" l="1"/>
  <c r="T36" i="5"/>
  <c r="S35"/>
  <c r="S37" s="1"/>
  <c r="P38" i="1"/>
  <c r="Q36"/>
  <c r="AB37"/>
  <c r="H8"/>
  <c r="J7"/>
  <c r="BJ35" i="6" l="1"/>
  <c r="S36" i="5"/>
  <c r="R35"/>
  <c r="R37" s="1"/>
  <c r="R36" i="1"/>
  <c r="Q38"/>
  <c r="AC37"/>
  <c r="H9"/>
  <c r="J8"/>
  <c r="I25"/>
  <c r="BI35" i="6" l="1"/>
  <c r="R36" i="5"/>
  <c r="Q35"/>
  <c r="Q37" s="1"/>
  <c r="R38" i="1"/>
  <c r="S36"/>
  <c r="AD37"/>
  <c r="H10"/>
  <c r="J9"/>
  <c r="BH35" i="6" l="1"/>
  <c r="Q36" i="5"/>
  <c r="P35"/>
  <c r="P37" s="1"/>
  <c r="T36" i="1"/>
  <c r="S38"/>
  <c r="H11"/>
  <c r="J10"/>
  <c r="BG35" i="6" l="1"/>
  <c r="P36" i="5"/>
  <c r="O35"/>
  <c r="O37" s="1"/>
  <c r="U36" i="1"/>
  <c r="T38"/>
  <c r="H12"/>
  <c r="J11"/>
  <c r="BF35" i="6" l="1"/>
  <c r="O36" i="5"/>
  <c r="N35"/>
  <c r="N37" s="1"/>
  <c r="V36" i="1"/>
  <c r="U38"/>
  <c r="H13"/>
  <c r="J12"/>
  <c r="BE35" i="6" l="1"/>
  <c r="N36" i="5"/>
  <c r="M35"/>
  <c r="M37" s="1"/>
  <c r="V38" i="1"/>
  <c r="W36"/>
  <c r="H14"/>
  <c r="J13"/>
  <c r="BD35" i="6" l="1"/>
  <c r="M36" i="5"/>
  <c r="L35"/>
  <c r="L37" s="1"/>
  <c r="X36" i="1"/>
  <c r="W38"/>
  <c r="H15"/>
  <c r="J14"/>
  <c r="BC35" i="6" l="1"/>
  <c r="L36" i="5"/>
  <c r="Y36" i="1"/>
  <c r="X38"/>
  <c r="H16"/>
  <c r="J15"/>
  <c r="N38" i="5" l="1"/>
  <c r="M38"/>
  <c r="L38"/>
  <c r="Z36" i="1"/>
  <c r="Y38"/>
  <c r="H17"/>
  <c r="J16"/>
  <c r="O38" i="5" l="1"/>
  <c r="AA36" i="1"/>
  <c r="Z38"/>
  <c r="H18"/>
  <c r="J17"/>
  <c r="P38" i="5" l="1"/>
  <c r="AB36" i="1"/>
  <c r="AA38"/>
  <c r="H19"/>
  <c r="J18"/>
  <c r="Q38" i="5" l="1"/>
  <c r="AC36" i="1"/>
  <c r="AB38"/>
  <c r="H20"/>
  <c r="J19"/>
  <c r="R38" i="5" l="1"/>
  <c r="AD36" i="1"/>
  <c r="AD38" s="1"/>
  <c r="AC38"/>
  <c r="H21"/>
  <c r="J20"/>
  <c r="S38" i="5" l="1"/>
  <c r="H22" i="1"/>
  <c r="J21"/>
  <c r="T38" i="5" l="1"/>
  <c r="H23" i="1"/>
  <c r="J22"/>
  <c r="U38" i="5" l="1"/>
  <c r="H24" i="1"/>
  <c r="J23"/>
  <c r="H26" l="1"/>
  <c r="I3" s="1"/>
  <c r="H25"/>
  <c r="V38" i="5"/>
  <c r="J24" i="1"/>
  <c r="J25" s="1"/>
  <c r="I2" s="1"/>
  <c r="W38" i="5" l="1"/>
  <c r="X38" l="1"/>
  <c r="Y38" l="1"/>
  <c r="Z38" l="1"/>
  <c r="AA38" l="1"/>
  <c r="AB38" l="1"/>
  <c r="AC38" l="1"/>
  <c r="AD38" l="1"/>
  <c r="AE38"/>
  <c r="A25"/>
  <c r="K7"/>
  <c r="K14"/>
  <c r="K6"/>
  <c r="K23"/>
  <c r="K9"/>
  <c r="K12"/>
  <c r="K19"/>
  <c r="K16"/>
  <c r="K10"/>
  <c r="K11"/>
  <c r="K8"/>
  <c r="K13"/>
  <c r="K18"/>
  <c r="K15"/>
  <c r="K21"/>
  <c r="K22"/>
  <c r="K20"/>
  <c r="K17"/>
  <c r="K24"/>
  <c r="K5" l="1"/>
  <c r="H6"/>
  <c r="H7" l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A25" i="6"/>
  <c r="AI25" l="1"/>
  <c r="AL25" s="1"/>
  <c r="AO5"/>
  <c r="AN5" s="1"/>
  <c r="AY5"/>
  <c r="AY6" s="1"/>
  <c r="AQ6" s="1"/>
  <c r="AR6" s="1"/>
  <c r="I5" l="1"/>
  <c r="J5" s="1"/>
  <c r="AY7"/>
  <c r="AY8" s="1"/>
  <c r="AX6" l="1"/>
  <c r="AX8"/>
  <c r="AQ7"/>
  <c r="AX7"/>
  <c r="AY9"/>
  <c r="AQ8" l="1"/>
  <c r="AR7"/>
  <c r="AX9"/>
  <c r="AY10"/>
  <c r="AX10" l="1"/>
  <c r="AQ9"/>
  <c r="AR8"/>
  <c r="AY11"/>
  <c r="AX11" l="1"/>
  <c r="AQ10"/>
  <c r="AR10" s="1"/>
  <c r="AR9"/>
  <c r="AY12"/>
  <c r="AQ11" l="1"/>
  <c r="AQ12" s="1"/>
  <c r="AR12" s="1"/>
  <c r="AX12"/>
  <c r="AY13"/>
  <c r="AR11" l="1"/>
  <c r="AQ13"/>
  <c r="AR13" s="1"/>
  <c r="AX13"/>
  <c r="AY14"/>
  <c r="AQ14" l="1"/>
  <c r="AR14" s="1"/>
  <c r="AX14"/>
  <c r="AY15"/>
  <c r="AQ15" l="1"/>
  <c r="AR15" s="1"/>
  <c r="AX15"/>
  <c r="AY16"/>
  <c r="AQ16" l="1"/>
  <c r="AR16" s="1"/>
  <c r="AX16"/>
  <c r="AY17"/>
  <c r="AQ17" l="1"/>
  <c r="AR17" s="1"/>
  <c r="AX17"/>
  <c r="AY18"/>
  <c r="AQ18" l="1"/>
  <c r="AR18" s="1"/>
  <c r="AX18"/>
  <c r="AY19"/>
  <c r="AQ19" l="1"/>
  <c r="AR19" s="1"/>
  <c r="AX19"/>
  <c r="AY20"/>
  <c r="AQ20" l="1"/>
  <c r="AR20" s="1"/>
  <c r="AX20"/>
  <c r="AY21"/>
  <c r="AQ21" l="1"/>
  <c r="AR21" s="1"/>
  <c r="AX21"/>
  <c r="AY22"/>
  <c r="AQ22" l="1"/>
  <c r="AR22" s="1"/>
  <c r="AI22" s="1"/>
  <c r="AL22" s="1"/>
  <c r="AX22"/>
  <c r="AY23"/>
  <c r="AQ23" l="1"/>
  <c r="AR23" s="1"/>
  <c r="AI23" s="1"/>
  <c r="AL23" s="1"/>
  <c r="AX23"/>
  <c r="AY24"/>
  <c r="AQ25" s="1"/>
  <c r="AR25" s="1"/>
  <c r="AW25" s="1"/>
  <c r="AQ24" l="1"/>
  <c r="AR24" s="1"/>
  <c r="AI24" s="1"/>
  <c r="AL24" s="1"/>
  <c r="AX24"/>
  <c r="AP15"/>
  <c r="AP16" l="1"/>
  <c r="AP18"/>
  <c r="AP17"/>
  <c r="AV25"/>
  <c r="AS25" s="1"/>
  <c r="AP20"/>
  <c r="AP19"/>
  <c r="AP23"/>
  <c r="AP22"/>
  <c r="AP24"/>
  <c r="AW24" s="1"/>
  <c r="AW23" s="1"/>
  <c r="AP21"/>
  <c r="AP14"/>
  <c r="AP6"/>
  <c r="AP7"/>
  <c r="AP10"/>
  <c r="AP8"/>
  <c r="AW22" l="1"/>
  <c r="AJ25"/>
  <c r="AK25"/>
  <c r="AM25" s="1"/>
  <c r="AW21" l="1"/>
  <c r="AP11"/>
  <c r="AP13"/>
  <c r="AP12"/>
  <c r="AP9"/>
  <c r="AP5"/>
  <c r="AW20" l="1"/>
  <c r="AW19" l="1"/>
  <c r="AW18" l="1"/>
  <c r="AW17" l="1"/>
  <c r="AW16" l="1"/>
  <c r="AW15" l="1"/>
  <c r="AW14" l="1"/>
  <c r="AW13" l="1"/>
  <c r="AW12" l="1"/>
  <c r="AW11" s="1"/>
  <c r="AW10" s="1"/>
  <c r="AW9" s="1"/>
  <c r="AW8" s="1"/>
  <c r="AW7" s="1"/>
  <c r="AW6" l="1"/>
  <c r="AW5" l="1"/>
  <c r="AV5" s="1"/>
  <c r="AS5" l="1"/>
  <c r="AI5" l="1"/>
  <c r="AL5" s="1"/>
  <c r="AJ5" l="1"/>
  <c r="AK5" l="1"/>
  <c r="C5" s="1"/>
  <c r="AU6"/>
  <c r="D5" l="1"/>
  <c r="AM5"/>
  <c r="BB5" s="1"/>
  <c r="AT6" l="1"/>
  <c r="AV6" s="1"/>
  <c r="BV36"/>
  <c r="BV37"/>
  <c r="AS6" l="1"/>
  <c r="AI6" s="1"/>
  <c r="AL6" s="1"/>
  <c r="BV38"/>
  <c r="AJ6" l="1"/>
  <c r="AU7" s="1"/>
  <c r="AK6" l="1"/>
  <c r="AC6" s="1"/>
  <c r="C6"/>
  <c r="AA6"/>
  <c r="AD6"/>
  <c r="AM6"/>
  <c r="BB6" s="1"/>
  <c r="W6"/>
  <c r="Y6"/>
  <c r="M6"/>
  <c r="V6"/>
  <c r="X6"/>
  <c r="AF6"/>
  <c r="S6"/>
  <c r="N6"/>
  <c r="O6"/>
  <c r="T6"/>
  <c r="Z6"/>
  <c r="P6"/>
  <c r="AB6"/>
  <c r="R6"/>
  <c r="Q6"/>
  <c r="AE6"/>
  <c r="U6" l="1"/>
  <c r="D6"/>
  <c r="BU36"/>
  <c r="AT7"/>
  <c r="AV7" s="1"/>
  <c r="BU37"/>
  <c r="F7" l="1"/>
  <c r="F6"/>
  <c r="BU38"/>
  <c r="AS7"/>
  <c r="AI7" s="1"/>
  <c r="AL7" s="1"/>
  <c r="AJ7" l="1"/>
  <c r="AK7" l="1"/>
  <c r="AU8"/>
  <c r="O7" l="1"/>
  <c r="C7"/>
  <c r="X7"/>
  <c r="N7"/>
  <c r="AB7"/>
  <c r="R7"/>
  <c r="AM7"/>
  <c r="AT8" s="1"/>
  <c r="AV8" s="1"/>
  <c r="Q7"/>
  <c r="Y7"/>
  <c r="AE7"/>
  <c r="P7"/>
  <c r="U7"/>
  <c r="AD7"/>
  <c r="Z7"/>
  <c r="AF7"/>
  <c r="T7"/>
  <c r="W7"/>
  <c r="AC7"/>
  <c r="AA7"/>
  <c r="S7"/>
  <c r="V7"/>
  <c r="M7"/>
  <c r="AS8" l="1"/>
  <c r="AI8" s="1"/>
  <c r="AL8" s="1"/>
  <c r="D7"/>
  <c r="E7" s="1"/>
  <c r="F8" s="1"/>
  <c r="BT36"/>
  <c r="BB7"/>
  <c r="BT37"/>
  <c r="AJ8" l="1"/>
  <c r="AK8" s="1"/>
  <c r="C8" s="1"/>
  <c r="BT38"/>
  <c r="AU9" l="1"/>
  <c r="D8"/>
  <c r="E8" s="1"/>
  <c r="F9" s="1"/>
  <c r="N8"/>
  <c r="AB8"/>
  <c r="R8"/>
  <c r="Z8"/>
  <c r="S8"/>
  <c r="AF8"/>
  <c r="W8"/>
  <c r="O8"/>
  <c r="AD8"/>
  <c r="X8"/>
  <c r="AM8"/>
  <c r="BB8" s="1"/>
  <c r="M8"/>
  <c r="AA8"/>
  <c r="U8"/>
  <c r="Q8"/>
  <c r="P8"/>
  <c r="T8"/>
  <c r="AC8"/>
  <c r="V8"/>
  <c r="Y8"/>
  <c r="AE8"/>
  <c r="BS37" l="1"/>
  <c r="BS36"/>
  <c r="AT9"/>
  <c r="AV9" s="1"/>
  <c r="AS9" l="1"/>
  <c r="BS38"/>
  <c r="AI9" l="1"/>
  <c r="AL9" s="1"/>
  <c r="AJ9" l="1"/>
  <c r="AK9" s="1"/>
  <c r="C9" s="1"/>
  <c r="D9" s="1"/>
  <c r="E9" s="1"/>
  <c r="F10" s="1"/>
  <c r="AM9" l="1"/>
  <c r="BB9" s="1"/>
  <c r="P9"/>
  <c r="Q9"/>
  <c r="X9"/>
  <c r="S9"/>
  <c r="AD9"/>
  <c r="Y9"/>
  <c r="M9"/>
  <c r="T9"/>
  <c r="R9"/>
  <c r="AF9"/>
  <c r="N9"/>
  <c r="O9"/>
  <c r="W9"/>
  <c r="AE9"/>
  <c r="AA9"/>
  <c r="U9"/>
  <c r="AC9"/>
  <c r="V9"/>
  <c r="Z9"/>
  <c r="AB9"/>
  <c r="AU10"/>
  <c r="BR36"/>
  <c r="AT10"/>
  <c r="AV10" s="1"/>
  <c r="BR37"/>
  <c r="BR38" l="1"/>
  <c r="AS10"/>
  <c r="AI10" l="1"/>
  <c r="AL10" s="1"/>
  <c r="AJ10" l="1"/>
  <c r="AK10" s="1"/>
  <c r="C10" s="1"/>
  <c r="D10" s="1"/>
  <c r="E10" s="1"/>
  <c r="F11" s="1"/>
  <c r="V10" l="1"/>
  <c r="Y10"/>
  <c r="O10"/>
  <c r="Q10"/>
  <c r="S10"/>
  <c r="U10"/>
  <c r="N10"/>
  <c r="P10"/>
  <c r="R10"/>
  <c r="M10"/>
  <c r="AD10"/>
  <c r="Z10"/>
  <c r="AF10"/>
  <c r="AA10"/>
  <c r="AC10"/>
  <c r="T10"/>
  <c r="AM10"/>
  <c r="BQ36" s="1"/>
  <c r="AE10"/>
  <c r="AB10"/>
  <c r="X10"/>
  <c r="W10"/>
  <c r="AU11"/>
  <c r="BB10" l="1"/>
  <c r="BQ37"/>
  <c r="BQ38" s="1"/>
  <c r="AT11"/>
  <c r="AV11" s="1"/>
  <c r="AS11" l="1"/>
  <c r="AI11" s="1"/>
  <c r="AL11" s="1"/>
  <c r="AJ11" l="1"/>
  <c r="AK11" s="1"/>
  <c r="C11" s="1"/>
  <c r="D11" s="1"/>
  <c r="E11" s="1"/>
  <c r="F12" s="1"/>
  <c r="X11" l="1"/>
  <c r="AE11"/>
  <c r="AD11"/>
  <c r="AF11"/>
  <c r="W11"/>
  <c r="S11"/>
  <c r="M11"/>
  <c r="AC11"/>
  <c r="AB11"/>
  <c r="Q11"/>
  <c r="AM11"/>
  <c r="BB11" s="1"/>
  <c r="R11"/>
  <c r="P11"/>
  <c r="Z11"/>
  <c r="AA11"/>
  <c r="N11"/>
  <c r="O11"/>
  <c r="U11"/>
  <c r="V11"/>
  <c r="T11"/>
  <c r="Y11"/>
  <c r="AU12"/>
  <c r="AT12"/>
  <c r="AV12" s="1"/>
  <c r="BP37" l="1"/>
  <c r="BP36"/>
  <c r="BP38" s="1"/>
  <c r="AS12"/>
  <c r="AI12" l="1"/>
  <c r="AL12" s="1"/>
  <c r="AJ12" l="1"/>
  <c r="AU13" s="1"/>
  <c r="AK12" l="1"/>
  <c r="AF12" s="1"/>
  <c r="Q12" l="1"/>
  <c r="C12"/>
  <c r="D12" s="1"/>
  <c r="E12" s="1"/>
  <c r="F13" s="1"/>
  <c r="M12"/>
  <c r="AE12"/>
  <c r="S12"/>
  <c r="AM12"/>
  <c r="AA12"/>
  <c r="X12"/>
  <c r="P12"/>
  <c r="Z12"/>
  <c r="AC12"/>
  <c r="U12"/>
  <c r="W12"/>
  <c r="AB12"/>
  <c r="R12"/>
  <c r="V12"/>
  <c r="Y12"/>
  <c r="N12"/>
  <c r="O12"/>
  <c r="T12"/>
  <c r="AD12"/>
  <c r="BO36" l="1"/>
  <c r="BB12"/>
  <c r="AT13"/>
  <c r="AV13" s="1"/>
  <c r="BO37"/>
  <c r="BO38" l="1"/>
  <c r="AS13"/>
  <c r="AI13" l="1"/>
  <c r="AL13" s="1"/>
  <c r="AJ13"/>
  <c r="AU14" l="1"/>
  <c r="AK13"/>
  <c r="C13" l="1"/>
  <c r="D13" s="1"/>
  <c r="E13" s="1"/>
  <c r="F14" s="1"/>
  <c r="W13"/>
  <c r="AC13"/>
  <c r="AA13"/>
  <c r="V13"/>
  <c r="Y13"/>
  <c r="AE13"/>
  <c r="AM13"/>
  <c r="N13"/>
  <c r="M13"/>
  <c r="R13"/>
  <c r="O13"/>
  <c r="P13"/>
  <c r="T13"/>
  <c r="X13"/>
  <c r="AF13"/>
  <c r="Q13"/>
  <c r="AB13"/>
  <c r="Z13"/>
  <c r="S13"/>
  <c r="AD13"/>
  <c r="U13"/>
  <c r="BB13"/>
  <c r="BN36" l="1"/>
  <c r="AT14"/>
  <c r="AV14" s="1"/>
  <c r="BN37"/>
  <c r="BN38" s="1"/>
  <c r="AS14" l="1"/>
  <c r="AI14" l="1"/>
  <c r="AL14" s="1"/>
  <c r="AJ14"/>
  <c r="AK14" l="1"/>
  <c r="AU15"/>
  <c r="C14" l="1"/>
  <c r="D14" s="1"/>
  <c r="E14" s="1"/>
  <c r="F15" s="1"/>
  <c r="AF14"/>
  <c r="T14"/>
  <c r="W14"/>
  <c r="AC14"/>
  <c r="O14"/>
  <c r="X14"/>
  <c r="V14"/>
  <c r="Y14"/>
  <c r="AM14"/>
  <c r="R14"/>
  <c r="AA14"/>
  <c r="AD14"/>
  <c r="AE14"/>
  <c r="S14"/>
  <c r="AB14"/>
  <c r="M14"/>
  <c r="N14"/>
  <c r="U14"/>
  <c r="P14"/>
  <c r="Z14"/>
  <c r="Q14"/>
  <c r="AT15" l="1"/>
  <c r="AV15" s="1"/>
  <c r="BM36"/>
  <c r="BM37"/>
  <c r="BB14"/>
  <c r="BM38" l="1"/>
  <c r="AS15"/>
  <c r="AI15" l="1"/>
  <c r="AL15" s="1"/>
  <c r="AJ15"/>
  <c r="AU16" l="1"/>
  <c r="AK15"/>
  <c r="C15" l="1"/>
  <c r="D15" s="1"/>
  <c r="E15" s="1"/>
  <c r="F16" s="1"/>
  <c r="AB15"/>
  <c r="Q15"/>
  <c r="W15"/>
  <c r="U15"/>
  <c r="M15"/>
  <c r="S15"/>
  <c r="N15"/>
  <c r="AA15"/>
  <c r="O15"/>
  <c r="P15"/>
  <c r="Z15"/>
  <c r="T15"/>
  <c r="AD15"/>
  <c r="AM15"/>
  <c r="V15"/>
  <c r="X15"/>
  <c r="AC15"/>
  <c r="Y15"/>
  <c r="R15"/>
  <c r="AF15"/>
  <c r="AE15"/>
  <c r="BB15"/>
  <c r="AT16" l="1"/>
  <c r="AV16" s="1"/>
  <c r="BL36"/>
  <c r="BL37"/>
  <c r="BL38" l="1"/>
  <c r="AS16"/>
  <c r="AI16" l="1"/>
  <c r="AL16" s="1"/>
  <c r="AJ16" l="1"/>
  <c r="AK16" s="1"/>
  <c r="Q16" s="1"/>
  <c r="AD16" l="1"/>
  <c r="O16"/>
  <c r="AM16"/>
  <c r="BB16" s="1"/>
  <c r="AA16"/>
  <c r="S16"/>
  <c r="U16"/>
  <c r="AC16"/>
  <c r="W16"/>
  <c r="AE16"/>
  <c r="AB16"/>
  <c r="C16"/>
  <c r="Y16"/>
  <c r="T16"/>
  <c r="V16"/>
  <c r="M16"/>
  <c r="AF16"/>
  <c r="R16"/>
  <c r="N16"/>
  <c r="Z16"/>
  <c r="X16"/>
  <c r="P16"/>
  <c r="AU17"/>
  <c r="BK36"/>
  <c r="BK37"/>
  <c r="AT17"/>
  <c r="AV17" s="1"/>
  <c r="D16"/>
  <c r="E16" s="1"/>
  <c r="F17" s="1"/>
  <c r="AS17" l="1"/>
  <c r="BK38"/>
  <c r="AI17" l="1"/>
  <c r="AL17" s="1"/>
  <c r="AJ17" l="1"/>
  <c r="AU18" l="1"/>
  <c r="AK17"/>
  <c r="C17" l="1"/>
  <c r="D17" s="1"/>
  <c r="E17" s="1"/>
  <c r="F18" s="1"/>
  <c r="P17"/>
  <c r="Q17"/>
  <c r="X17"/>
  <c r="O17"/>
  <c r="W17"/>
  <c r="T17"/>
  <c r="U17"/>
  <c r="AD17"/>
  <c r="AA17"/>
  <c r="M17"/>
  <c r="V17"/>
  <c r="R17"/>
  <c r="AF17"/>
  <c r="Z17"/>
  <c r="AC17"/>
  <c r="AE17"/>
  <c r="S17"/>
  <c r="N17"/>
  <c r="AB17"/>
  <c r="Y17"/>
  <c r="AM17"/>
  <c r="BB17" l="1"/>
  <c r="BJ37"/>
  <c r="BJ36"/>
  <c r="AT18"/>
  <c r="AV18" s="1"/>
  <c r="AS18" l="1"/>
  <c r="BJ38"/>
  <c r="AI18" l="1"/>
  <c r="AL18" s="1"/>
  <c r="AJ18" l="1"/>
  <c r="AU19" s="1"/>
  <c r="AK18" l="1"/>
  <c r="P18" s="1"/>
  <c r="V18"/>
  <c r="AD18"/>
  <c r="T18"/>
  <c r="S18"/>
  <c r="N18"/>
  <c r="AF18"/>
  <c r="W18"/>
  <c r="AA18"/>
  <c r="O18"/>
  <c r="C18"/>
  <c r="D18" s="1"/>
  <c r="E18" s="1"/>
  <c r="F19" s="1"/>
  <c r="R18"/>
  <c r="U18"/>
  <c r="Z18"/>
  <c r="AE18"/>
  <c r="AC18"/>
  <c r="AB18"/>
  <c r="Q18"/>
  <c r="AM18"/>
  <c r="M18" l="1"/>
  <c r="Y18"/>
  <c r="X18"/>
  <c r="AT19"/>
  <c r="AV19" s="1"/>
  <c r="AS19" s="1"/>
  <c r="BI37"/>
  <c r="BI36"/>
  <c r="BI38" s="1"/>
  <c r="BB18"/>
  <c r="AI19" l="1"/>
  <c r="AL19" s="1"/>
  <c r="AJ19" l="1"/>
  <c r="AU20" l="1"/>
  <c r="AK19"/>
  <c r="Y19" l="1"/>
  <c r="U19"/>
  <c r="Q19"/>
  <c r="AD19"/>
  <c r="AM19"/>
  <c r="T19"/>
  <c r="O19"/>
  <c r="W19"/>
  <c r="AB19"/>
  <c r="N19"/>
  <c r="AA19"/>
  <c r="BB19"/>
  <c r="X19"/>
  <c r="C19"/>
  <c r="D19" s="1"/>
  <c r="E19" s="1"/>
  <c r="F20" s="1"/>
  <c r="M19"/>
  <c r="R19"/>
  <c r="AC19"/>
  <c r="V19"/>
  <c r="S19"/>
  <c r="P19"/>
  <c r="AF19"/>
  <c r="Z19"/>
  <c r="AE19"/>
  <c r="BH36" l="1"/>
  <c r="AT20"/>
  <c r="AV20" s="1"/>
  <c r="AS20" s="1"/>
  <c r="BH37"/>
  <c r="BH38" l="1"/>
  <c r="AJ20"/>
  <c r="AI20"/>
  <c r="AL20" s="1"/>
  <c r="AU21" l="1"/>
  <c r="AK20"/>
  <c r="P20" l="1"/>
  <c r="C20"/>
  <c r="D20" s="1"/>
  <c r="E20" s="1"/>
  <c r="F21" s="1"/>
  <c r="S20"/>
  <c r="W20"/>
  <c r="M20"/>
  <c r="AD20"/>
  <c r="Q20"/>
  <c r="AF20"/>
  <c r="AC20"/>
  <c r="Y20"/>
  <c r="R20"/>
  <c r="AE20"/>
  <c r="X20"/>
  <c r="Z20"/>
  <c r="V20"/>
  <c r="T20"/>
  <c r="N20"/>
  <c r="AA20"/>
  <c r="U20"/>
  <c r="O20"/>
  <c r="AB20"/>
  <c r="AM20"/>
  <c r="BG36" l="1"/>
  <c r="AT21"/>
  <c r="AV21" s="1"/>
  <c r="BG37"/>
  <c r="BB20"/>
  <c r="BG38" l="1"/>
  <c r="AS21"/>
  <c r="AJ21" l="1"/>
  <c r="AU22" s="1"/>
  <c r="AI21"/>
  <c r="AL21" s="1"/>
  <c r="AK21" l="1"/>
  <c r="S21"/>
  <c r="AM21"/>
  <c r="AC21"/>
  <c r="BB21"/>
  <c r="Y21"/>
  <c r="AB21"/>
  <c r="C21"/>
  <c r="W21"/>
  <c r="X21"/>
  <c r="T21"/>
  <c r="U21"/>
  <c r="AD21"/>
  <c r="P21"/>
  <c r="AE21"/>
  <c r="V21"/>
  <c r="AA21"/>
  <c r="AF21"/>
  <c r="R21"/>
  <c r="M21"/>
  <c r="O21"/>
  <c r="Q21"/>
  <c r="Z21"/>
  <c r="N21"/>
  <c r="D21" l="1"/>
  <c r="E21" s="1"/>
  <c r="F22" s="1"/>
  <c r="AT22"/>
  <c r="AV22" s="1"/>
  <c r="BF36"/>
  <c r="BF37"/>
  <c r="BF38" l="1"/>
  <c r="AS22"/>
  <c r="AJ22" s="1"/>
  <c r="AK22" l="1"/>
  <c r="AU23"/>
  <c r="C22" l="1"/>
  <c r="AE22"/>
  <c r="O22"/>
  <c r="AF22"/>
  <c r="P22"/>
  <c r="Q22"/>
  <c r="V22"/>
  <c r="X22"/>
  <c r="Y22"/>
  <c r="AA22"/>
  <c r="Z22"/>
  <c r="U22"/>
  <c r="W22"/>
  <c r="S22"/>
  <c r="AB22"/>
  <c r="AC22"/>
  <c r="AM22"/>
  <c r="N22"/>
  <c r="M22"/>
  <c r="R22"/>
  <c r="T22"/>
  <c r="AD22"/>
  <c r="D22" l="1"/>
  <c r="E22" s="1"/>
  <c r="F23" s="1"/>
  <c r="AT23"/>
  <c r="AV23" s="1"/>
  <c r="AS23" s="1"/>
  <c r="AJ23" s="1"/>
  <c r="BE36"/>
  <c r="BE37"/>
  <c r="BB22"/>
  <c r="AU24" l="1"/>
  <c r="AK23"/>
  <c r="BE38"/>
  <c r="C24" l="1"/>
  <c r="W24"/>
  <c r="R24"/>
  <c r="S24"/>
  <c r="X24"/>
  <c r="N24"/>
  <c r="AC24"/>
  <c r="Q24"/>
  <c r="U24"/>
  <c r="Z24"/>
  <c r="O24"/>
  <c r="AA24"/>
  <c r="V24"/>
  <c r="P24"/>
  <c r="AF24"/>
  <c r="AD24"/>
  <c r="Y24"/>
  <c r="T24"/>
  <c r="AE24"/>
  <c r="M24"/>
  <c r="AB24"/>
  <c r="AM24"/>
  <c r="AA23"/>
  <c r="S23"/>
  <c r="S4" s="1"/>
  <c r="L11" s="1"/>
  <c r="P23"/>
  <c r="Z23"/>
  <c r="Z4" s="1"/>
  <c r="L18" s="1"/>
  <c r="Y23"/>
  <c r="Y4" s="1"/>
  <c r="L17" s="1"/>
  <c r="AD23"/>
  <c r="AD4" s="1"/>
  <c r="L22" s="1"/>
  <c r="X23"/>
  <c r="AE23"/>
  <c r="AE4" s="1"/>
  <c r="L23" s="1"/>
  <c r="AM23"/>
  <c r="AF23"/>
  <c r="AF4" s="1"/>
  <c r="L24" s="1"/>
  <c r="U23"/>
  <c r="U4" s="1"/>
  <c r="L13" s="1"/>
  <c r="C23"/>
  <c r="W23"/>
  <c r="W4" s="1"/>
  <c r="L15" s="1"/>
  <c r="O23"/>
  <c r="O4" s="1"/>
  <c r="L7" s="1"/>
  <c r="AB23"/>
  <c r="AB4" s="1"/>
  <c r="L20" s="1"/>
  <c r="R23"/>
  <c r="R4" s="1"/>
  <c r="L10" s="1"/>
  <c r="T23"/>
  <c r="Q23"/>
  <c r="Q4" s="1"/>
  <c r="L9" s="1"/>
  <c r="V23"/>
  <c r="V4" s="1"/>
  <c r="L14" s="1"/>
  <c r="AC23"/>
  <c r="AC4" s="1"/>
  <c r="L21" s="1"/>
  <c r="N23"/>
  <c r="N4" s="1"/>
  <c r="L6" s="1"/>
  <c r="M23"/>
  <c r="M4" s="1"/>
  <c r="L5" s="1"/>
  <c r="BB23"/>
  <c r="D23" l="1"/>
  <c r="E23" s="1"/>
  <c r="F24" s="1"/>
  <c r="C25"/>
  <c r="BC36"/>
  <c r="BC37"/>
  <c r="AT24"/>
  <c r="AV24" s="1"/>
  <c r="AS24" s="1"/>
  <c r="AJ24" s="1"/>
  <c r="AK24" s="1"/>
  <c r="BD37"/>
  <c r="BD36"/>
  <c r="BB24"/>
  <c r="D24"/>
  <c r="E24" s="1"/>
  <c r="T4"/>
  <c r="L12" s="1"/>
  <c r="X4"/>
  <c r="L16" s="1"/>
  <c r="P4"/>
  <c r="L8" s="1"/>
  <c r="AA4"/>
  <c r="L19" s="1"/>
  <c r="BD38" l="1"/>
  <c r="K12"/>
  <c r="BC38"/>
  <c r="K15"/>
  <c r="K6"/>
  <c r="K17"/>
  <c r="K7"/>
  <c r="K22"/>
  <c r="K13"/>
  <c r="K10"/>
  <c r="K19"/>
  <c r="K18"/>
  <c r="K23"/>
  <c r="K5"/>
  <c r="K14"/>
  <c r="K21"/>
  <c r="K16"/>
  <c r="K8"/>
  <c r="K20"/>
  <c r="K9"/>
  <c r="K11"/>
  <c r="K24"/>
</calcChain>
</file>

<file path=xl/sharedStrings.xml><?xml version="1.0" encoding="utf-8"?>
<sst xmlns="http://schemas.openxmlformats.org/spreadsheetml/2006/main" count="166" uniqueCount="71">
  <si>
    <t>q</t>
  </si>
  <si>
    <t>D</t>
  </si>
  <si>
    <t>Montagem</t>
  </si>
  <si>
    <t>produção</t>
  </si>
  <si>
    <t>montagem</t>
  </si>
  <si>
    <t>quantidade</t>
  </si>
  <si>
    <t>tempo</t>
  </si>
  <si>
    <t>tempo processo</t>
  </si>
  <si>
    <t>tempo movimentação</t>
  </si>
  <si>
    <t>tempo total</t>
  </si>
  <si>
    <t>Lote 1</t>
  </si>
  <si>
    <t>Lote 2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</si>
  <si>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</si>
  <si>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</si>
  <si>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</si>
  <si>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</si>
  <si>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</si>
  <si>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</si>
  <si>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</si>
  <si>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</si>
  <si>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</si>
  <si>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</si>
  <si>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</si>
  <si>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</si>
  <si>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</si>
  <si>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</si>
  <si>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</si>
  <si>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</si>
  <si>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</si>
  <si>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</si>
  <si>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espera</t>
  </si>
  <si>
    <t>lote prod</t>
  </si>
  <si>
    <t>lote mont</t>
  </si>
  <si>
    <t>Gap</t>
  </si>
  <si>
    <t>Lead time</t>
  </si>
  <si>
    <t>Quantidade</t>
  </si>
  <si>
    <t>Movimentação</t>
  </si>
  <si>
    <t>Produção</t>
  </si>
  <si>
    <t>Correção Montagem</t>
  </si>
  <si>
    <t>lote processo</t>
  </si>
  <si>
    <t>lote montagem</t>
  </si>
  <si>
    <t>ajuste lote processo</t>
  </si>
  <si>
    <t>Total de componente</t>
  </si>
  <si>
    <t>Total de produto</t>
  </si>
  <si>
    <t>(1) limite superior</t>
  </si>
  <si>
    <t>(2) limite inferior</t>
  </si>
  <si>
    <t>Lead time Offset</t>
  </si>
  <si>
    <t>Lead Time Offset</t>
  </si>
  <si>
    <t>SE(Y35=$D$2;((($M$2*$L$2)/$D$2)+$D$3)+((($M$3*$L$3)/$D$2)*($D$2-1));0)</t>
  </si>
  <si>
    <t>SE(Y35=$D$2;($L$2*$M$2)+$D$3;0)</t>
  </si>
  <si>
    <t>substituindo o 0 por:</t>
  </si>
  <si>
    <t>exemplo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</si>
  <si>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Times New Roman"/>
        <family val="1"/>
      </rPr>
      <t>= 6</t>
    </r>
  </si>
  <si>
    <t>SE(Y35&lt;$D$2;X36-(($L$3*$M$3)/$D$2;0))</t>
  </si>
  <si>
    <t>se(Y35&lt;$D$2;X37-$F$2;0))</t>
  </si>
  <si>
    <t>SE(Y35&gt;=$D$2;0;((X35*$F$2)+$D$3))</t>
  </si>
  <si>
    <r>
      <t>q (</t>
    </r>
    <r>
      <rPr>
        <b/>
        <sz val="11"/>
        <color theme="1"/>
        <rFont val="Times New Roman"/>
        <family val="1"/>
      </rPr>
      <t>i = n</t>
    </r>
    <r>
      <rPr>
        <b/>
        <sz val="11"/>
        <color theme="1"/>
        <rFont val="Symbol"/>
        <family val="1"/>
        <charset val="2"/>
      </rPr>
      <t>)</t>
    </r>
  </si>
  <si>
    <t>SE(Y35&gt;=$D$2;0;(((y35)*$F$2)+$D$3+$F$3))</t>
  </si>
  <si>
    <t xml:space="preserve"> </t>
  </si>
  <si>
    <t>Limite Superior</t>
  </si>
  <si>
    <t>Limite Inferior</t>
  </si>
  <si>
    <t>Início da montagem</t>
  </si>
  <si>
    <t>Sobreposição</t>
  </si>
  <si>
    <t>Contador</t>
  </si>
  <si>
    <t>Mínimo</t>
  </si>
  <si>
    <t>Número de deslocamento</t>
  </si>
  <si>
    <t>Quantidade de Transf. (lote)</t>
  </si>
  <si>
    <r>
      <rPr>
        <b/>
        <i/>
        <sz val="11"/>
        <color theme="1"/>
        <rFont val="Times New Roman"/>
        <family val="1"/>
      </rPr>
      <t>buffer</t>
    </r>
    <r>
      <rPr>
        <b/>
        <sz val="11"/>
        <color theme="1"/>
        <rFont val="Times New Roman"/>
        <family val="1"/>
      </rPr>
      <t>?</t>
    </r>
  </si>
  <si>
    <t>checagem lote</t>
  </si>
  <si>
    <t>Transfere</t>
  </si>
  <si>
    <t>Corte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</si>
</sst>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/>
    </xf>
    <xf numFmtId="1" fontId="12" fillId="7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tx>
            <c:strRef>
              <c:f>teta!$J$1</c:f>
              <c:strCache>
                <c:ptCount val="1"/>
                <c:pt idx="0">
                  <c:v>Total de componente</c:v>
                </c:pt>
              </c:strCache>
            </c:strRef>
          </c:tx>
          <c:cat>
            <c:numRef>
              <c:f>teta!$I$2:$I$21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teta!$J$2:$J$21</c:f>
              <c:numCache>
                <c:formatCode>General</c:formatCode>
                <c:ptCount val="20"/>
                <c:pt idx="0">
                  <c:v>40</c:v>
                </c:pt>
                <c:pt idx="1">
                  <c:v>40</c:v>
                </c:pt>
                <c:pt idx="2">
                  <c:v>42</c:v>
                </c:pt>
                <c:pt idx="3">
                  <c:v>40</c:v>
                </c:pt>
                <c:pt idx="4">
                  <c:v>40</c:v>
                </c:pt>
                <c:pt idx="5">
                  <c:v>48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40</c:v>
                </c:pt>
                <c:pt idx="10">
                  <c:v>44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40</c:v>
                </c:pt>
              </c:numCache>
            </c:numRef>
          </c:val>
        </c:ser>
        <c:ser>
          <c:idx val="2"/>
          <c:order val="1"/>
          <c:tx>
            <c:strRef>
              <c:f>teta!$K$1</c:f>
              <c:strCache>
                <c:ptCount val="1"/>
                <c:pt idx="0">
                  <c:v>Total de produto</c:v>
                </c:pt>
              </c:strCache>
            </c:strRef>
          </c:tx>
          <c:cat>
            <c:numRef>
              <c:f>teta!$I$2:$I$21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teta!$K$2:$K$21</c:f>
              <c:numCache>
                <c:formatCode>General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20</c:v>
                </c:pt>
              </c:numCache>
            </c:numRef>
          </c:val>
        </c:ser>
        <c:axId val="64705280"/>
        <c:axId val="64726144"/>
      </c:barChart>
      <c:catAx>
        <c:axId val="64705280"/>
        <c:scaling>
          <c:orientation val="minMax"/>
        </c:scaling>
        <c:axPos val="b"/>
        <c:numFmt formatCode="General" sourceLinked="1"/>
        <c:tickLblPos val="nextTo"/>
        <c:crossAx val="64726144"/>
        <c:crosses val="autoZero"/>
        <c:auto val="1"/>
        <c:lblAlgn val="ctr"/>
        <c:lblOffset val="100"/>
      </c:catAx>
      <c:valAx>
        <c:axId val="64726144"/>
        <c:scaling>
          <c:orientation val="minMax"/>
        </c:scaling>
        <c:axPos val="l"/>
        <c:majorGridlines/>
        <c:numFmt formatCode="General" sourceLinked="1"/>
        <c:tickLblPos val="nextTo"/>
        <c:crossAx val="64705280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0"/>
          <c:order val="0"/>
          <c:tx>
            <c:strRef>
              <c:f>'Lead_Time_P=&lt;M'!$D$4</c:f>
              <c:strCache>
                <c:ptCount val="1"/>
                <c:pt idx="0">
                  <c:v>espera</c:v>
                </c:pt>
              </c:strCache>
            </c:strRef>
          </c:tx>
          <c:spPr>
            <a:solidFill>
              <a:schemeClr val="bg1"/>
            </a:solidFill>
          </c:spPr>
          <c:dPt>
            <c:idx val="20"/>
            <c:spPr>
              <a:noFill/>
              <a:ln>
                <a:solidFill>
                  <a:schemeClr val="tx1"/>
                </a:solidFill>
              </a:ln>
            </c:spPr>
          </c:dPt>
          <c:dLbls>
            <c:dLbl>
              <c:idx val="20"/>
              <c:spPr/>
              <c:txPr>
                <a:bodyPr/>
                <a:lstStyle/>
                <a:p>
                  <a:pPr>
                    <a:defRPr sz="6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'Lead_Time_P=&lt;M'!$C$5:$C$25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'Lead_Time_P=&lt;M'!$D$5:$D$25</c:f>
              <c:numCache>
                <c:formatCode>0.00</c:formatCode>
                <c:ptCount val="21"/>
                <c:pt idx="0">
                  <c:v>0</c:v>
                </c:pt>
                <c:pt idx="1">
                  <c:v>1.1333333333333335</c:v>
                </c:pt>
                <c:pt idx="2">
                  <c:v>2.2666666666666671</c:v>
                </c:pt>
                <c:pt idx="3">
                  <c:v>3.4000000000000004</c:v>
                </c:pt>
                <c:pt idx="4">
                  <c:v>4.5333333333333341</c:v>
                </c:pt>
                <c:pt idx="5">
                  <c:v>5.6666666666666679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3.1333333333333337</c:v>
                </c:pt>
              </c:numCache>
            </c:numRef>
          </c:val>
        </c:ser>
        <c:ser>
          <c:idx val="1"/>
          <c:order val="1"/>
          <c:tx>
            <c:strRef>
              <c:f>'Lead_Time_P=&lt;M'!$E$4</c:f>
              <c:strCache>
                <c:ptCount val="1"/>
                <c:pt idx="0">
                  <c:v>tempo processo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2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20"/>
              <c:dLblPos val="inEnd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'Lead_Time_P=&lt;M'!$C$5:$C$25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'Lead_Time_P=&lt;M'!$E$5:$E$25</c:f>
              <c:numCache>
                <c:formatCode>0.00</c:formatCode>
                <c:ptCount val="21"/>
                <c:pt idx="0">
                  <c:v>1.1333333333333335</c:v>
                </c:pt>
                <c:pt idx="1">
                  <c:v>1.1333333333333335</c:v>
                </c:pt>
                <c:pt idx="2">
                  <c:v>1.1333333333333335</c:v>
                </c:pt>
                <c:pt idx="3">
                  <c:v>1.1333333333333335</c:v>
                </c:pt>
                <c:pt idx="4">
                  <c:v>1.1333333333333335</c:v>
                </c:pt>
                <c:pt idx="5">
                  <c:v>1.1333333333333335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8.4</c:v>
                </c:pt>
              </c:numCache>
            </c:numRef>
          </c:val>
        </c:ser>
        <c:ser>
          <c:idx val="2"/>
          <c:order val="2"/>
          <c:tx>
            <c:strRef>
              <c:f>'Lead_Time_P=&lt;M'!$F$4</c:f>
              <c:strCache>
                <c:ptCount val="1"/>
                <c:pt idx="0">
                  <c:v>tempo movimentação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'Lead_Time_P=&lt;M'!$C$5:$C$25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'Lead_Time_P=&lt;M'!$F$5:$F$25</c:f>
              <c:numCache>
                <c:formatCode>0.00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'Lead_Time_P=&lt;M'!$H$4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'Lead_Time_P=&lt;M'!$C$5:$C$25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'Lead_Time_P=&lt;M'!$H$5:$H$24</c:f>
              <c:numCache>
                <c:formatCode>0.00</c:formatCode>
                <c:ptCount val="20"/>
                <c:pt idx="0">
                  <c:v>0</c:v>
                </c:pt>
                <c:pt idx="1">
                  <c:v>0.26666666666666661</c:v>
                </c:pt>
                <c:pt idx="2">
                  <c:v>0.5333333333333341</c:v>
                </c:pt>
                <c:pt idx="3">
                  <c:v>0.80000000000000071</c:v>
                </c:pt>
                <c:pt idx="4">
                  <c:v>1.0666666666666664</c:v>
                </c:pt>
                <c:pt idx="5">
                  <c:v>1.3333333333333339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'Lead_Time_P=&lt;M'!$I$4</c:f>
              <c:strCache>
                <c:ptCount val="1"/>
                <c:pt idx="0">
                  <c:v>montagem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'Lead_Time_P=&lt;M'!$C$5:$C$25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'Lead_Time_P=&lt;M'!$I$5:$I$24</c:f>
              <c:numCache>
                <c:formatCode>0.00</c:formatCode>
                <c:ptCount val="20"/>
                <c:pt idx="0">
                  <c:v>1.4000000000000001</c:v>
                </c:pt>
                <c:pt idx="1">
                  <c:v>1.4000000000000001</c:v>
                </c:pt>
                <c:pt idx="2">
                  <c:v>1.4000000000000001</c:v>
                </c:pt>
                <c:pt idx="3">
                  <c:v>1.4000000000000001</c:v>
                </c:pt>
                <c:pt idx="4">
                  <c:v>1.4000000000000001</c:v>
                </c:pt>
                <c:pt idx="5">
                  <c:v>1.4000000000000001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114234496"/>
        <c:axId val="114236032"/>
      </c:barChart>
      <c:catAx>
        <c:axId val="114234496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14236032"/>
        <c:crosses val="autoZero"/>
        <c:auto val="1"/>
        <c:lblAlgn val="ctr"/>
        <c:lblOffset val="100"/>
      </c:catAx>
      <c:valAx>
        <c:axId val="114236032"/>
        <c:scaling>
          <c:orientation val="minMax"/>
        </c:scaling>
        <c:axPos val="t"/>
        <c:numFmt formatCode="0.00" sourceLinked="1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14234496"/>
        <c:crosses val="autoZero"/>
        <c:crossBetween val="between"/>
      </c:valAx>
    </c:plotArea>
    <c:legend>
      <c:legendPos val="t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0"/>
          <c:order val="0"/>
          <c:tx>
            <c:strRef>
              <c:f>'Lead_Time_P&gt;M'!$D$4</c:f>
              <c:strCache>
                <c:ptCount val="1"/>
                <c:pt idx="0">
                  <c:v>espera</c:v>
                </c:pt>
              </c:strCache>
            </c:strRef>
          </c:tx>
          <c:spPr>
            <a:solidFill>
              <a:schemeClr val="bg1"/>
            </a:solidFill>
          </c:spPr>
          <c:dPt>
            <c:idx val="20"/>
            <c:spPr>
              <a:noFill/>
              <a:ln>
                <a:solidFill>
                  <a:schemeClr val="tx1"/>
                </a:solidFill>
              </a:ln>
            </c:spPr>
          </c:dPt>
          <c:dLbls>
            <c:dLbl>
              <c:idx val="20"/>
              <c:spPr/>
              <c:txPr>
                <a:bodyPr/>
                <a:lstStyle/>
                <a:p>
                  <a:pPr>
                    <a:defRPr sz="6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'Lead_Time_P&gt;M'!$C$5:$C$25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'Lead_Time_P&gt;M'!$D$5:$D$25</c:f>
              <c:numCache>
                <c:formatCode>0.00</c:formatCode>
                <c:ptCount val="21"/>
                <c:pt idx="0">
                  <c:v>0</c:v>
                </c:pt>
                <c:pt idx="1">
                  <c:v>2.6666666666666665</c:v>
                </c:pt>
                <c:pt idx="2">
                  <c:v>5.333333333333333</c:v>
                </c:pt>
                <c:pt idx="3">
                  <c:v>8</c:v>
                </c:pt>
                <c:pt idx="4">
                  <c:v>10.666666666666666</c:v>
                </c:pt>
                <c:pt idx="5">
                  <c:v>13.333333333333332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4.6666666666666661</c:v>
                </c:pt>
              </c:numCache>
            </c:numRef>
          </c:val>
        </c:ser>
        <c:ser>
          <c:idx val="1"/>
          <c:order val="1"/>
          <c:tx>
            <c:strRef>
              <c:f>'Lead_Time_P&gt;M'!$E$4</c:f>
              <c:strCache>
                <c:ptCount val="1"/>
                <c:pt idx="0">
                  <c:v>tempo processo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2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20"/>
              <c:dLblPos val="in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'Lead_Time_P&gt;M'!$C$5:$C$25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'Lead_Time_P&gt;M'!$E$5:$E$25</c:f>
              <c:numCache>
                <c:formatCode>0.00</c:formatCode>
                <c:ptCount val="21"/>
                <c:pt idx="0">
                  <c:v>2.6666666666666665</c:v>
                </c:pt>
                <c:pt idx="1">
                  <c:v>2.6666666666666665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2.6666666666666665</c:v>
                </c:pt>
                <c:pt idx="5">
                  <c:v>2.6666666666666665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14.733333333333333</c:v>
                </c:pt>
              </c:numCache>
            </c:numRef>
          </c:val>
        </c:ser>
        <c:ser>
          <c:idx val="2"/>
          <c:order val="2"/>
          <c:tx>
            <c:strRef>
              <c:f>'Lead_Time_P&gt;M'!$F$4</c:f>
              <c:strCache>
                <c:ptCount val="1"/>
                <c:pt idx="0">
                  <c:v>tempo movimentação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'Lead_Time_P&gt;M'!$C$5:$C$25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'Lead_Time_P&gt;M'!$F$5:$F$25</c:f>
              <c:numCache>
                <c:formatCode>0.00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'Lead_Time_P&gt;M'!$I$4</c:f>
              <c:strCache>
                <c:ptCount val="1"/>
                <c:pt idx="0">
                  <c:v>montagem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'Lead_Time_P&gt;M'!$C$5:$C$25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'Lead_Time_P&gt;M'!$I$5:$I$24</c:f>
              <c:numCache>
                <c:formatCode>0.00</c:formatCode>
                <c:ptCount val="20"/>
                <c:pt idx="0">
                  <c:v>1.4000000000000001</c:v>
                </c:pt>
                <c:pt idx="1">
                  <c:v>1.4000000000000001</c:v>
                </c:pt>
                <c:pt idx="2">
                  <c:v>1.4000000000000001</c:v>
                </c:pt>
                <c:pt idx="3">
                  <c:v>1.4000000000000001</c:v>
                </c:pt>
                <c:pt idx="4">
                  <c:v>1.4000000000000001</c:v>
                </c:pt>
                <c:pt idx="5">
                  <c:v>1.4000000000000001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4"/>
          <c:tx>
            <c:strRef>
              <c:f>'Lead_Time_P&gt;M'!$J$4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'Lead_Time_P&gt;M'!$C$5:$C$25</c:f>
              <c:strCache>
                <c:ptCount val="21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  <c:pt idx="20">
                  <c:v>Lead Time Offset</c:v>
                </c:pt>
              </c:strCache>
            </c:strRef>
          </c:cat>
          <c:val>
            <c:numRef>
              <c:f>'Lead_Time_P&gt;M'!$J$5:$J$24</c:f>
              <c:numCache>
                <c:formatCode>0.00</c:formatCode>
                <c:ptCount val="20"/>
                <c:pt idx="0">
                  <c:v>1.2666666666666666</c:v>
                </c:pt>
                <c:pt idx="1">
                  <c:v>1.2666666666666675</c:v>
                </c:pt>
                <c:pt idx="2">
                  <c:v>1.2666666666666657</c:v>
                </c:pt>
                <c:pt idx="3">
                  <c:v>1.2666666666666657</c:v>
                </c:pt>
                <c:pt idx="4">
                  <c:v>1.2666666666666693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129244160"/>
        <c:axId val="132260992"/>
      </c:barChart>
      <c:catAx>
        <c:axId val="129244160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32260992"/>
        <c:crosses val="autoZero"/>
        <c:auto val="1"/>
        <c:lblAlgn val="ctr"/>
        <c:lblOffset val="100"/>
      </c:catAx>
      <c:valAx>
        <c:axId val="132260992"/>
        <c:scaling>
          <c:orientation val="minMax"/>
        </c:scaling>
        <c:axPos val="t"/>
        <c:numFmt formatCode="0.00" sourceLinked="1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129244160"/>
        <c:crosses val="autoZero"/>
        <c:crossBetween val="between"/>
      </c:valAx>
    </c:plotArea>
    <c:legend>
      <c:legendPos val="t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stacked"/>
        <c:ser>
          <c:idx val="0"/>
          <c:order val="0"/>
          <c:tx>
            <c:strRef>
              <c:f>'Lead_Time_P&gt;M (2)'!$AG$4</c:f>
              <c:strCache>
                <c:ptCount val="1"/>
                <c:pt idx="0">
                  <c:v>espera</c:v>
                </c:pt>
              </c:strCache>
            </c:strRef>
          </c:tx>
          <c:spPr>
            <a:solidFill>
              <a:schemeClr val="bg1"/>
            </a:solidFill>
          </c:spPr>
          <c:dPt>
            <c:idx val="20"/>
            <c:spPr>
              <a:noFill/>
              <a:ln>
                <a:solidFill>
                  <a:schemeClr val="tx1"/>
                </a:solidFill>
              </a:ln>
            </c:spPr>
          </c:dPt>
          <c:dLbls>
            <c:dLbl>
              <c:idx val="20"/>
              <c:spPr/>
              <c:txPr>
                <a:bodyPr/>
                <a:lstStyle/>
                <a:p>
                  <a:pPr>
                    <a:defRPr sz="7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'Lead_Time_P&gt;M (2)'!$G$5:$G$25</c:f>
              <c:strCache>
                <c:ptCount val="20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</c:strCache>
            </c:strRef>
          </c:cat>
          <c:val>
            <c:numRef>
              <c:f>'Lead_Time_P&gt;M (2)'!$AG$5:$AG$25</c:f>
              <c:numCache>
                <c:formatCode>0.00</c:formatCode>
                <c:ptCount val="21"/>
                <c:pt idx="0">
                  <c:v>0</c:v>
                </c:pt>
                <c:pt idx="1">
                  <c:v>1.4545454545454546</c:v>
                </c:pt>
                <c:pt idx="2">
                  <c:v>2.9090909090909092</c:v>
                </c:pt>
                <c:pt idx="3">
                  <c:v>4.3636363636363633</c:v>
                </c:pt>
                <c:pt idx="4">
                  <c:v>5.8181818181818183</c:v>
                </c:pt>
                <c:pt idx="5">
                  <c:v>7.2727272727272734</c:v>
                </c:pt>
                <c:pt idx="6">
                  <c:v>8.7272727272727266</c:v>
                </c:pt>
                <c:pt idx="7">
                  <c:v>10.181818181818182</c:v>
                </c:pt>
                <c:pt idx="8">
                  <c:v>11.636363636363637</c:v>
                </c:pt>
                <c:pt idx="9">
                  <c:v>13.090909090909092</c:v>
                </c:pt>
                <c:pt idx="10">
                  <c:v>14.545454545454547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'Lead_Time_P&gt;M (2)'!$AH$4</c:f>
              <c:strCache>
                <c:ptCount val="1"/>
                <c:pt idx="0">
                  <c:v>tempo processo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2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20"/>
              <c:layout/>
              <c:dLblPos val="in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'Lead_Time_P&gt;M (2)'!$G$5:$G$25</c:f>
              <c:strCache>
                <c:ptCount val="20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</c:strCache>
            </c:strRef>
          </c:cat>
          <c:val>
            <c:numRef>
              <c:f>'Lead_Time_P&gt;M (2)'!$AH$5:$AH$25</c:f>
              <c:numCache>
                <c:formatCode>0.00</c:formatCode>
                <c:ptCount val="21"/>
                <c:pt idx="0">
                  <c:v>1.4545454545454546</c:v>
                </c:pt>
                <c:pt idx="1">
                  <c:v>1.4545454545454546</c:v>
                </c:pt>
                <c:pt idx="2">
                  <c:v>1.4545454545454546</c:v>
                </c:pt>
                <c:pt idx="3">
                  <c:v>1.4545454545454546</c:v>
                </c:pt>
                <c:pt idx="4">
                  <c:v>1.4545454545454546</c:v>
                </c:pt>
                <c:pt idx="5">
                  <c:v>1.4545454545454546</c:v>
                </c:pt>
                <c:pt idx="6">
                  <c:v>1.4545454545454546</c:v>
                </c:pt>
                <c:pt idx="7">
                  <c:v>1.4545454545454546</c:v>
                </c:pt>
                <c:pt idx="8">
                  <c:v>1.4545454545454546</c:v>
                </c:pt>
                <c:pt idx="9">
                  <c:v>1.4545454545454546</c:v>
                </c:pt>
                <c:pt idx="10">
                  <c:v>1.4545454545454546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18.763636363636365</c:v>
                </c:pt>
              </c:numCache>
            </c:numRef>
          </c:val>
        </c:ser>
        <c:ser>
          <c:idx val="2"/>
          <c:order val="2"/>
          <c:tx>
            <c:strRef>
              <c:f>'Lead_Time_P&gt;M (2)'!$AJ$4</c:f>
              <c:strCache>
                <c:ptCount val="1"/>
                <c:pt idx="0">
                  <c:v>tempo movimentação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'Lead_Time_P&gt;M (2)'!$G$5:$G$25</c:f>
              <c:strCache>
                <c:ptCount val="20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</c:strCache>
            </c:strRef>
          </c:cat>
          <c:val>
            <c:numRef>
              <c:f>'Lead_Time_P&gt;M (2)'!$AK$5:$AK$24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'Lead_Time_P&gt;M (2)'!$AM$4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'Lead_Time_P&gt;M (2)'!$G$5:$G$25</c:f>
              <c:strCache>
                <c:ptCount val="20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</c:strCache>
            </c:strRef>
          </c:cat>
          <c:val>
            <c:numRef>
              <c:f>'Lead_Time_P&gt;M (2)'!$AM$5:$AM$24</c:f>
              <c:numCache>
                <c:formatCode>0.00</c:formatCode>
                <c:ptCount val="20"/>
                <c:pt idx="0">
                  <c:v>8.9090909090909047</c:v>
                </c:pt>
                <c:pt idx="1">
                  <c:v>8.2181818181818151</c:v>
                </c:pt>
                <c:pt idx="2">
                  <c:v>7.5272727272727309</c:v>
                </c:pt>
                <c:pt idx="3">
                  <c:v>6.8363636363636395</c:v>
                </c:pt>
                <c:pt idx="4">
                  <c:v>4.1454545454545375</c:v>
                </c:pt>
                <c:pt idx="5">
                  <c:v>5.4545454545454568</c:v>
                </c:pt>
                <c:pt idx="6">
                  <c:v>4.7636363636363654</c:v>
                </c:pt>
                <c:pt idx="7">
                  <c:v>4.0727272727272741</c:v>
                </c:pt>
                <c:pt idx="8">
                  <c:v>3.3818181818181827</c:v>
                </c:pt>
                <c:pt idx="9">
                  <c:v>2.6909090909090878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'Lead_Time_P&gt;M'!$I$4</c:f>
              <c:strCache>
                <c:ptCount val="1"/>
                <c:pt idx="0">
                  <c:v>montagem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'Lead_Time_P&gt;M (2)'!$G$5:$G$25</c:f>
              <c:strCache>
                <c:ptCount val="20"/>
                <c:pt idx="0">
                  <c:v>Lote 1</c:v>
                </c:pt>
                <c:pt idx="1">
                  <c:v>Lote 2</c:v>
                </c:pt>
                <c:pt idx="2">
                  <c:v>Lote 3</c:v>
                </c:pt>
                <c:pt idx="3">
                  <c:v>Lote 4</c:v>
                </c:pt>
                <c:pt idx="4">
                  <c:v>Lote 5</c:v>
                </c:pt>
                <c:pt idx="5">
                  <c:v>Lote 6</c:v>
                </c:pt>
                <c:pt idx="6">
                  <c:v>Lote 7</c:v>
                </c:pt>
                <c:pt idx="7">
                  <c:v>Lote 8</c:v>
                </c:pt>
                <c:pt idx="8">
                  <c:v>Lote 9</c:v>
                </c:pt>
                <c:pt idx="9">
                  <c:v>Lote 10</c:v>
                </c:pt>
                <c:pt idx="10">
                  <c:v>Lote 11</c:v>
                </c:pt>
                <c:pt idx="11">
                  <c:v>Lote 12</c:v>
                </c:pt>
                <c:pt idx="12">
                  <c:v>Lote 13</c:v>
                </c:pt>
                <c:pt idx="13">
                  <c:v>Lote 14</c:v>
                </c:pt>
                <c:pt idx="14">
                  <c:v>Lote 15</c:v>
                </c:pt>
                <c:pt idx="15">
                  <c:v>Lote 16</c:v>
                </c:pt>
                <c:pt idx="16">
                  <c:v>Lote 17</c:v>
                </c:pt>
                <c:pt idx="17">
                  <c:v>Lote 18</c:v>
                </c:pt>
                <c:pt idx="18">
                  <c:v>Lote 19</c:v>
                </c:pt>
                <c:pt idx="19">
                  <c:v>Lote 20</c:v>
                </c:pt>
              </c:strCache>
            </c:strRef>
          </c:cat>
          <c:val>
            <c:numRef>
              <c:f>'Lead_Time_P&gt;M (2)'!$BA$5:$BA$24</c:f>
              <c:numCache>
                <c:formatCode>0.00</c:formatCode>
                <c:ptCount val="20"/>
                <c:pt idx="0">
                  <c:v>0.76363636363636367</c:v>
                </c:pt>
                <c:pt idx="1">
                  <c:v>0.76363636363636367</c:v>
                </c:pt>
                <c:pt idx="2">
                  <c:v>0.76363636363636367</c:v>
                </c:pt>
                <c:pt idx="3">
                  <c:v>0.76363636363636367</c:v>
                </c:pt>
                <c:pt idx="4">
                  <c:v>0.76363636363636367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0.76363636363636367</c:v>
                </c:pt>
                <c:pt idx="10">
                  <c:v>0.76363636363636367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64751104"/>
        <c:axId val="64752640"/>
      </c:barChart>
      <c:catAx>
        <c:axId val="64751104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64752640"/>
        <c:crosses val="autoZero"/>
        <c:auto val="1"/>
        <c:lblAlgn val="ctr"/>
        <c:lblOffset val="100"/>
      </c:catAx>
      <c:valAx>
        <c:axId val="64752640"/>
        <c:scaling>
          <c:orientation val="minMax"/>
        </c:scaling>
        <c:axPos val="t"/>
        <c:numFmt formatCode="0.00" sourceLinked="1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/>
          </a:p>
        </c:txPr>
        <c:crossAx val="6475110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</xdr:row>
      <xdr:rowOff>52387</xdr:rowOff>
    </xdr:from>
    <xdr:to>
      <xdr:col>18</xdr:col>
      <xdr:colOff>381000</xdr:colOff>
      <xdr:row>14</xdr:row>
      <xdr:rowOff>195262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6</xdr:row>
      <xdr:rowOff>95249</xdr:rowOff>
    </xdr:from>
    <xdr:to>
      <xdr:col>19</xdr:col>
      <xdr:colOff>295275</xdr:colOff>
      <xdr:row>31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</xdr:colOff>
      <xdr:row>39</xdr:row>
      <xdr:rowOff>38100</xdr:rowOff>
    </xdr:from>
    <xdr:to>
      <xdr:col>15</xdr:col>
      <xdr:colOff>358140</xdr:colOff>
      <xdr:row>41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30440" y="7170420"/>
          <a:ext cx="3078480" cy="4572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30480</xdr:colOff>
      <xdr:row>42</xdr:row>
      <xdr:rowOff>38100</xdr:rowOff>
    </xdr:from>
    <xdr:to>
      <xdr:col>11</xdr:col>
      <xdr:colOff>419100</xdr:colOff>
      <xdr:row>43</xdr:row>
      <xdr:rowOff>68580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30440" y="7719060"/>
          <a:ext cx="1051560" cy="2133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6</xdr:row>
      <xdr:rowOff>95249</xdr:rowOff>
    </xdr:from>
    <xdr:to>
      <xdr:col>20</xdr:col>
      <xdr:colOff>295275</xdr:colOff>
      <xdr:row>31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</xdr:colOff>
      <xdr:row>39</xdr:row>
      <xdr:rowOff>30480</xdr:rowOff>
    </xdr:from>
    <xdr:to>
      <xdr:col>14</xdr:col>
      <xdr:colOff>327660</xdr:colOff>
      <xdr:row>42</xdr:row>
      <xdr:rowOff>45720</xdr:rowOff>
    </xdr:to>
    <xdr:pic>
      <xdr:nvPicPr>
        <xdr:cNvPr id="31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2880" y="7162800"/>
          <a:ext cx="2087880" cy="56388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7620</xdr:colOff>
      <xdr:row>42</xdr:row>
      <xdr:rowOff>45720</xdr:rowOff>
    </xdr:from>
    <xdr:to>
      <xdr:col>15</xdr:col>
      <xdr:colOff>457200</xdr:colOff>
      <xdr:row>45</xdr:row>
      <xdr:rowOff>60960</xdr:rowOff>
    </xdr:to>
    <xdr:pic>
      <xdr:nvPicPr>
        <xdr:cNvPr id="31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2880" y="7726680"/>
          <a:ext cx="2590800" cy="5638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47625</xdr:colOff>
      <xdr:row>6</xdr:row>
      <xdr:rowOff>19050</xdr:rowOff>
    </xdr:from>
    <xdr:to>
      <xdr:col>63</xdr:col>
      <xdr:colOff>295275</xdr:colOff>
      <xdr:row>30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7620</xdr:colOff>
      <xdr:row>39</xdr:row>
      <xdr:rowOff>30480</xdr:rowOff>
    </xdr:from>
    <xdr:to>
      <xdr:col>57</xdr:col>
      <xdr:colOff>327660</xdr:colOff>
      <xdr:row>42</xdr:row>
      <xdr:rowOff>45720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79995" y="7459980"/>
          <a:ext cx="2044065" cy="586740"/>
        </a:xfrm>
        <a:prstGeom prst="rect">
          <a:avLst/>
        </a:prstGeom>
        <a:noFill/>
      </xdr:spPr>
    </xdr:pic>
    <xdr:clientData/>
  </xdr:twoCellAnchor>
  <xdr:twoCellAnchor>
    <xdr:from>
      <xdr:col>54</xdr:col>
      <xdr:colOff>7620</xdr:colOff>
      <xdr:row>42</xdr:row>
      <xdr:rowOff>45720</xdr:rowOff>
    </xdr:from>
    <xdr:to>
      <xdr:col>58</xdr:col>
      <xdr:colOff>457200</xdr:colOff>
      <xdr:row>45</xdr:row>
      <xdr:rowOff>60960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79995" y="8046720"/>
          <a:ext cx="2535555" cy="5867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"/>
  <sheetViews>
    <sheetView showGridLines="0" workbookViewId="0">
      <selection activeCell="B1" sqref="B1"/>
    </sheetView>
  </sheetViews>
  <sheetFormatPr defaultRowHeight="15.6"/>
  <cols>
    <col min="1" max="1" width="0.88671875" style="22" customWidth="1"/>
    <col min="2" max="2" width="4.109375" style="22" customWidth="1"/>
    <col min="3" max="3" width="6.109375" style="22" bestFit="1" customWidth="1"/>
    <col min="4" max="4" width="10.109375" style="22" customWidth="1"/>
    <col min="5" max="5" width="12.5546875" style="22" bestFit="1" customWidth="1"/>
    <col min="6" max="6" width="18.44140625" style="22" bestFit="1" customWidth="1"/>
    <col min="7" max="7" width="13.6640625" style="22" bestFit="1" customWidth="1"/>
    <col min="8" max="8" width="0.88671875" style="22" customWidth="1"/>
    <col min="9" max="9" width="4" style="22" customWidth="1"/>
    <col min="10" max="10" width="19.5546875" style="22" bestFit="1" customWidth="1"/>
    <col min="11" max="11" width="15.6640625" style="22" bestFit="1" customWidth="1"/>
    <col min="12" max="72" width="9.109375" style="22"/>
  </cols>
  <sheetData>
    <row r="1" spans="2:11">
      <c r="B1" s="24" t="s">
        <v>0</v>
      </c>
      <c r="C1" s="23" t="s">
        <v>33</v>
      </c>
      <c r="D1" s="26" t="s">
        <v>34</v>
      </c>
      <c r="E1" s="27" t="s">
        <v>39</v>
      </c>
      <c r="F1" s="27" t="s">
        <v>41</v>
      </c>
      <c r="G1" s="23" t="s">
        <v>40</v>
      </c>
      <c r="I1" s="24" t="s">
        <v>0</v>
      </c>
      <c r="J1" s="23" t="s">
        <v>42</v>
      </c>
      <c r="K1" s="23" t="s">
        <v>43</v>
      </c>
    </row>
    <row r="2" spans="2:11">
      <c r="B2" s="23">
        <v>1</v>
      </c>
      <c r="C2" s="25">
        <v>0</v>
      </c>
      <c r="D2" s="25">
        <v>17.200000000000003</v>
      </c>
      <c r="E2" s="23">
        <v>40</v>
      </c>
      <c r="F2" s="23">
        <f>IF(G2=(E2/'Lead_Time_P=&lt;M'!$N$5),E2,G2*'Lead_Time_P=&lt;M'!$N$5)</f>
        <v>40</v>
      </c>
      <c r="G2" s="23">
        <v>20</v>
      </c>
      <c r="I2" s="23">
        <v>1</v>
      </c>
      <c r="J2" s="23">
        <f>F2*B2</f>
        <v>40</v>
      </c>
      <c r="K2" s="23">
        <f>G2*B2</f>
        <v>20</v>
      </c>
    </row>
    <row r="3" spans="2:11">
      <c r="B3" s="27">
        <v>2</v>
      </c>
      <c r="C3" s="28">
        <v>0.80000000000000071</v>
      </c>
      <c r="D3" s="28">
        <v>13.8</v>
      </c>
      <c r="E3" s="23">
        <v>20</v>
      </c>
      <c r="F3" s="23">
        <f>IF(G3=(E3/'Lead_Time_P=&lt;M'!$N$5),E3,G3*'Lead_Time_P=&lt;M'!$N$5)</f>
        <v>20</v>
      </c>
      <c r="G3" s="23">
        <v>10</v>
      </c>
      <c r="I3" s="27">
        <v>2</v>
      </c>
      <c r="J3" s="23">
        <f t="shared" ref="J3:J21" si="0">F3*B3</f>
        <v>40</v>
      </c>
      <c r="K3" s="23">
        <f t="shared" ref="K3:K21" si="1">G3*B3</f>
        <v>20</v>
      </c>
    </row>
    <row r="4" spans="2:11">
      <c r="B4" s="23">
        <v>3</v>
      </c>
      <c r="C4" s="25">
        <v>1.6000000000000023</v>
      </c>
      <c r="D4" s="25">
        <v>12.66666666666667</v>
      </c>
      <c r="E4" s="23">
        <v>14</v>
      </c>
      <c r="F4" s="23">
        <f>IF(G4=(E4/'Lead_Time_P=&lt;M'!$N$5),E4,G4*'Lead_Time_P=&lt;M'!$N$5)</f>
        <v>14</v>
      </c>
      <c r="G4" s="23">
        <v>7</v>
      </c>
      <c r="I4" s="23">
        <v>3</v>
      </c>
      <c r="J4" s="23">
        <f t="shared" si="0"/>
        <v>42</v>
      </c>
      <c r="K4" s="23">
        <f t="shared" si="1"/>
        <v>21</v>
      </c>
    </row>
    <row r="5" spans="2:11">
      <c r="B5" s="29">
        <v>4</v>
      </c>
      <c r="C5" s="30">
        <v>2.3999999999999995</v>
      </c>
      <c r="D5" s="30">
        <v>12.1</v>
      </c>
      <c r="E5" s="29">
        <v>10</v>
      </c>
      <c r="F5" s="29">
        <f>IF(G5=(E5/'Lead_Time_P=&lt;M'!$N$5),E5,G5*'Lead_Time_P=&lt;M'!$N$5)</f>
        <v>10</v>
      </c>
      <c r="G5" s="29">
        <v>5</v>
      </c>
      <c r="I5" s="29">
        <v>4</v>
      </c>
      <c r="J5" s="23">
        <f t="shared" si="0"/>
        <v>40</v>
      </c>
      <c r="K5" s="23">
        <f t="shared" si="1"/>
        <v>20</v>
      </c>
    </row>
    <row r="6" spans="2:11">
      <c r="B6" s="23">
        <v>5</v>
      </c>
      <c r="C6" s="25">
        <v>3.2</v>
      </c>
      <c r="D6" s="25">
        <v>11.76</v>
      </c>
      <c r="E6" s="23">
        <v>8</v>
      </c>
      <c r="F6" s="23">
        <f>IF(G6=(E6/'Lead_Time_P=&lt;M'!$N$5),E6,G6*'Lead_Time_P=&lt;M'!$N$5)</f>
        <v>8</v>
      </c>
      <c r="G6" s="23">
        <v>4</v>
      </c>
      <c r="I6" s="23">
        <v>5</v>
      </c>
      <c r="J6" s="23">
        <f t="shared" si="0"/>
        <v>40</v>
      </c>
      <c r="K6" s="23">
        <f t="shared" si="1"/>
        <v>20</v>
      </c>
    </row>
    <row r="7" spans="2:11">
      <c r="B7" s="23">
        <v>6</v>
      </c>
      <c r="C7" s="25">
        <v>4.0000000000000018</v>
      </c>
      <c r="D7" s="25">
        <v>11.533333333333335</v>
      </c>
      <c r="E7" s="23">
        <v>7</v>
      </c>
      <c r="F7" s="23">
        <f>IF(G7=(E7/'Lead_Time_P=&lt;M'!$N$5),E7,G7*'Lead_Time_P=&lt;M'!$N$5)</f>
        <v>8</v>
      </c>
      <c r="G7" s="23">
        <v>4</v>
      </c>
      <c r="I7" s="23">
        <v>6</v>
      </c>
      <c r="J7" s="27">
        <f t="shared" si="0"/>
        <v>48</v>
      </c>
      <c r="K7" s="27">
        <f t="shared" si="1"/>
        <v>24</v>
      </c>
    </row>
    <row r="8" spans="2:11">
      <c r="B8" s="23">
        <v>7</v>
      </c>
      <c r="C8" s="25">
        <v>4.7999999999999989</v>
      </c>
      <c r="D8" s="25">
        <v>11.37142857142857</v>
      </c>
      <c r="E8" s="23">
        <v>6</v>
      </c>
      <c r="F8" s="23">
        <f>IF(G8=(E8/'Lead_Time_P=&lt;M'!$N$5),E8,G8*'Lead_Time_P=&lt;M'!$N$5)</f>
        <v>6</v>
      </c>
      <c r="G8" s="23">
        <v>3</v>
      </c>
      <c r="I8" s="23">
        <v>7</v>
      </c>
      <c r="J8" s="23">
        <f t="shared" si="0"/>
        <v>42</v>
      </c>
      <c r="K8" s="23">
        <f t="shared" si="1"/>
        <v>21</v>
      </c>
    </row>
    <row r="9" spans="2:11">
      <c r="B9" s="23">
        <v>8</v>
      </c>
      <c r="C9" s="25">
        <v>5.5999999999999988</v>
      </c>
      <c r="D9" s="25">
        <v>11.250000000000002</v>
      </c>
      <c r="E9" s="23">
        <v>5</v>
      </c>
      <c r="F9" s="23">
        <f>IF(G9=(E9/'Lead_Time_P=&lt;M'!$N$5),E9,G9*'Lead_Time_P=&lt;M'!$N$5)</f>
        <v>6</v>
      </c>
      <c r="G9" s="23">
        <v>3</v>
      </c>
      <c r="I9" s="23">
        <v>8</v>
      </c>
      <c r="J9" s="27">
        <f t="shared" si="0"/>
        <v>48</v>
      </c>
      <c r="K9" s="27">
        <f t="shared" si="1"/>
        <v>24</v>
      </c>
    </row>
    <row r="10" spans="2:11">
      <c r="B10" s="23">
        <v>9</v>
      </c>
      <c r="C10" s="25">
        <v>6.4000000000000021</v>
      </c>
      <c r="D10" s="25">
        <v>11.155555555555557</v>
      </c>
      <c r="E10" s="23">
        <v>5</v>
      </c>
      <c r="F10" s="23">
        <f>IF(G10=(E10/'Lead_Time_P=&lt;M'!$N$5),E10,G10*'Lead_Time_P=&lt;M'!$N$5)</f>
        <v>6</v>
      </c>
      <c r="G10" s="23">
        <v>3</v>
      </c>
      <c r="I10" s="23">
        <v>9</v>
      </c>
      <c r="J10" s="27">
        <f t="shared" si="0"/>
        <v>54</v>
      </c>
      <c r="K10" s="27">
        <f t="shared" si="1"/>
        <v>27</v>
      </c>
    </row>
    <row r="11" spans="2:11">
      <c r="B11" s="23">
        <v>10</v>
      </c>
      <c r="C11" s="25">
        <v>7.1999999999999984</v>
      </c>
      <c r="D11" s="25">
        <v>11.08</v>
      </c>
      <c r="E11" s="23">
        <v>4</v>
      </c>
      <c r="F11" s="23">
        <f>IF(G11=(E11/'Lead_Time_P=&lt;M'!$N$5),E11,G11*'Lead_Time_P=&lt;M'!$N$5)</f>
        <v>4</v>
      </c>
      <c r="G11" s="23">
        <v>2</v>
      </c>
      <c r="I11" s="23">
        <v>10</v>
      </c>
      <c r="J11" s="23">
        <f t="shared" si="0"/>
        <v>40</v>
      </c>
      <c r="K11" s="23">
        <f t="shared" si="1"/>
        <v>20</v>
      </c>
    </row>
    <row r="12" spans="2:11">
      <c r="B12" s="23">
        <v>11</v>
      </c>
      <c r="C12" s="25">
        <v>7.9999999999999929</v>
      </c>
      <c r="D12" s="25">
        <v>11.018181818181818</v>
      </c>
      <c r="E12" s="23">
        <v>4</v>
      </c>
      <c r="F12" s="23">
        <f>IF(G12=(E12/'Lead_Time_P=&lt;M'!$N$5),E12,G12*'Lead_Time_P=&lt;M'!$N$5)</f>
        <v>4</v>
      </c>
      <c r="G12" s="23">
        <v>2</v>
      </c>
      <c r="I12" s="23">
        <v>11</v>
      </c>
      <c r="J12" s="27">
        <f t="shared" si="0"/>
        <v>44</v>
      </c>
      <c r="K12" s="27">
        <f t="shared" si="1"/>
        <v>22</v>
      </c>
    </row>
    <row r="13" spans="2:11">
      <c r="B13" s="23">
        <v>12</v>
      </c>
      <c r="C13" s="25">
        <v>8.7999999999999989</v>
      </c>
      <c r="D13" s="25">
        <v>10.966666666666665</v>
      </c>
      <c r="E13" s="23">
        <v>4</v>
      </c>
      <c r="F13" s="23">
        <f>IF(G13=(E13/'Lead_Time_P=&lt;M'!$N$5),E13,G13*'Lead_Time_P=&lt;M'!$N$5)</f>
        <v>4</v>
      </c>
      <c r="G13" s="23">
        <v>2</v>
      </c>
      <c r="I13" s="23">
        <v>12</v>
      </c>
      <c r="J13" s="27">
        <f t="shared" si="0"/>
        <v>48</v>
      </c>
      <c r="K13" s="27">
        <f t="shared" si="1"/>
        <v>24</v>
      </c>
    </row>
    <row r="14" spans="2:11">
      <c r="B14" s="23">
        <v>13</v>
      </c>
      <c r="C14" s="25">
        <v>9.6000000000000139</v>
      </c>
      <c r="D14" s="25">
        <v>10.923076923076923</v>
      </c>
      <c r="E14" s="23">
        <v>4</v>
      </c>
      <c r="F14" s="23">
        <f>IF(G14=(E14/'Lead_Time_P=&lt;M'!$N$5),E14,G14*'Lead_Time_P=&lt;M'!$N$5)</f>
        <v>4</v>
      </c>
      <c r="G14" s="23">
        <v>2</v>
      </c>
      <c r="I14" s="23">
        <v>13</v>
      </c>
      <c r="J14" s="27">
        <f t="shared" si="0"/>
        <v>52</v>
      </c>
      <c r="K14" s="27">
        <f t="shared" si="1"/>
        <v>26</v>
      </c>
    </row>
    <row r="15" spans="2:11">
      <c r="B15" s="23">
        <v>14</v>
      </c>
      <c r="C15" s="25">
        <v>10.399999999999979</v>
      </c>
      <c r="D15" s="25">
        <v>10.885714285714283</v>
      </c>
      <c r="E15" s="23">
        <v>3</v>
      </c>
      <c r="F15" s="23">
        <f>IF(G15=(E15/'Lead_Time_P=&lt;M'!$N$5),E15,G15*'Lead_Time_P=&lt;M'!$N$5)</f>
        <v>4</v>
      </c>
      <c r="G15" s="23">
        <v>2</v>
      </c>
      <c r="I15" s="23">
        <v>14</v>
      </c>
      <c r="J15" s="27">
        <f t="shared" si="0"/>
        <v>56</v>
      </c>
      <c r="K15" s="27">
        <f t="shared" si="1"/>
        <v>28</v>
      </c>
    </row>
    <row r="16" spans="2:11">
      <c r="B16" s="23">
        <v>15</v>
      </c>
      <c r="C16" s="25">
        <v>11.200000000000024</v>
      </c>
      <c r="D16" s="25">
        <v>10.853333333333339</v>
      </c>
      <c r="E16" s="23">
        <v>3</v>
      </c>
      <c r="F16" s="23">
        <f>IF(G16=(E16/'Lead_Time_P=&lt;M'!$N$5),E16,G16*'Lead_Time_P=&lt;M'!$N$5)</f>
        <v>4</v>
      </c>
      <c r="G16" s="23">
        <v>2</v>
      </c>
      <c r="I16" s="23">
        <v>15</v>
      </c>
      <c r="J16" s="27">
        <f t="shared" si="0"/>
        <v>60</v>
      </c>
      <c r="K16" s="27">
        <f t="shared" si="1"/>
        <v>30</v>
      </c>
    </row>
    <row r="17" spans="2:11">
      <c r="B17" s="23">
        <v>16</v>
      </c>
      <c r="C17" s="25">
        <v>12.000000000000009</v>
      </c>
      <c r="D17" s="25">
        <v>10.825000000000003</v>
      </c>
      <c r="E17" s="23">
        <v>3</v>
      </c>
      <c r="F17" s="23">
        <f>IF(G17=(E17/'Lead_Time_P=&lt;M'!$N$5),E17,G17*'Lead_Time_P=&lt;M'!$N$5)</f>
        <v>4</v>
      </c>
      <c r="G17" s="23">
        <v>2</v>
      </c>
      <c r="I17" s="23">
        <v>16</v>
      </c>
      <c r="J17" s="27">
        <f t="shared" si="0"/>
        <v>64</v>
      </c>
      <c r="K17" s="27">
        <f t="shared" si="1"/>
        <v>32</v>
      </c>
    </row>
    <row r="18" spans="2:11">
      <c r="B18" s="23">
        <v>17</v>
      </c>
      <c r="C18" s="25">
        <v>12.800000000000002</v>
      </c>
      <c r="D18" s="25">
        <v>10.8</v>
      </c>
      <c r="E18" s="23">
        <v>3</v>
      </c>
      <c r="F18" s="23">
        <f>IF(G18=(E18/'Lead_Time_P=&lt;M'!$N$5),E18,G18*'Lead_Time_P=&lt;M'!$N$5)</f>
        <v>4</v>
      </c>
      <c r="G18" s="23">
        <v>2</v>
      </c>
      <c r="I18" s="23">
        <v>17</v>
      </c>
      <c r="J18" s="27">
        <f t="shared" si="0"/>
        <v>68</v>
      </c>
      <c r="K18" s="27">
        <f t="shared" si="1"/>
        <v>34</v>
      </c>
    </row>
    <row r="19" spans="2:11">
      <c r="B19" s="23">
        <v>18</v>
      </c>
      <c r="C19" s="25">
        <v>13.599999999999998</v>
      </c>
      <c r="D19" s="25">
        <v>10.777777777777779</v>
      </c>
      <c r="E19" s="23">
        <v>3</v>
      </c>
      <c r="F19" s="23">
        <f>IF(G19=(E19/'Lead_Time_P=&lt;M'!$N$5),E19,G19*'Lead_Time_P=&lt;M'!$N$5)</f>
        <v>4</v>
      </c>
      <c r="G19" s="23">
        <v>2</v>
      </c>
      <c r="I19" s="23">
        <v>18</v>
      </c>
      <c r="J19" s="27">
        <f t="shared" si="0"/>
        <v>72</v>
      </c>
      <c r="K19" s="27">
        <f t="shared" si="1"/>
        <v>36</v>
      </c>
    </row>
    <row r="20" spans="2:11">
      <c r="B20" s="23">
        <v>19</v>
      </c>
      <c r="C20" s="25">
        <v>14.400000000000047</v>
      </c>
      <c r="D20" s="25">
        <v>10.757894736842113</v>
      </c>
      <c r="E20" s="23">
        <v>3</v>
      </c>
      <c r="F20" s="23">
        <f>IF(G20=(E20/'Lead_Time_P=&lt;M'!$N$5),E20,G20*'Lead_Time_P=&lt;M'!$N$5)</f>
        <v>4</v>
      </c>
      <c r="G20" s="23">
        <v>2</v>
      </c>
      <c r="I20" s="23">
        <v>19</v>
      </c>
      <c r="J20" s="27">
        <f t="shared" si="0"/>
        <v>76</v>
      </c>
      <c r="K20" s="27">
        <f t="shared" si="1"/>
        <v>38</v>
      </c>
    </row>
    <row r="21" spans="2:11">
      <c r="B21" s="23">
        <v>20</v>
      </c>
      <c r="C21" s="25">
        <v>15.199999999999978</v>
      </c>
      <c r="D21" s="25">
        <v>10.739999999999998</v>
      </c>
      <c r="E21" s="23">
        <v>2</v>
      </c>
      <c r="F21" s="23">
        <f>IF(G21=(E21/'Lead_Time_P=&lt;M'!$N$5),E21,G21*'Lead_Time_P=&lt;M'!$N$5)</f>
        <v>2</v>
      </c>
      <c r="G21" s="23">
        <v>1</v>
      </c>
      <c r="I21" s="23">
        <v>20</v>
      </c>
      <c r="J21" s="23">
        <f t="shared" si="0"/>
        <v>40</v>
      </c>
      <c r="K21" s="23">
        <f t="shared" si="1"/>
        <v>20</v>
      </c>
    </row>
    <row r="22" spans="2:11">
      <c r="C22" s="25">
        <f>SMALL(C3:C21,1)</f>
        <v>0.80000000000000071</v>
      </c>
      <c r="D22" s="25">
        <f>SMALL(D2:D21,1)</f>
        <v>10.739999999999998</v>
      </c>
    </row>
    <row r="23" spans="2:11">
      <c r="C23" s="27">
        <f>LOOKUP(C22,C2:C21,B2:B21)</f>
        <v>2</v>
      </c>
      <c r="D23" s="27">
        <v>20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D43"/>
  <sheetViews>
    <sheetView showGridLines="0" topLeftCell="E1" workbookViewId="0">
      <selection activeCell="F5" sqref="F5"/>
    </sheetView>
  </sheetViews>
  <sheetFormatPr defaultRowHeight="14.4"/>
  <cols>
    <col min="1" max="1" width="3.44140625" customWidth="1"/>
    <col min="2" max="2" width="4.33203125" customWidth="1"/>
    <col min="3" max="3" width="16.5546875" bestFit="1" customWidth="1"/>
    <col min="4" max="4" width="6.5546875" bestFit="1" customWidth="1"/>
    <col min="5" max="5" width="14.33203125" bestFit="1" customWidth="1"/>
    <col min="6" max="6" width="19.109375" bestFit="1" customWidth="1"/>
    <col min="7" max="7" width="10.33203125" bestFit="1" customWidth="1"/>
    <col min="8" max="8" width="5.5546875" bestFit="1" customWidth="1"/>
    <col min="9" max="9" width="9.6640625" bestFit="1" customWidth="1"/>
    <col min="10" max="10" width="16.5546875" bestFit="1" customWidth="1"/>
    <col min="11" max="11" width="9.6640625" bestFit="1" customWidth="1"/>
    <col min="12" max="12" width="10" bestFit="1" customWidth="1"/>
    <col min="13" max="13" width="6.109375" bestFit="1" customWidth="1"/>
    <col min="14" max="14" width="5.44140625" bestFit="1" customWidth="1"/>
  </cols>
  <sheetData>
    <row r="1" spans="1:14">
      <c r="L1" s="11" t="s">
        <v>5</v>
      </c>
      <c r="M1" s="11" t="s">
        <v>6</v>
      </c>
    </row>
    <row r="2" spans="1:14">
      <c r="C2" s="39" t="s">
        <v>56</v>
      </c>
      <c r="D2" s="1">
        <v>6</v>
      </c>
      <c r="E2" s="2" t="s">
        <v>3</v>
      </c>
      <c r="F2" s="5">
        <f>(L2*M2)/D2</f>
        <v>1.1333333333333335</v>
      </c>
      <c r="I2" s="40">
        <f>J25</f>
        <v>11.533333333333335</v>
      </c>
      <c r="K2" s="11" t="s">
        <v>3</v>
      </c>
      <c r="L2" s="11">
        <v>40</v>
      </c>
      <c r="M2" s="11">
        <v>0.17</v>
      </c>
      <c r="N2" s="11">
        <f>M2*L2</f>
        <v>6.8000000000000007</v>
      </c>
    </row>
    <row r="3" spans="1:14">
      <c r="C3" s="6" t="s">
        <v>1</v>
      </c>
      <c r="D3" s="8">
        <v>2</v>
      </c>
      <c r="E3" s="9" t="s">
        <v>4</v>
      </c>
      <c r="F3" s="10">
        <f>(L3*M3)/D2</f>
        <v>1.4000000000000001</v>
      </c>
      <c r="I3" s="40">
        <f>H26</f>
        <v>4.0000000000000018</v>
      </c>
      <c r="K3" s="11" t="s">
        <v>4</v>
      </c>
      <c r="L3" s="11">
        <v>20</v>
      </c>
      <c r="M3" s="11">
        <v>0.42</v>
      </c>
      <c r="N3" s="11">
        <f>M3*L3</f>
        <v>8.4</v>
      </c>
    </row>
    <row r="4" spans="1:14">
      <c r="D4" s="11" t="s">
        <v>30</v>
      </c>
      <c r="E4" s="11" t="s">
        <v>7</v>
      </c>
      <c r="F4" s="11" t="s">
        <v>8</v>
      </c>
      <c r="G4" s="11" t="s">
        <v>9</v>
      </c>
      <c r="H4" s="11" t="s">
        <v>33</v>
      </c>
      <c r="I4" s="11" t="s">
        <v>4</v>
      </c>
      <c r="J4" s="13" t="s">
        <v>46</v>
      </c>
    </row>
    <row r="5" spans="1:14">
      <c r="A5" s="11">
        <f>D3</f>
        <v>2</v>
      </c>
      <c r="B5" s="11">
        <v>1</v>
      </c>
      <c r="C5" s="11" t="s">
        <v>10</v>
      </c>
      <c r="D5" s="12">
        <v>0</v>
      </c>
      <c r="E5" s="12">
        <f>(IF(B5&lt;=$D$2,($L$2*$M$2)/$D$2,0))</f>
        <v>1.1333333333333335</v>
      </c>
      <c r="F5" s="12">
        <f t="shared" ref="F5:F24" si="0">A5</f>
        <v>2</v>
      </c>
      <c r="G5" s="12">
        <f>D5+E5+F5</f>
        <v>3.1333333333333337</v>
      </c>
      <c r="H5" s="12">
        <v>0</v>
      </c>
      <c r="I5" s="12">
        <f>$E$25/$D$2</f>
        <v>1.4000000000000001</v>
      </c>
      <c r="J5" s="12">
        <f>D5+E5+F5+H5+I5</f>
        <v>4.5333333333333341</v>
      </c>
      <c r="K5" s="11" t="s">
        <v>31</v>
      </c>
      <c r="L5" s="14">
        <f>L2/D2</f>
        <v>6.666666666666667</v>
      </c>
      <c r="M5" s="11">
        <f>ROUNDDOWN(L5,0)</f>
        <v>6</v>
      </c>
      <c r="N5" s="4">
        <f>M5/M6</f>
        <v>2</v>
      </c>
    </row>
    <row r="6" spans="1:14">
      <c r="A6" s="11">
        <f t="shared" ref="A6:A25" si="1">IF(E6&gt;0,$D$3,0)</f>
        <v>2</v>
      </c>
      <c r="B6" s="11">
        <v>2</v>
      </c>
      <c r="C6" s="11" t="s">
        <v>11</v>
      </c>
      <c r="D6" s="12">
        <f>IF(E6&gt;0,E5,0)</f>
        <v>1.1333333333333335</v>
      </c>
      <c r="E6" s="12">
        <f>(IF(B6&lt;=$D$2,(($L$2*$M$2)/$D$2),0))</f>
        <v>1.1333333333333335</v>
      </c>
      <c r="F6" s="12">
        <f t="shared" si="0"/>
        <v>2</v>
      </c>
      <c r="G6" s="12">
        <f t="shared" ref="G6:G24" si="2">D6+E6+F6</f>
        <v>4.2666666666666675</v>
      </c>
      <c r="H6" s="12">
        <f>IF(B6&gt;$D$2,0,IF((G5+H5+I5)&gt;G6,(G5+H5+I5)-G6,0))</f>
        <v>0.26666666666666661</v>
      </c>
      <c r="I6" s="12">
        <f>IF(B6&gt;$D$2,0,$E$25/$D$2)</f>
        <v>1.4000000000000001</v>
      </c>
      <c r="J6" s="12">
        <f t="shared" ref="J6:J24" si="3">D6+E6+F6+H6+I6</f>
        <v>5.9333333333333345</v>
      </c>
      <c r="K6" s="11" t="s">
        <v>32</v>
      </c>
      <c r="L6" s="14">
        <f>L3/D2</f>
        <v>3.3333333333333335</v>
      </c>
      <c r="M6" s="11">
        <f>ROUNDDOWN(L6,0)</f>
        <v>3</v>
      </c>
    </row>
    <row r="7" spans="1:14">
      <c r="A7" s="11">
        <f t="shared" si="1"/>
        <v>2</v>
      </c>
      <c r="B7" s="11">
        <v>3</v>
      </c>
      <c r="C7" s="11" t="s">
        <v>12</v>
      </c>
      <c r="D7" s="12">
        <f>IF(E7&gt;0,(B7-1)*$F$2,0)</f>
        <v>2.2666666666666671</v>
      </c>
      <c r="E7" s="12">
        <f t="shared" ref="E7:E24" si="4">(IF(B7&lt;=$D$2,(($L$2*$M$2)/$D$2),0))</f>
        <v>1.1333333333333335</v>
      </c>
      <c r="F7" s="12">
        <f t="shared" si="0"/>
        <v>2</v>
      </c>
      <c r="G7" s="12">
        <f t="shared" si="2"/>
        <v>5.4</v>
      </c>
      <c r="H7" s="12">
        <f t="shared" ref="H7:H24" si="5">IF(B7&gt;$D$2,0,IF((G6+H6+I6)&gt;G7,(G6+H6+I6)-G7,0))</f>
        <v>0.5333333333333341</v>
      </c>
      <c r="I7" s="12">
        <f t="shared" ref="I7:I24" si="6">IF(B7&gt;$D$2,0,$E$25/$D$2)</f>
        <v>1.4000000000000001</v>
      </c>
      <c r="J7" s="12">
        <f t="shared" si="3"/>
        <v>7.3333333333333348</v>
      </c>
    </row>
    <row r="8" spans="1:14">
      <c r="A8" s="11">
        <f t="shared" si="1"/>
        <v>2</v>
      </c>
      <c r="B8" s="11">
        <v>4</v>
      </c>
      <c r="C8" s="11" t="s">
        <v>13</v>
      </c>
      <c r="D8" s="12">
        <f>IF(E8&gt;0,(B8-1)*$F$2,0)</f>
        <v>3.4000000000000004</v>
      </c>
      <c r="E8" s="12">
        <f t="shared" si="4"/>
        <v>1.1333333333333335</v>
      </c>
      <c r="F8" s="12">
        <f t="shared" si="0"/>
        <v>2</v>
      </c>
      <c r="G8" s="12">
        <f t="shared" si="2"/>
        <v>6.5333333333333341</v>
      </c>
      <c r="H8" s="12">
        <f t="shared" si="5"/>
        <v>0.80000000000000071</v>
      </c>
      <c r="I8" s="12">
        <f t="shared" si="6"/>
        <v>1.4000000000000001</v>
      </c>
      <c r="J8" s="12">
        <f t="shared" si="3"/>
        <v>8.7333333333333343</v>
      </c>
    </row>
    <row r="9" spans="1:14">
      <c r="A9" s="11">
        <f t="shared" si="1"/>
        <v>2</v>
      </c>
      <c r="B9" s="11">
        <v>5</v>
      </c>
      <c r="C9" s="11" t="s">
        <v>14</v>
      </c>
      <c r="D9" s="12">
        <f t="shared" ref="D9:D24" si="7">IF(E9&gt;0,(B9-1)*$F$2,0)</f>
        <v>4.5333333333333341</v>
      </c>
      <c r="E9" s="12">
        <f t="shared" si="4"/>
        <v>1.1333333333333335</v>
      </c>
      <c r="F9" s="12">
        <f t="shared" si="0"/>
        <v>2</v>
      </c>
      <c r="G9" s="12">
        <f t="shared" si="2"/>
        <v>7.6666666666666679</v>
      </c>
      <c r="H9" s="12">
        <f t="shared" si="5"/>
        <v>1.0666666666666664</v>
      </c>
      <c r="I9" s="12">
        <f t="shared" si="6"/>
        <v>1.4000000000000001</v>
      </c>
      <c r="J9" s="12">
        <f t="shared" si="3"/>
        <v>10.133333333333335</v>
      </c>
    </row>
    <row r="10" spans="1:14">
      <c r="A10" s="11">
        <f t="shared" si="1"/>
        <v>2</v>
      </c>
      <c r="B10" s="11">
        <v>6</v>
      </c>
      <c r="C10" s="11" t="s">
        <v>15</v>
      </c>
      <c r="D10" s="12">
        <f t="shared" si="7"/>
        <v>5.6666666666666679</v>
      </c>
      <c r="E10" s="12">
        <f t="shared" si="4"/>
        <v>1.1333333333333335</v>
      </c>
      <c r="F10" s="12">
        <f t="shared" si="0"/>
        <v>2</v>
      </c>
      <c r="G10" s="12">
        <f t="shared" si="2"/>
        <v>8.8000000000000007</v>
      </c>
      <c r="H10" s="12">
        <f t="shared" si="5"/>
        <v>1.3333333333333339</v>
      </c>
      <c r="I10" s="12">
        <f t="shared" si="6"/>
        <v>1.4000000000000001</v>
      </c>
      <c r="J10" s="12">
        <f t="shared" si="3"/>
        <v>11.533333333333335</v>
      </c>
    </row>
    <row r="11" spans="1:14">
      <c r="A11" s="11">
        <f t="shared" si="1"/>
        <v>0</v>
      </c>
      <c r="B11" s="11">
        <v>7</v>
      </c>
      <c r="C11" s="11" t="s">
        <v>16</v>
      </c>
      <c r="D11" s="12">
        <f t="shared" si="7"/>
        <v>0</v>
      </c>
      <c r="E11" s="12">
        <f t="shared" si="4"/>
        <v>0</v>
      </c>
      <c r="F11" s="12">
        <f t="shared" si="0"/>
        <v>0</v>
      </c>
      <c r="G11" s="12">
        <f t="shared" si="2"/>
        <v>0</v>
      </c>
      <c r="H11" s="12">
        <f t="shared" si="5"/>
        <v>0</v>
      </c>
      <c r="I11" s="12">
        <f t="shared" si="6"/>
        <v>0</v>
      </c>
      <c r="J11" s="12">
        <f t="shared" si="3"/>
        <v>0</v>
      </c>
    </row>
    <row r="12" spans="1:14">
      <c r="A12" s="11">
        <f t="shared" si="1"/>
        <v>0</v>
      </c>
      <c r="B12" s="11">
        <v>8</v>
      </c>
      <c r="C12" s="11" t="s">
        <v>17</v>
      </c>
      <c r="D12" s="12">
        <f t="shared" si="7"/>
        <v>0</v>
      </c>
      <c r="E12" s="12">
        <f t="shared" si="4"/>
        <v>0</v>
      </c>
      <c r="F12" s="12">
        <f t="shared" si="0"/>
        <v>0</v>
      </c>
      <c r="G12" s="12">
        <f t="shared" si="2"/>
        <v>0</v>
      </c>
      <c r="H12" s="12">
        <f t="shared" si="5"/>
        <v>0</v>
      </c>
      <c r="I12" s="12">
        <f t="shared" si="6"/>
        <v>0</v>
      </c>
      <c r="J12" s="12">
        <f t="shared" si="3"/>
        <v>0</v>
      </c>
    </row>
    <row r="13" spans="1:14">
      <c r="A13" s="11">
        <f t="shared" si="1"/>
        <v>0</v>
      </c>
      <c r="B13" s="11">
        <v>9</v>
      </c>
      <c r="C13" s="11" t="s">
        <v>18</v>
      </c>
      <c r="D13" s="12">
        <f t="shared" si="7"/>
        <v>0</v>
      </c>
      <c r="E13" s="12">
        <f t="shared" si="4"/>
        <v>0</v>
      </c>
      <c r="F13" s="12">
        <f t="shared" si="0"/>
        <v>0</v>
      </c>
      <c r="G13" s="12">
        <f t="shared" si="2"/>
        <v>0</v>
      </c>
      <c r="H13" s="12">
        <f t="shared" si="5"/>
        <v>0</v>
      </c>
      <c r="I13" s="12">
        <f t="shared" si="6"/>
        <v>0</v>
      </c>
      <c r="J13" s="12">
        <f t="shared" si="3"/>
        <v>0</v>
      </c>
    </row>
    <row r="14" spans="1:14">
      <c r="A14" s="11">
        <f t="shared" si="1"/>
        <v>0</v>
      </c>
      <c r="B14" s="11">
        <v>10</v>
      </c>
      <c r="C14" s="11" t="s">
        <v>19</v>
      </c>
      <c r="D14" s="12">
        <f t="shared" si="7"/>
        <v>0</v>
      </c>
      <c r="E14" s="12">
        <f t="shared" si="4"/>
        <v>0</v>
      </c>
      <c r="F14" s="12">
        <f t="shared" si="0"/>
        <v>0</v>
      </c>
      <c r="G14" s="12">
        <f t="shared" si="2"/>
        <v>0</v>
      </c>
      <c r="H14" s="12">
        <f t="shared" si="5"/>
        <v>0</v>
      </c>
      <c r="I14" s="12">
        <f t="shared" si="6"/>
        <v>0</v>
      </c>
      <c r="J14" s="12">
        <f t="shared" si="3"/>
        <v>0</v>
      </c>
    </row>
    <row r="15" spans="1:14">
      <c r="A15" s="11">
        <f t="shared" si="1"/>
        <v>0</v>
      </c>
      <c r="B15" s="11">
        <v>11</v>
      </c>
      <c r="C15" s="11" t="s">
        <v>20</v>
      </c>
      <c r="D15" s="12">
        <f t="shared" si="7"/>
        <v>0</v>
      </c>
      <c r="E15" s="12">
        <f t="shared" si="4"/>
        <v>0</v>
      </c>
      <c r="F15" s="12">
        <f t="shared" si="0"/>
        <v>0</v>
      </c>
      <c r="G15" s="12">
        <f t="shared" si="2"/>
        <v>0</v>
      </c>
      <c r="H15" s="12">
        <f t="shared" si="5"/>
        <v>0</v>
      </c>
      <c r="I15" s="12">
        <f t="shared" si="6"/>
        <v>0</v>
      </c>
      <c r="J15" s="12">
        <f t="shared" si="3"/>
        <v>0</v>
      </c>
    </row>
    <row r="16" spans="1:14">
      <c r="A16" s="11">
        <f t="shared" si="1"/>
        <v>0</v>
      </c>
      <c r="B16" s="11">
        <v>12</v>
      </c>
      <c r="C16" s="11" t="s">
        <v>21</v>
      </c>
      <c r="D16" s="12">
        <f t="shared" si="7"/>
        <v>0</v>
      </c>
      <c r="E16" s="12">
        <f t="shared" si="4"/>
        <v>0</v>
      </c>
      <c r="F16" s="12">
        <f t="shared" si="0"/>
        <v>0</v>
      </c>
      <c r="G16" s="12">
        <f t="shared" si="2"/>
        <v>0</v>
      </c>
      <c r="H16" s="12">
        <f t="shared" si="5"/>
        <v>0</v>
      </c>
      <c r="I16" s="12">
        <f t="shared" si="6"/>
        <v>0</v>
      </c>
      <c r="J16" s="12">
        <f t="shared" si="3"/>
        <v>0</v>
      </c>
    </row>
    <row r="17" spans="1:10">
      <c r="A17" s="11">
        <f t="shared" si="1"/>
        <v>0</v>
      </c>
      <c r="B17" s="11">
        <v>13</v>
      </c>
      <c r="C17" s="11" t="s">
        <v>22</v>
      </c>
      <c r="D17" s="12">
        <f t="shared" si="7"/>
        <v>0</v>
      </c>
      <c r="E17" s="12">
        <f t="shared" si="4"/>
        <v>0</v>
      </c>
      <c r="F17" s="12">
        <f t="shared" si="0"/>
        <v>0</v>
      </c>
      <c r="G17" s="12">
        <f t="shared" si="2"/>
        <v>0</v>
      </c>
      <c r="H17" s="12">
        <f t="shared" si="5"/>
        <v>0</v>
      </c>
      <c r="I17" s="12">
        <f t="shared" si="6"/>
        <v>0</v>
      </c>
      <c r="J17" s="12">
        <f t="shared" si="3"/>
        <v>0</v>
      </c>
    </row>
    <row r="18" spans="1:10">
      <c r="A18" s="11">
        <f t="shared" si="1"/>
        <v>0</v>
      </c>
      <c r="B18" s="11">
        <v>14</v>
      </c>
      <c r="C18" s="11" t="s">
        <v>23</v>
      </c>
      <c r="D18" s="12">
        <f t="shared" si="7"/>
        <v>0</v>
      </c>
      <c r="E18" s="12">
        <f t="shared" si="4"/>
        <v>0</v>
      </c>
      <c r="F18" s="12">
        <f t="shared" si="0"/>
        <v>0</v>
      </c>
      <c r="G18" s="12">
        <f t="shared" si="2"/>
        <v>0</v>
      </c>
      <c r="H18" s="12">
        <f t="shared" si="5"/>
        <v>0</v>
      </c>
      <c r="I18" s="12">
        <f t="shared" si="6"/>
        <v>0</v>
      </c>
      <c r="J18" s="12">
        <f t="shared" si="3"/>
        <v>0</v>
      </c>
    </row>
    <row r="19" spans="1:10">
      <c r="A19" s="11">
        <f t="shared" si="1"/>
        <v>0</v>
      </c>
      <c r="B19" s="11">
        <v>15</v>
      </c>
      <c r="C19" s="11" t="s">
        <v>24</v>
      </c>
      <c r="D19" s="12">
        <f t="shared" si="7"/>
        <v>0</v>
      </c>
      <c r="E19" s="12">
        <f t="shared" si="4"/>
        <v>0</v>
      </c>
      <c r="F19" s="12">
        <f t="shared" si="0"/>
        <v>0</v>
      </c>
      <c r="G19" s="12">
        <f t="shared" si="2"/>
        <v>0</v>
      </c>
      <c r="H19" s="12">
        <f t="shared" si="5"/>
        <v>0</v>
      </c>
      <c r="I19" s="12">
        <f t="shared" si="6"/>
        <v>0</v>
      </c>
      <c r="J19" s="12">
        <f t="shared" si="3"/>
        <v>0</v>
      </c>
    </row>
    <row r="20" spans="1:10">
      <c r="A20" s="11">
        <f t="shared" si="1"/>
        <v>0</v>
      </c>
      <c r="B20" s="11">
        <v>16</v>
      </c>
      <c r="C20" s="11" t="s">
        <v>25</v>
      </c>
      <c r="D20" s="12">
        <f t="shared" si="7"/>
        <v>0</v>
      </c>
      <c r="E20" s="12">
        <f t="shared" si="4"/>
        <v>0</v>
      </c>
      <c r="F20" s="12">
        <f t="shared" si="0"/>
        <v>0</v>
      </c>
      <c r="G20" s="12">
        <f t="shared" si="2"/>
        <v>0</v>
      </c>
      <c r="H20" s="12">
        <f t="shared" si="5"/>
        <v>0</v>
      </c>
      <c r="I20" s="12">
        <f t="shared" si="6"/>
        <v>0</v>
      </c>
      <c r="J20" s="12">
        <f t="shared" si="3"/>
        <v>0</v>
      </c>
    </row>
    <row r="21" spans="1:10">
      <c r="A21" s="11">
        <f t="shared" si="1"/>
        <v>0</v>
      </c>
      <c r="B21" s="11">
        <v>17</v>
      </c>
      <c r="C21" s="11" t="s">
        <v>26</v>
      </c>
      <c r="D21" s="12">
        <f t="shared" si="7"/>
        <v>0</v>
      </c>
      <c r="E21" s="12">
        <f t="shared" si="4"/>
        <v>0</v>
      </c>
      <c r="F21" s="12">
        <f t="shared" si="0"/>
        <v>0</v>
      </c>
      <c r="G21" s="12">
        <f t="shared" si="2"/>
        <v>0</v>
      </c>
      <c r="H21" s="12">
        <f t="shared" si="5"/>
        <v>0</v>
      </c>
      <c r="I21" s="12">
        <f t="shared" si="6"/>
        <v>0</v>
      </c>
      <c r="J21" s="12">
        <f t="shared" si="3"/>
        <v>0</v>
      </c>
    </row>
    <row r="22" spans="1:10">
      <c r="A22" s="11">
        <f t="shared" si="1"/>
        <v>0</v>
      </c>
      <c r="B22" s="11">
        <v>18</v>
      </c>
      <c r="C22" s="11" t="s">
        <v>27</v>
      </c>
      <c r="D22" s="12">
        <f t="shared" si="7"/>
        <v>0</v>
      </c>
      <c r="E22" s="12">
        <f t="shared" si="4"/>
        <v>0</v>
      </c>
      <c r="F22" s="12">
        <f t="shared" si="0"/>
        <v>0</v>
      </c>
      <c r="G22" s="12">
        <f t="shared" si="2"/>
        <v>0</v>
      </c>
      <c r="H22" s="12">
        <f t="shared" si="5"/>
        <v>0</v>
      </c>
      <c r="I22" s="12">
        <f t="shared" si="6"/>
        <v>0</v>
      </c>
      <c r="J22" s="12">
        <f t="shared" si="3"/>
        <v>0</v>
      </c>
    </row>
    <row r="23" spans="1:10">
      <c r="A23" s="11">
        <f t="shared" si="1"/>
        <v>0</v>
      </c>
      <c r="B23" s="11">
        <v>19</v>
      </c>
      <c r="C23" s="11" t="s">
        <v>28</v>
      </c>
      <c r="D23" s="12">
        <f t="shared" si="7"/>
        <v>0</v>
      </c>
      <c r="E23" s="12">
        <f t="shared" si="4"/>
        <v>0</v>
      </c>
      <c r="F23" s="12">
        <f t="shared" si="0"/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2">
        <f t="shared" si="3"/>
        <v>0</v>
      </c>
    </row>
    <row r="24" spans="1:10">
      <c r="A24" s="11">
        <f t="shared" si="1"/>
        <v>0</v>
      </c>
      <c r="B24" s="11">
        <v>20</v>
      </c>
      <c r="C24" s="11" t="s">
        <v>29</v>
      </c>
      <c r="D24" s="12">
        <f t="shared" si="7"/>
        <v>0</v>
      </c>
      <c r="E24" s="12">
        <f t="shared" si="4"/>
        <v>0</v>
      </c>
      <c r="F24" s="12">
        <f t="shared" si="0"/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2">
        <f t="shared" si="3"/>
        <v>0</v>
      </c>
    </row>
    <row r="25" spans="1:10">
      <c r="A25" s="11">
        <f t="shared" si="1"/>
        <v>2</v>
      </c>
      <c r="B25" s="11">
        <f>$D$2</f>
        <v>6</v>
      </c>
      <c r="C25" s="13" t="s">
        <v>47</v>
      </c>
      <c r="D25" s="12">
        <f>G5</f>
        <v>3.1333333333333337</v>
      </c>
      <c r="E25" s="12">
        <f>L3*M3</f>
        <v>8.4</v>
      </c>
      <c r="F25" s="12">
        <v>0</v>
      </c>
      <c r="G25" s="12">
        <f>L3*M3</f>
        <v>8.4</v>
      </c>
      <c r="H25" s="12">
        <f>LARGE(H5:H24,1)</f>
        <v>1.3333333333333339</v>
      </c>
      <c r="I25" s="12">
        <f>LARGE(I5:I24,1)</f>
        <v>1.4000000000000001</v>
      </c>
      <c r="J25" s="16">
        <f>LARGE(J5:J24,1)</f>
        <v>11.533333333333335</v>
      </c>
    </row>
    <row r="26" spans="1:10">
      <c r="H26" s="12">
        <f>SUM(H5:H24)</f>
        <v>4.0000000000000018</v>
      </c>
    </row>
    <row r="27" spans="1:10">
      <c r="E27" s="15" t="s">
        <v>35</v>
      </c>
    </row>
    <row r="28" spans="1:10">
      <c r="C28" s="3" t="s">
        <v>37</v>
      </c>
      <c r="D28" s="4">
        <f>(F2/M2)</f>
        <v>6.666666666666667</v>
      </c>
      <c r="E28" s="3">
        <f>ROUNDUP(D28,0)</f>
        <v>7</v>
      </c>
    </row>
    <row r="29" spans="1:10">
      <c r="C29" s="3" t="s">
        <v>2</v>
      </c>
      <c r="D29" s="4">
        <f>(F3/M3)</f>
        <v>3.3333333333333339</v>
      </c>
      <c r="E29" s="3">
        <f>ROUNDUP(D29,0)</f>
        <v>4</v>
      </c>
    </row>
    <row r="31" spans="1:10">
      <c r="F31" s="17" t="s">
        <v>36</v>
      </c>
      <c r="I31" s="6" t="s">
        <v>0</v>
      </c>
    </row>
    <row r="32" spans="1:10">
      <c r="F32" s="18" t="s">
        <v>37</v>
      </c>
      <c r="G32" s="20">
        <f>ROUNDUP($D$3/M2,0)</f>
        <v>12</v>
      </c>
      <c r="I32" s="21">
        <f>L2/G32</f>
        <v>3.3333333333333335</v>
      </c>
    </row>
    <row r="33" spans="6:30">
      <c r="F33" s="18" t="s">
        <v>2</v>
      </c>
      <c r="G33" s="19">
        <f>ROUNDUP($D$3/M3,0)</f>
        <v>5</v>
      </c>
      <c r="I33" s="21">
        <f>L3/G33</f>
        <v>4</v>
      </c>
    </row>
    <row r="34" spans="6:30">
      <c r="F34" s="18" t="s">
        <v>38</v>
      </c>
      <c r="G34" s="20">
        <f>IF(G33&lt;(G32/N5),G32/N5,G33)</f>
        <v>6</v>
      </c>
    </row>
    <row r="35" spans="6:30">
      <c r="J35" s="7"/>
      <c r="K35" s="11">
        <f t="shared" ref="K35:R35" si="8">L35+1</f>
        <v>20</v>
      </c>
      <c r="L35" s="11">
        <f t="shared" si="8"/>
        <v>19</v>
      </c>
      <c r="M35" s="11">
        <f t="shared" si="8"/>
        <v>18</v>
      </c>
      <c r="N35" s="11">
        <f t="shared" si="8"/>
        <v>17</v>
      </c>
      <c r="O35" s="11">
        <f t="shared" si="8"/>
        <v>16</v>
      </c>
      <c r="P35" s="11">
        <f t="shared" si="8"/>
        <v>15</v>
      </c>
      <c r="Q35" s="11">
        <f t="shared" si="8"/>
        <v>14</v>
      </c>
      <c r="R35" s="11">
        <f t="shared" si="8"/>
        <v>13</v>
      </c>
      <c r="S35" s="11">
        <f t="shared" ref="S35:W35" si="9">T35+1</f>
        <v>12</v>
      </c>
      <c r="T35" s="11">
        <f t="shared" si="9"/>
        <v>11</v>
      </c>
      <c r="U35" s="11">
        <f t="shared" si="9"/>
        <v>10</v>
      </c>
      <c r="V35" s="11">
        <f t="shared" si="9"/>
        <v>9</v>
      </c>
      <c r="W35" s="11">
        <f t="shared" si="9"/>
        <v>8</v>
      </c>
      <c r="X35" s="11">
        <f>Y35+1</f>
        <v>7</v>
      </c>
      <c r="Y35" s="35">
        <v>6</v>
      </c>
      <c r="Z35" s="11">
        <v>5</v>
      </c>
      <c r="AA35" s="11">
        <v>4</v>
      </c>
      <c r="AB35" s="31">
        <v>3</v>
      </c>
      <c r="AC35" s="31">
        <v>2</v>
      </c>
      <c r="AD35" s="31">
        <v>1</v>
      </c>
    </row>
    <row r="36" spans="6:30">
      <c r="J36" s="3">
        <v>1</v>
      </c>
      <c r="K36" s="32">
        <f t="shared" ref="K36:W36" si="10">IF(K35=$D$2,((($M$2*$L$2)/$D$2)+$D$3)+((($M$3*$L$3)/$D$2)*($D$2-1)),IF(K35&lt;$D$2,J36-(($L$3*$M$3)/$D$2),0))</f>
        <v>0</v>
      </c>
      <c r="L36" s="32">
        <f t="shared" si="10"/>
        <v>0</v>
      </c>
      <c r="M36" s="32">
        <f t="shared" si="10"/>
        <v>0</v>
      </c>
      <c r="N36" s="32">
        <f t="shared" si="10"/>
        <v>0</v>
      </c>
      <c r="O36" s="32">
        <f t="shared" si="10"/>
        <v>0</v>
      </c>
      <c r="P36" s="32">
        <f t="shared" si="10"/>
        <v>0</v>
      </c>
      <c r="Q36" s="32">
        <f t="shared" si="10"/>
        <v>0</v>
      </c>
      <c r="R36" s="32">
        <f t="shared" si="10"/>
        <v>0</v>
      </c>
      <c r="S36" s="32">
        <f t="shared" si="10"/>
        <v>0</v>
      </c>
      <c r="T36" s="32">
        <f t="shared" si="10"/>
        <v>0</v>
      </c>
      <c r="U36" s="32">
        <f t="shared" si="10"/>
        <v>0</v>
      </c>
      <c r="V36" s="32">
        <f t="shared" si="10"/>
        <v>0</v>
      </c>
      <c r="W36" s="32">
        <f t="shared" si="10"/>
        <v>0</v>
      </c>
      <c r="X36" s="32">
        <f>IF(X35=$D$2,((($M$2*$L$2)/$D$2)+$D$3)+((($M$3*$L$3)/$D$2)*($D$2-1)),IF(X35&lt;$D$2,W36-(($L$3*$M$3)/$D$2),0))</f>
        <v>0</v>
      </c>
      <c r="Y36" s="32">
        <f>IF(Y35=$D$2,((($M$2*$L$2)/$D$2)+$D$3)+((($M$3*$L$3)/$D$2)*($D$2-1)),IF(Y35&lt;$D$2,X36-(($L$3*$M$3)/$D$2),0))</f>
        <v>10.133333333333335</v>
      </c>
      <c r="Z36" s="32">
        <f>IF(Z35=$D$2,((($M$2*$L$2)/$D$2)+$D$3)+((($M$3*$L$3)/$D$2)*($D$2-1)),IF(Z35&lt;$D$2,Y36-(($L$3*$M$3)/$D$2),0))</f>
        <v>8.7333333333333343</v>
      </c>
      <c r="AA36" s="32">
        <f t="shared" ref="AA36:AD36" si="11">IF(AA35=$D$2,((($M$2*$L$2)/$D$2)+$D$3)+((($M$3*$L$3)/$D$2)*($D$2-1)),IF(AA35&lt;$D$2,Z36-(($L$3*$M$3)/$D$2),0))</f>
        <v>7.3333333333333339</v>
      </c>
      <c r="AB36" s="32">
        <f t="shared" si="11"/>
        <v>5.9333333333333336</v>
      </c>
      <c r="AC36" s="32">
        <f t="shared" si="11"/>
        <v>4.5333333333333332</v>
      </c>
      <c r="AD36" s="32">
        <f t="shared" si="11"/>
        <v>3.1333333333333329</v>
      </c>
    </row>
    <row r="37" spans="6:30">
      <c r="J37" s="3">
        <v>2</v>
      </c>
      <c r="K37" s="16">
        <f t="shared" ref="K37:W37" si="12">IF(K35=$D$2,($L$2*$M$2)+$D$3,IF(K35&lt;$D$2,J37-$F$2,0))</f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>IF(X35=$D$2,($L$2*$M$2)+$D$3,IF(X35&lt;$D$2,W37-$F$2,0))</f>
        <v>0</v>
      </c>
      <c r="Y37" s="16">
        <f>IF(Y35=$D$2,($L$2*$M$2)+$D$3,IF(Y35&lt;$D$2,X37-$F$2,0))</f>
        <v>8.8000000000000007</v>
      </c>
      <c r="Z37" s="16">
        <f>IF(Z35=$D$2,($L$2*$M$2)+$D$3,IF(Z35&lt;$D$2,Y37-$F$2,0))</f>
        <v>7.666666666666667</v>
      </c>
      <c r="AA37" s="16">
        <f t="shared" ref="AA37:AD37" si="13">IF(AA35=$D$2,($L$2*$M$2)+$D$3,IF(AA35&lt;$D$2,Z37-$F$2,0))</f>
        <v>6.5333333333333332</v>
      </c>
      <c r="AB37" s="16">
        <f t="shared" si="13"/>
        <v>5.3999999999999995</v>
      </c>
      <c r="AC37" s="16">
        <f t="shared" si="13"/>
        <v>4.2666666666666657</v>
      </c>
      <c r="AD37" s="16">
        <f t="shared" si="13"/>
        <v>3.133333333333332</v>
      </c>
    </row>
    <row r="38" spans="6:30">
      <c r="K38" s="12">
        <f t="shared" ref="K38" si="14">K36-K37</f>
        <v>0</v>
      </c>
      <c r="L38" s="12">
        <f t="shared" ref="L38" si="15">L36-L37</f>
        <v>0</v>
      </c>
      <c r="M38" s="12">
        <f t="shared" ref="M38" si="16">M36-M37</f>
        <v>0</v>
      </c>
      <c r="N38" s="12">
        <f t="shared" ref="N38" si="17">N36-N37</f>
        <v>0</v>
      </c>
      <c r="O38" s="12">
        <f t="shared" ref="O38" si="18">O36-O37</f>
        <v>0</v>
      </c>
      <c r="P38" s="12">
        <f t="shared" ref="P38" si="19">P36-P37</f>
        <v>0</v>
      </c>
      <c r="Q38" s="12">
        <f t="shared" ref="Q38" si="20">Q36-Q37</f>
        <v>0</v>
      </c>
      <c r="R38" s="12">
        <f t="shared" ref="R38" si="21">R36-R37</f>
        <v>0</v>
      </c>
      <c r="S38" s="12">
        <f t="shared" ref="S38:W38" si="22">S36-S37</f>
        <v>0</v>
      </c>
      <c r="T38" s="12">
        <f t="shared" si="22"/>
        <v>0</v>
      </c>
      <c r="U38" s="12">
        <f t="shared" si="22"/>
        <v>0</v>
      </c>
      <c r="V38" s="12">
        <f t="shared" si="22"/>
        <v>0</v>
      </c>
      <c r="W38" s="12">
        <f t="shared" si="22"/>
        <v>0</v>
      </c>
      <c r="X38" s="12">
        <f>X36-X37</f>
        <v>0</v>
      </c>
      <c r="Y38" s="12">
        <f>Y36-Y37</f>
        <v>1.3333333333333339</v>
      </c>
      <c r="Z38" s="12">
        <f t="shared" ref="Z38:AB38" si="23">Z36-Z37</f>
        <v>1.0666666666666673</v>
      </c>
      <c r="AA38" s="12">
        <f t="shared" si="23"/>
        <v>0.80000000000000071</v>
      </c>
      <c r="AB38" s="12">
        <f t="shared" si="23"/>
        <v>0.5333333333333341</v>
      </c>
      <c r="AC38" s="12">
        <f t="shared" ref="AC38" si="24">AC36-AC37</f>
        <v>0.2666666666666675</v>
      </c>
      <c r="AD38" s="12">
        <f t="shared" ref="AD38" si="25">AD36-AD37</f>
        <v>0</v>
      </c>
    </row>
    <row r="40" spans="6:30">
      <c r="J40" s="33" t="s">
        <v>44</v>
      </c>
      <c r="R40" s="7" t="s">
        <v>48</v>
      </c>
      <c r="Z40" s="7" t="s">
        <v>50</v>
      </c>
      <c r="AB40" s="34" t="s">
        <v>53</v>
      </c>
    </row>
    <row r="41" spans="6:30">
      <c r="R41" s="7" t="s">
        <v>49</v>
      </c>
      <c r="Z41" s="7" t="s">
        <v>50</v>
      </c>
      <c r="AB41" t="s">
        <v>54</v>
      </c>
    </row>
    <row r="42" spans="6:30">
      <c r="R42" s="35" t="s">
        <v>51</v>
      </c>
    </row>
    <row r="43" spans="6:30">
      <c r="J43" s="33" t="s">
        <v>45</v>
      </c>
      <c r="R43" s="36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5"/>
  <sheetViews>
    <sheetView showGridLines="0" topLeftCell="C1" workbookViewId="0">
      <selection activeCell="D3" sqref="D3"/>
    </sheetView>
  </sheetViews>
  <sheetFormatPr defaultRowHeight="14.4"/>
  <cols>
    <col min="1" max="1" width="3.44140625" customWidth="1"/>
    <col min="2" max="2" width="4.33203125" customWidth="1"/>
    <col min="3" max="3" width="16.5546875" bestFit="1" customWidth="1"/>
    <col min="4" max="4" width="6.5546875" bestFit="1" customWidth="1"/>
    <col min="5" max="5" width="14.33203125" bestFit="1" customWidth="1"/>
    <col min="6" max="6" width="19.109375" bestFit="1" customWidth="1"/>
    <col min="7" max="7" width="10.33203125" bestFit="1" customWidth="1"/>
    <col min="8" max="8" width="6.5546875" customWidth="1"/>
    <col min="9" max="9" width="9.33203125" bestFit="1" customWidth="1"/>
    <col min="10" max="10" width="6.5546875" customWidth="1"/>
    <col min="11" max="11" width="16.5546875" bestFit="1" customWidth="1"/>
    <col min="12" max="12" width="9.6640625" bestFit="1" customWidth="1"/>
    <col min="13" max="13" width="10" bestFit="1" customWidth="1"/>
    <col min="14" max="14" width="6.109375" bestFit="1" customWidth="1"/>
    <col min="15" max="15" width="5.44140625" bestFit="1" customWidth="1"/>
  </cols>
  <sheetData>
    <row r="1" spans="1:15">
      <c r="M1" s="11" t="s">
        <v>5</v>
      </c>
      <c r="N1" s="11" t="s">
        <v>6</v>
      </c>
    </row>
    <row r="2" spans="1:15">
      <c r="C2" s="39" t="s">
        <v>56</v>
      </c>
      <c r="D2" s="1">
        <v>6</v>
      </c>
      <c r="E2" s="2" t="s">
        <v>3</v>
      </c>
      <c r="F2" s="5">
        <f>(M2*N2)/D2</f>
        <v>2.6666666666666665</v>
      </c>
      <c r="L2" s="11" t="s">
        <v>3</v>
      </c>
      <c r="M2" s="11">
        <v>40</v>
      </c>
      <c r="N2" s="11">
        <v>0.4</v>
      </c>
      <c r="O2" s="11">
        <f>N2*M2</f>
        <v>16</v>
      </c>
    </row>
    <row r="3" spans="1:15">
      <c r="C3" s="6" t="s">
        <v>1</v>
      </c>
      <c r="D3" s="8">
        <v>2</v>
      </c>
      <c r="E3" s="9" t="s">
        <v>4</v>
      </c>
      <c r="F3" s="10">
        <f>(M3*N3)/D2</f>
        <v>1.4000000000000001</v>
      </c>
      <c r="L3" s="11" t="s">
        <v>4</v>
      </c>
      <c r="M3" s="11">
        <v>20</v>
      </c>
      <c r="N3" s="11">
        <v>0.42</v>
      </c>
      <c r="O3" s="11">
        <f>N3*M3</f>
        <v>8.4</v>
      </c>
    </row>
    <row r="4" spans="1:15">
      <c r="D4" s="11" t="s">
        <v>30</v>
      </c>
      <c r="E4" s="11" t="s">
        <v>7</v>
      </c>
      <c r="F4" s="11" t="s">
        <v>8</v>
      </c>
      <c r="G4" s="11" t="s">
        <v>9</v>
      </c>
      <c r="H4" s="11" t="s">
        <v>33</v>
      </c>
      <c r="I4" s="11" t="s">
        <v>4</v>
      </c>
      <c r="J4" s="11" t="s">
        <v>33</v>
      </c>
      <c r="K4" s="13" t="s">
        <v>46</v>
      </c>
    </row>
    <row r="5" spans="1:15">
      <c r="A5" s="11">
        <f>D3</f>
        <v>2</v>
      </c>
      <c r="B5" s="11">
        <v>1</v>
      </c>
      <c r="C5" s="11" t="s">
        <v>10</v>
      </c>
      <c r="D5" s="12">
        <v>0</v>
      </c>
      <c r="E5" s="12">
        <f>(IF(B5&lt;=$D$2,($M$2*$N$2)/$D$2,0))</f>
        <v>2.6666666666666665</v>
      </c>
      <c r="F5" s="12">
        <f t="shared" ref="F5:F24" si="0">A5</f>
        <v>2</v>
      </c>
      <c r="G5" s="12">
        <f>D5+E5+F5</f>
        <v>4.6666666666666661</v>
      </c>
      <c r="H5" s="12">
        <v>0</v>
      </c>
      <c r="I5" s="12">
        <f>($M$3*$N$3)/$D$2</f>
        <v>1.4000000000000001</v>
      </c>
      <c r="J5" s="12">
        <f>IF(B5&gt;=$D$2,"   ",((B6*$F$2)+$D$3)-(((B6-1)*$F$2)+$D$3+$F$3))</f>
        <v>1.2666666666666666</v>
      </c>
      <c r="K5" s="12">
        <f t="shared" ref="K5:K24" si="1">D5+E5+F5+IF(J5="   ",0,J5)+I5</f>
        <v>7.333333333333333</v>
      </c>
      <c r="L5" s="11" t="s">
        <v>31</v>
      </c>
      <c r="M5" s="14">
        <f>M2/D2</f>
        <v>6.666666666666667</v>
      </c>
      <c r="N5" s="11">
        <f>ROUNDDOWN(M5,0)</f>
        <v>6</v>
      </c>
      <c r="O5" s="4">
        <f>N5/N6</f>
        <v>2</v>
      </c>
    </row>
    <row r="6" spans="1:15">
      <c r="A6" s="11">
        <f t="shared" ref="A6:A25" si="2">IF(E6&gt;0,$D$3,0)</f>
        <v>2</v>
      </c>
      <c r="B6" s="11">
        <v>2</v>
      </c>
      <c r="C6" s="11" t="s">
        <v>11</v>
      </c>
      <c r="D6" s="12">
        <f>IF(E6&gt;0,E5,0)</f>
        <v>2.6666666666666665</v>
      </c>
      <c r="E6" s="12">
        <f t="shared" ref="E6:E24" si="3">(IF(B6&lt;=$D$2,(($M$2*$N$2)/$D$2),0))</f>
        <v>2.6666666666666665</v>
      </c>
      <c r="F6" s="12">
        <f t="shared" si="0"/>
        <v>2</v>
      </c>
      <c r="G6" s="12">
        <f t="shared" ref="G6:G24" si="4">D6+E6+F6</f>
        <v>7.333333333333333</v>
      </c>
      <c r="H6" s="12">
        <f t="shared" ref="H6:H24" si="5">IF(B6&gt;$D$2,0,IF((G5+H5+I5)&gt;G6,(G5+H5+I5)-G6,0))</f>
        <v>0</v>
      </c>
      <c r="I6" s="12">
        <f>IF(B6&gt;$D$2,0,($M$3*$N$3)/$D$2)</f>
        <v>1.4000000000000001</v>
      </c>
      <c r="J6" s="12">
        <f t="shared" ref="J6:J24" si="6">IF(B6&gt;=$D$2,"   ",((B7*$F$2)+$D$3)-(((B7-1)*$F$2)+$D$3+$F$3))</f>
        <v>1.2666666666666675</v>
      </c>
      <c r="K6" s="12">
        <f t="shared" si="1"/>
        <v>10.000000000000002</v>
      </c>
      <c r="L6" s="11" t="s">
        <v>32</v>
      </c>
      <c r="M6" s="14">
        <f>M3/D2</f>
        <v>3.3333333333333335</v>
      </c>
      <c r="N6" s="11">
        <f>ROUNDDOWN(M6,0)</f>
        <v>3</v>
      </c>
    </row>
    <row r="7" spans="1:15">
      <c r="A7" s="11">
        <f t="shared" si="2"/>
        <v>2</v>
      </c>
      <c r="B7" s="11">
        <v>3</v>
      </c>
      <c r="C7" s="11" t="s">
        <v>12</v>
      </c>
      <c r="D7" s="12">
        <f>IF(E7&gt;0,(B7-1)*$F$2,0)</f>
        <v>5.333333333333333</v>
      </c>
      <c r="E7" s="12">
        <f t="shared" si="3"/>
        <v>2.6666666666666665</v>
      </c>
      <c r="F7" s="12">
        <f t="shared" si="0"/>
        <v>2</v>
      </c>
      <c r="G7" s="12">
        <f t="shared" si="4"/>
        <v>10</v>
      </c>
      <c r="H7" s="12">
        <f t="shared" si="5"/>
        <v>0</v>
      </c>
      <c r="I7" s="12">
        <f t="shared" ref="I7:I24" si="7">IF(B7&gt;$D$2,0,($M$3*$N$3)/$D$2)</f>
        <v>1.4000000000000001</v>
      </c>
      <c r="J7" s="12">
        <f t="shared" si="6"/>
        <v>1.2666666666666657</v>
      </c>
      <c r="K7" s="12">
        <f t="shared" si="1"/>
        <v>12.666666666666666</v>
      </c>
    </row>
    <row r="8" spans="1:15">
      <c r="A8" s="11">
        <f t="shared" si="2"/>
        <v>2</v>
      </c>
      <c r="B8" s="11">
        <v>4</v>
      </c>
      <c r="C8" s="11" t="s">
        <v>13</v>
      </c>
      <c r="D8" s="12">
        <f>IF(E8&gt;0,(B8-1)*$F$2,0)</f>
        <v>8</v>
      </c>
      <c r="E8" s="12">
        <f t="shared" si="3"/>
        <v>2.6666666666666665</v>
      </c>
      <c r="F8" s="12">
        <f t="shared" si="0"/>
        <v>2</v>
      </c>
      <c r="G8" s="12">
        <f t="shared" si="4"/>
        <v>12.666666666666666</v>
      </c>
      <c r="H8" s="12">
        <f t="shared" si="5"/>
        <v>0</v>
      </c>
      <c r="I8" s="12">
        <f t="shared" si="7"/>
        <v>1.4000000000000001</v>
      </c>
      <c r="J8" s="12">
        <f t="shared" si="6"/>
        <v>1.2666666666666657</v>
      </c>
      <c r="K8" s="12">
        <f t="shared" si="1"/>
        <v>15.333333333333332</v>
      </c>
    </row>
    <row r="9" spans="1:15">
      <c r="A9" s="11">
        <f t="shared" si="2"/>
        <v>2</v>
      </c>
      <c r="B9" s="11">
        <v>5</v>
      </c>
      <c r="C9" s="11" t="s">
        <v>14</v>
      </c>
      <c r="D9" s="12">
        <f t="shared" ref="D9:D24" si="8">IF(E9&gt;0,(B9-1)*$F$2,0)</f>
        <v>10.666666666666666</v>
      </c>
      <c r="E9" s="12">
        <f t="shared" si="3"/>
        <v>2.6666666666666665</v>
      </c>
      <c r="F9" s="12">
        <f t="shared" si="0"/>
        <v>2</v>
      </c>
      <c r="G9" s="12">
        <f t="shared" si="4"/>
        <v>15.333333333333332</v>
      </c>
      <c r="H9" s="12">
        <f t="shared" si="5"/>
        <v>0</v>
      </c>
      <c r="I9" s="12">
        <f t="shared" si="7"/>
        <v>1.4000000000000001</v>
      </c>
      <c r="J9" s="12">
        <f t="shared" si="6"/>
        <v>1.2666666666666693</v>
      </c>
      <c r="K9" s="12">
        <f t="shared" si="1"/>
        <v>18</v>
      </c>
    </row>
    <row r="10" spans="1:15">
      <c r="A10" s="11">
        <f t="shared" si="2"/>
        <v>2</v>
      </c>
      <c r="B10" s="11">
        <v>6</v>
      </c>
      <c r="C10" s="11" t="s">
        <v>15</v>
      </c>
      <c r="D10" s="12">
        <f t="shared" si="8"/>
        <v>13.333333333333332</v>
      </c>
      <c r="E10" s="12">
        <f t="shared" si="3"/>
        <v>2.6666666666666665</v>
      </c>
      <c r="F10" s="12">
        <f t="shared" si="0"/>
        <v>2</v>
      </c>
      <c r="G10" s="12">
        <f t="shared" si="4"/>
        <v>18</v>
      </c>
      <c r="H10" s="12">
        <f t="shared" si="5"/>
        <v>0</v>
      </c>
      <c r="I10" s="12">
        <f t="shared" si="7"/>
        <v>1.4000000000000001</v>
      </c>
      <c r="J10" s="12" t="str">
        <f t="shared" si="6"/>
        <v xml:space="preserve">   </v>
      </c>
      <c r="K10" s="12">
        <f t="shared" si="1"/>
        <v>19.399999999999999</v>
      </c>
    </row>
    <row r="11" spans="1:15">
      <c r="A11" s="11">
        <f t="shared" si="2"/>
        <v>0</v>
      </c>
      <c r="B11" s="11">
        <v>7</v>
      </c>
      <c r="C11" s="11" t="s">
        <v>16</v>
      </c>
      <c r="D11" s="12">
        <f t="shared" si="8"/>
        <v>0</v>
      </c>
      <c r="E11" s="12">
        <f t="shared" si="3"/>
        <v>0</v>
      </c>
      <c r="F11" s="12">
        <f t="shared" si="0"/>
        <v>0</v>
      </c>
      <c r="G11" s="12">
        <f t="shared" si="4"/>
        <v>0</v>
      </c>
      <c r="H11" s="12">
        <f t="shared" si="5"/>
        <v>0</v>
      </c>
      <c r="I11" s="12">
        <f t="shared" si="7"/>
        <v>0</v>
      </c>
      <c r="J11" s="12" t="str">
        <f t="shared" si="6"/>
        <v xml:space="preserve">   </v>
      </c>
      <c r="K11" s="12">
        <f t="shared" si="1"/>
        <v>0</v>
      </c>
    </row>
    <row r="12" spans="1:15">
      <c r="A12" s="11">
        <f t="shared" si="2"/>
        <v>0</v>
      </c>
      <c r="B12" s="11">
        <v>8</v>
      </c>
      <c r="C12" s="11" t="s">
        <v>17</v>
      </c>
      <c r="D12" s="12">
        <f t="shared" si="8"/>
        <v>0</v>
      </c>
      <c r="E12" s="12">
        <f t="shared" si="3"/>
        <v>0</v>
      </c>
      <c r="F12" s="12">
        <f t="shared" si="0"/>
        <v>0</v>
      </c>
      <c r="G12" s="12">
        <f t="shared" si="4"/>
        <v>0</v>
      </c>
      <c r="H12" s="12">
        <f t="shared" si="5"/>
        <v>0</v>
      </c>
      <c r="I12" s="12">
        <f t="shared" si="7"/>
        <v>0</v>
      </c>
      <c r="J12" s="12" t="str">
        <f t="shared" si="6"/>
        <v xml:space="preserve">   </v>
      </c>
      <c r="K12" s="12">
        <f t="shared" si="1"/>
        <v>0</v>
      </c>
    </row>
    <row r="13" spans="1:15">
      <c r="A13" s="11">
        <f t="shared" si="2"/>
        <v>0</v>
      </c>
      <c r="B13" s="11">
        <v>9</v>
      </c>
      <c r="C13" s="11" t="s">
        <v>18</v>
      </c>
      <c r="D13" s="12">
        <f t="shared" si="8"/>
        <v>0</v>
      </c>
      <c r="E13" s="12">
        <f t="shared" si="3"/>
        <v>0</v>
      </c>
      <c r="F13" s="12">
        <f t="shared" si="0"/>
        <v>0</v>
      </c>
      <c r="G13" s="12">
        <f t="shared" si="4"/>
        <v>0</v>
      </c>
      <c r="H13" s="12">
        <f t="shared" si="5"/>
        <v>0</v>
      </c>
      <c r="I13" s="12">
        <f t="shared" si="7"/>
        <v>0</v>
      </c>
      <c r="J13" s="12" t="str">
        <f t="shared" si="6"/>
        <v xml:space="preserve">   </v>
      </c>
      <c r="K13" s="12">
        <f t="shared" si="1"/>
        <v>0</v>
      </c>
    </row>
    <row r="14" spans="1:15">
      <c r="A14" s="11">
        <f t="shared" si="2"/>
        <v>0</v>
      </c>
      <c r="B14" s="11">
        <v>10</v>
      </c>
      <c r="C14" s="11" t="s">
        <v>19</v>
      </c>
      <c r="D14" s="12">
        <f t="shared" si="8"/>
        <v>0</v>
      </c>
      <c r="E14" s="12">
        <f t="shared" si="3"/>
        <v>0</v>
      </c>
      <c r="F14" s="12">
        <f t="shared" si="0"/>
        <v>0</v>
      </c>
      <c r="G14" s="12">
        <f t="shared" si="4"/>
        <v>0</v>
      </c>
      <c r="H14" s="12">
        <f t="shared" si="5"/>
        <v>0</v>
      </c>
      <c r="I14" s="12">
        <f t="shared" si="7"/>
        <v>0</v>
      </c>
      <c r="J14" s="12" t="str">
        <f t="shared" si="6"/>
        <v xml:space="preserve">   </v>
      </c>
      <c r="K14" s="12">
        <f t="shared" si="1"/>
        <v>0</v>
      </c>
    </row>
    <row r="15" spans="1:15">
      <c r="A15" s="11">
        <f t="shared" si="2"/>
        <v>0</v>
      </c>
      <c r="B15" s="11">
        <v>11</v>
      </c>
      <c r="C15" s="11" t="s">
        <v>20</v>
      </c>
      <c r="D15" s="12">
        <f t="shared" si="8"/>
        <v>0</v>
      </c>
      <c r="E15" s="12">
        <f t="shared" si="3"/>
        <v>0</v>
      </c>
      <c r="F15" s="12">
        <f t="shared" si="0"/>
        <v>0</v>
      </c>
      <c r="G15" s="12">
        <f t="shared" si="4"/>
        <v>0</v>
      </c>
      <c r="H15" s="12">
        <f t="shared" si="5"/>
        <v>0</v>
      </c>
      <c r="I15" s="12">
        <f t="shared" si="7"/>
        <v>0</v>
      </c>
      <c r="J15" s="12" t="str">
        <f t="shared" si="6"/>
        <v xml:space="preserve">   </v>
      </c>
      <c r="K15" s="12">
        <f t="shared" si="1"/>
        <v>0</v>
      </c>
    </row>
    <row r="16" spans="1:15">
      <c r="A16" s="11">
        <f t="shared" si="2"/>
        <v>0</v>
      </c>
      <c r="B16" s="11">
        <v>12</v>
      </c>
      <c r="C16" s="11" t="s">
        <v>21</v>
      </c>
      <c r="D16" s="12">
        <f t="shared" si="8"/>
        <v>0</v>
      </c>
      <c r="E16" s="12">
        <f t="shared" si="3"/>
        <v>0</v>
      </c>
      <c r="F16" s="12">
        <f t="shared" si="0"/>
        <v>0</v>
      </c>
      <c r="G16" s="12">
        <f t="shared" si="4"/>
        <v>0</v>
      </c>
      <c r="H16" s="12">
        <f t="shared" si="5"/>
        <v>0</v>
      </c>
      <c r="I16" s="12">
        <f t="shared" si="7"/>
        <v>0</v>
      </c>
      <c r="J16" s="12" t="str">
        <f t="shared" si="6"/>
        <v xml:space="preserve">   </v>
      </c>
      <c r="K16" s="12">
        <f t="shared" si="1"/>
        <v>0</v>
      </c>
    </row>
    <row r="17" spans="1:11">
      <c r="A17" s="11">
        <f t="shared" si="2"/>
        <v>0</v>
      </c>
      <c r="B17" s="11">
        <v>13</v>
      </c>
      <c r="C17" s="11" t="s">
        <v>22</v>
      </c>
      <c r="D17" s="12">
        <f t="shared" si="8"/>
        <v>0</v>
      </c>
      <c r="E17" s="12">
        <f t="shared" si="3"/>
        <v>0</v>
      </c>
      <c r="F17" s="12">
        <f t="shared" si="0"/>
        <v>0</v>
      </c>
      <c r="G17" s="12">
        <f t="shared" si="4"/>
        <v>0</v>
      </c>
      <c r="H17" s="12">
        <f t="shared" si="5"/>
        <v>0</v>
      </c>
      <c r="I17" s="12">
        <f t="shared" si="7"/>
        <v>0</v>
      </c>
      <c r="J17" s="12" t="str">
        <f t="shared" si="6"/>
        <v xml:space="preserve">   </v>
      </c>
      <c r="K17" s="12">
        <f t="shared" si="1"/>
        <v>0</v>
      </c>
    </row>
    <row r="18" spans="1:11">
      <c r="A18" s="11">
        <f t="shared" si="2"/>
        <v>0</v>
      </c>
      <c r="B18" s="11">
        <v>14</v>
      </c>
      <c r="C18" s="11" t="s">
        <v>23</v>
      </c>
      <c r="D18" s="12">
        <f t="shared" si="8"/>
        <v>0</v>
      </c>
      <c r="E18" s="12">
        <f t="shared" si="3"/>
        <v>0</v>
      </c>
      <c r="F18" s="12">
        <f t="shared" si="0"/>
        <v>0</v>
      </c>
      <c r="G18" s="12">
        <f t="shared" si="4"/>
        <v>0</v>
      </c>
      <c r="H18" s="12">
        <f t="shared" si="5"/>
        <v>0</v>
      </c>
      <c r="I18" s="12">
        <f t="shared" si="7"/>
        <v>0</v>
      </c>
      <c r="J18" s="12" t="str">
        <f t="shared" si="6"/>
        <v xml:space="preserve">   </v>
      </c>
      <c r="K18" s="12">
        <f t="shared" si="1"/>
        <v>0</v>
      </c>
    </row>
    <row r="19" spans="1:11">
      <c r="A19" s="11">
        <f t="shared" si="2"/>
        <v>0</v>
      </c>
      <c r="B19" s="11">
        <v>15</v>
      </c>
      <c r="C19" s="11" t="s">
        <v>24</v>
      </c>
      <c r="D19" s="12">
        <f t="shared" si="8"/>
        <v>0</v>
      </c>
      <c r="E19" s="12">
        <f t="shared" si="3"/>
        <v>0</v>
      </c>
      <c r="F19" s="12">
        <f t="shared" si="0"/>
        <v>0</v>
      </c>
      <c r="G19" s="12">
        <f t="shared" si="4"/>
        <v>0</v>
      </c>
      <c r="H19" s="12">
        <f t="shared" si="5"/>
        <v>0</v>
      </c>
      <c r="I19" s="12">
        <f t="shared" si="7"/>
        <v>0</v>
      </c>
      <c r="J19" s="12" t="str">
        <f t="shared" si="6"/>
        <v xml:space="preserve">   </v>
      </c>
      <c r="K19" s="12">
        <f t="shared" si="1"/>
        <v>0</v>
      </c>
    </row>
    <row r="20" spans="1:11">
      <c r="A20" s="11">
        <f t="shared" si="2"/>
        <v>0</v>
      </c>
      <c r="B20" s="11">
        <v>16</v>
      </c>
      <c r="C20" s="11" t="s">
        <v>25</v>
      </c>
      <c r="D20" s="12">
        <f t="shared" si="8"/>
        <v>0</v>
      </c>
      <c r="E20" s="12">
        <f t="shared" si="3"/>
        <v>0</v>
      </c>
      <c r="F20" s="12">
        <f t="shared" si="0"/>
        <v>0</v>
      </c>
      <c r="G20" s="12">
        <f t="shared" si="4"/>
        <v>0</v>
      </c>
      <c r="H20" s="12">
        <f t="shared" si="5"/>
        <v>0</v>
      </c>
      <c r="I20" s="12">
        <f t="shared" si="7"/>
        <v>0</v>
      </c>
      <c r="J20" s="12" t="str">
        <f t="shared" si="6"/>
        <v xml:space="preserve">   </v>
      </c>
      <c r="K20" s="12">
        <f t="shared" si="1"/>
        <v>0</v>
      </c>
    </row>
    <row r="21" spans="1:11">
      <c r="A21" s="11">
        <f t="shared" si="2"/>
        <v>0</v>
      </c>
      <c r="B21" s="11">
        <v>17</v>
      </c>
      <c r="C21" s="11" t="s">
        <v>26</v>
      </c>
      <c r="D21" s="12">
        <f t="shared" si="8"/>
        <v>0</v>
      </c>
      <c r="E21" s="12">
        <f t="shared" si="3"/>
        <v>0</v>
      </c>
      <c r="F21" s="12">
        <f t="shared" si="0"/>
        <v>0</v>
      </c>
      <c r="G21" s="12">
        <f t="shared" si="4"/>
        <v>0</v>
      </c>
      <c r="H21" s="12">
        <f t="shared" si="5"/>
        <v>0</v>
      </c>
      <c r="I21" s="12">
        <f t="shared" si="7"/>
        <v>0</v>
      </c>
      <c r="J21" s="12" t="str">
        <f t="shared" si="6"/>
        <v xml:space="preserve">   </v>
      </c>
      <c r="K21" s="12">
        <f t="shared" si="1"/>
        <v>0</v>
      </c>
    </row>
    <row r="22" spans="1:11">
      <c r="A22" s="11">
        <f t="shared" si="2"/>
        <v>0</v>
      </c>
      <c r="B22" s="11">
        <v>18</v>
      </c>
      <c r="C22" s="11" t="s">
        <v>27</v>
      </c>
      <c r="D22" s="12">
        <f t="shared" si="8"/>
        <v>0</v>
      </c>
      <c r="E22" s="12">
        <f t="shared" si="3"/>
        <v>0</v>
      </c>
      <c r="F22" s="12">
        <f t="shared" si="0"/>
        <v>0</v>
      </c>
      <c r="G22" s="12">
        <f t="shared" si="4"/>
        <v>0</v>
      </c>
      <c r="H22" s="12">
        <f t="shared" si="5"/>
        <v>0</v>
      </c>
      <c r="I22" s="12">
        <f t="shared" si="7"/>
        <v>0</v>
      </c>
      <c r="J22" s="12" t="str">
        <f t="shared" si="6"/>
        <v xml:space="preserve">   </v>
      </c>
      <c r="K22" s="12">
        <f t="shared" si="1"/>
        <v>0</v>
      </c>
    </row>
    <row r="23" spans="1:11">
      <c r="A23" s="11">
        <f t="shared" si="2"/>
        <v>0</v>
      </c>
      <c r="B23" s="11">
        <v>19</v>
      </c>
      <c r="C23" s="11" t="s">
        <v>28</v>
      </c>
      <c r="D23" s="12">
        <f t="shared" si="8"/>
        <v>0</v>
      </c>
      <c r="E23" s="12">
        <f t="shared" si="3"/>
        <v>0</v>
      </c>
      <c r="F23" s="12">
        <f t="shared" si="0"/>
        <v>0</v>
      </c>
      <c r="G23" s="12">
        <f t="shared" si="4"/>
        <v>0</v>
      </c>
      <c r="H23" s="12">
        <f t="shared" si="5"/>
        <v>0</v>
      </c>
      <c r="I23" s="12">
        <f t="shared" si="7"/>
        <v>0</v>
      </c>
      <c r="J23" s="12" t="str">
        <f t="shared" si="6"/>
        <v xml:space="preserve">   </v>
      </c>
      <c r="K23" s="12">
        <f t="shared" si="1"/>
        <v>0</v>
      </c>
    </row>
    <row r="24" spans="1:11">
      <c r="A24" s="11">
        <f t="shared" si="2"/>
        <v>0</v>
      </c>
      <c r="B24" s="11">
        <v>20</v>
      </c>
      <c r="C24" s="11" t="s">
        <v>29</v>
      </c>
      <c r="D24" s="12">
        <f t="shared" si="8"/>
        <v>0</v>
      </c>
      <c r="E24" s="12">
        <f t="shared" si="3"/>
        <v>0</v>
      </c>
      <c r="F24" s="12">
        <f t="shared" si="0"/>
        <v>0</v>
      </c>
      <c r="G24" s="12">
        <f t="shared" si="4"/>
        <v>0</v>
      </c>
      <c r="H24" s="12">
        <f t="shared" si="5"/>
        <v>0</v>
      </c>
      <c r="I24" s="12">
        <f t="shared" si="7"/>
        <v>0</v>
      </c>
      <c r="J24" s="12" t="str">
        <f t="shared" si="6"/>
        <v xml:space="preserve">   </v>
      </c>
      <c r="K24" s="12">
        <f t="shared" si="1"/>
        <v>0</v>
      </c>
    </row>
    <row r="25" spans="1:11">
      <c r="A25" s="11">
        <f t="shared" si="2"/>
        <v>2</v>
      </c>
      <c r="B25" s="11">
        <f>$D$2</f>
        <v>6</v>
      </c>
      <c r="C25" s="13" t="s">
        <v>47</v>
      </c>
      <c r="D25" s="12">
        <f>G5</f>
        <v>4.6666666666666661</v>
      </c>
      <c r="E25" s="12">
        <f>SUM(E6:E24)+I5</f>
        <v>14.733333333333333</v>
      </c>
    </row>
    <row r="27" spans="1:11">
      <c r="E27" s="15" t="s">
        <v>35</v>
      </c>
    </row>
    <row r="28" spans="1:11">
      <c r="C28" s="3" t="s">
        <v>37</v>
      </c>
      <c r="D28" s="4">
        <f>(F2/N2)</f>
        <v>6.6666666666666661</v>
      </c>
      <c r="E28" s="3">
        <f>ROUNDUP(D28,0)</f>
        <v>7</v>
      </c>
    </row>
    <row r="29" spans="1:11">
      <c r="C29" s="3" t="s">
        <v>2</v>
      </c>
      <c r="D29" s="4">
        <f>(F3/N3)</f>
        <v>3.3333333333333339</v>
      </c>
      <c r="E29" s="3">
        <f>ROUNDUP(D29,0)</f>
        <v>4</v>
      </c>
    </row>
    <row r="31" spans="1:11">
      <c r="F31" s="17" t="s">
        <v>36</v>
      </c>
      <c r="H31" s="6" t="s">
        <v>0</v>
      </c>
      <c r="K31" s="37"/>
    </row>
    <row r="32" spans="1:11">
      <c r="F32" s="18" t="s">
        <v>37</v>
      </c>
      <c r="G32" s="20">
        <f>ROUNDUP($D$3/N2,0)</f>
        <v>5</v>
      </c>
      <c r="H32" s="21">
        <f>M2/G32</f>
        <v>8</v>
      </c>
      <c r="K32" s="38"/>
    </row>
    <row r="33" spans="3:31">
      <c r="F33" s="18" t="s">
        <v>2</v>
      </c>
      <c r="G33" s="19">
        <f>ROUNDUP($D$3/N3,0)</f>
        <v>5</v>
      </c>
      <c r="H33" s="21">
        <f>M3/G33</f>
        <v>4</v>
      </c>
      <c r="K33" s="38"/>
    </row>
    <row r="34" spans="3:31">
      <c r="F34" s="18" t="s">
        <v>38</v>
      </c>
      <c r="G34" s="20">
        <f>IF(G33&lt;(G32/O5),G32/O5,G33)</f>
        <v>5</v>
      </c>
    </row>
    <row r="35" spans="3:31">
      <c r="L35" s="11">
        <f t="shared" ref="L35:X35" si="9">M35+1</f>
        <v>20</v>
      </c>
      <c r="M35" s="11">
        <f t="shared" si="9"/>
        <v>19</v>
      </c>
      <c r="N35" s="11">
        <f t="shared" si="9"/>
        <v>18</v>
      </c>
      <c r="O35" s="11">
        <f t="shared" si="9"/>
        <v>17</v>
      </c>
      <c r="P35" s="11">
        <f t="shared" si="9"/>
        <v>16</v>
      </c>
      <c r="Q35" s="11">
        <f t="shared" si="9"/>
        <v>15</v>
      </c>
      <c r="R35" s="11">
        <f t="shared" si="9"/>
        <v>14</v>
      </c>
      <c r="S35" s="11">
        <f t="shared" si="9"/>
        <v>13</v>
      </c>
      <c r="T35" s="11">
        <f t="shared" si="9"/>
        <v>12</v>
      </c>
      <c r="U35" s="11">
        <f t="shared" si="9"/>
        <v>11</v>
      </c>
      <c r="V35" s="11">
        <f t="shared" si="9"/>
        <v>10</v>
      </c>
      <c r="W35" s="11">
        <f t="shared" si="9"/>
        <v>9</v>
      </c>
      <c r="X35" s="11">
        <f t="shared" si="9"/>
        <v>8</v>
      </c>
      <c r="Y35" s="11">
        <f>Z35+1</f>
        <v>7</v>
      </c>
      <c r="Z35" s="11">
        <v>6</v>
      </c>
      <c r="AA35" s="11">
        <v>5</v>
      </c>
      <c r="AB35" s="11">
        <v>4</v>
      </c>
      <c r="AC35" s="31">
        <v>3</v>
      </c>
      <c r="AD35" s="31">
        <v>2</v>
      </c>
      <c r="AE35" s="31">
        <v>1</v>
      </c>
    </row>
    <row r="36" spans="3:31">
      <c r="C36" s="11">
        <v>4</v>
      </c>
      <c r="E36" s="11">
        <f>(N2*(M2/C36))/N3</f>
        <v>9.5238095238095237</v>
      </c>
      <c r="K36" s="3">
        <v>1</v>
      </c>
      <c r="L36" s="32">
        <f t="shared" ref="L36" si="10">IF(L35&gt;=$D$2,0,((K35*$F$2)+$D$3))</f>
        <v>0</v>
      </c>
      <c r="M36" s="32">
        <f t="shared" ref="M36" si="11">IF(M35&gt;=$D$2,0,((L35*$F$2)+$D$3))</f>
        <v>0</v>
      </c>
      <c r="N36" s="32">
        <f t="shared" ref="N36" si="12">IF(N35&gt;=$D$2,0,((M35*$F$2)+$D$3))</f>
        <v>0</v>
      </c>
      <c r="O36" s="32">
        <f t="shared" ref="O36" si="13">IF(O35&gt;=$D$2,0,((N35*$F$2)+$D$3))</f>
        <v>0</v>
      </c>
      <c r="P36" s="32">
        <f t="shared" ref="P36" si="14">IF(P35&gt;=$D$2,0,((O35*$F$2)+$D$3))</f>
        <v>0</v>
      </c>
      <c r="Q36" s="32">
        <f t="shared" ref="Q36" si="15">IF(Q35&gt;=$D$2,0,((P35*$F$2)+$D$3))</f>
        <v>0</v>
      </c>
      <c r="R36" s="32">
        <f t="shared" ref="R36" si="16">IF(R35&gt;=$D$2,0,((Q35*$F$2)+$D$3))</f>
        <v>0</v>
      </c>
      <c r="S36" s="32">
        <f t="shared" ref="S36" si="17">IF(S35&gt;=$D$2,0,((R35*$F$2)+$D$3))</f>
        <v>0</v>
      </c>
      <c r="T36" s="32">
        <f t="shared" ref="T36" si="18">IF(T35&gt;=$D$2,0,((S35*$F$2)+$D$3))</f>
        <v>0</v>
      </c>
      <c r="U36" s="32">
        <f t="shared" ref="U36" si="19">IF(U35&gt;=$D$2,0,((T35*$F$2)+$D$3))</f>
        <v>0</v>
      </c>
      <c r="V36" s="32">
        <f t="shared" ref="V36" si="20">IF(V35&gt;=$D$2,0,((U35*$F$2)+$D$3))</f>
        <v>0</v>
      </c>
      <c r="W36" s="32">
        <f t="shared" ref="W36" si="21">IF(W35&gt;=$D$2,0,((V35*$F$2)+$D$3))</f>
        <v>0</v>
      </c>
      <c r="X36" s="32">
        <f t="shared" ref="X36" si="22">IF(X35&gt;=$D$2,0,((W35*$F$2)+$D$3))</f>
        <v>0</v>
      </c>
      <c r="Y36" s="32">
        <f t="shared" ref="Y36" si="23">IF(Y35&gt;=$D$2,0,((X35*$F$2)+$D$3))</f>
        <v>0</v>
      </c>
      <c r="Z36" s="32">
        <f>IF(Z35&gt;=$D$2,0,((Y35*$F$2)+$D$3))</f>
        <v>0</v>
      </c>
      <c r="AA36" s="32">
        <f t="shared" ref="AA36:AD36" si="24">IF(AA35&gt;=$D$2,0,((Z35*$F$2)+$D$3))</f>
        <v>18</v>
      </c>
      <c r="AB36" s="32">
        <f t="shared" si="24"/>
        <v>15.333333333333332</v>
      </c>
      <c r="AC36" s="32">
        <f t="shared" si="24"/>
        <v>12.666666666666666</v>
      </c>
      <c r="AD36" s="32">
        <f t="shared" si="24"/>
        <v>10</v>
      </c>
      <c r="AE36" s="32">
        <f>IF(AE35&gt;=$D$2,0,((AD35*$F$2)+$D$3))</f>
        <v>7.333333333333333</v>
      </c>
    </row>
    <row r="37" spans="3:31">
      <c r="K37" s="3">
        <v>2</v>
      </c>
      <c r="L37" s="16">
        <f t="shared" ref="L37:Y37" si="25">IF(L35&gt;=$D$2,0,(((L35)*$F$2)+$D$3+$F$3))</f>
        <v>0</v>
      </c>
      <c r="M37" s="16">
        <f t="shared" si="25"/>
        <v>0</v>
      </c>
      <c r="N37" s="16">
        <f t="shared" si="25"/>
        <v>0</v>
      </c>
      <c r="O37" s="16">
        <f t="shared" si="25"/>
        <v>0</v>
      </c>
      <c r="P37" s="16">
        <f t="shared" si="25"/>
        <v>0</v>
      </c>
      <c r="Q37" s="16">
        <f t="shared" si="25"/>
        <v>0</v>
      </c>
      <c r="R37" s="16">
        <f t="shared" si="25"/>
        <v>0</v>
      </c>
      <c r="S37" s="16">
        <f t="shared" si="25"/>
        <v>0</v>
      </c>
      <c r="T37" s="16">
        <f t="shared" si="25"/>
        <v>0</v>
      </c>
      <c r="U37" s="16">
        <f t="shared" si="25"/>
        <v>0</v>
      </c>
      <c r="V37" s="16">
        <f t="shared" si="25"/>
        <v>0</v>
      </c>
      <c r="W37" s="16">
        <f t="shared" si="25"/>
        <v>0</v>
      </c>
      <c r="X37" s="16">
        <f t="shared" si="25"/>
        <v>0</v>
      </c>
      <c r="Y37" s="16">
        <f t="shared" si="25"/>
        <v>0</v>
      </c>
      <c r="Z37" s="16">
        <f>IF(Z35&gt;=$D$2,0,(((Z35)*$F$2)+$D$3+$F$3))</f>
        <v>0</v>
      </c>
      <c r="AA37" s="16">
        <f t="shared" ref="AA37:AE37" si="26">IF(AA35&gt;=$D$2,0,(((AA35)*$F$2)+$D$3+$F$3))</f>
        <v>16.733333333333331</v>
      </c>
      <c r="AB37" s="16">
        <f t="shared" si="26"/>
        <v>14.066666666666666</v>
      </c>
      <c r="AC37" s="16">
        <f t="shared" si="26"/>
        <v>11.4</v>
      </c>
      <c r="AD37" s="16">
        <f t="shared" si="26"/>
        <v>8.7333333333333325</v>
      </c>
      <c r="AE37" s="16">
        <f t="shared" si="26"/>
        <v>6.0666666666666664</v>
      </c>
    </row>
    <row r="38" spans="3:31">
      <c r="L38" s="12">
        <f t="shared" ref="L38:X38" si="27">L36-L37</f>
        <v>0</v>
      </c>
      <c r="M38" s="12">
        <f t="shared" si="27"/>
        <v>0</v>
      </c>
      <c r="N38" s="12">
        <f t="shared" si="27"/>
        <v>0</v>
      </c>
      <c r="O38" s="12">
        <f t="shared" si="27"/>
        <v>0</v>
      </c>
      <c r="P38" s="12">
        <f t="shared" si="27"/>
        <v>0</v>
      </c>
      <c r="Q38" s="12">
        <f t="shared" si="27"/>
        <v>0</v>
      </c>
      <c r="R38" s="12">
        <f t="shared" si="27"/>
        <v>0</v>
      </c>
      <c r="S38" s="12">
        <f t="shared" si="27"/>
        <v>0</v>
      </c>
      <c r="T38" s="12">
        <f t="shared" si="27"/>
        <v>0</v>
      </c>
      <c r="U38" s="12">
        <f t="shared" si="27"/>
        <v>0</v>
      </c>
      <c r="V38" s="12">
        <f t="shared" si="27"/>
        <v>0</v>
      </c>
      <c r="W38" s="12">
        <f t="shared" si="27"/>
        <v>0</v>
      </c>
      <c r="X38" s="12">
        <f t="shared" si="27"/>
        <v>0</v>
      </c>
      <c r="Y38" s="12">
        <f>Y36-Y37</f>
        <v>0</v>
      </c>
      <c r="Z38" s="12">
        <f>Z36-Z37</f>
        <v>0</v>
      </c>
      <c r="AA38" s="12">
        <f t="shared" ref="AA38:AE38" si="28">AA36-AA37</f>
        <v>1.2666666666666693</v>
      </c>
      <c r="AB38" s="12">
        <f t="shared" si="28"/>
        <v>1.2666666666666657</v>
      </c>
      <c r="AC38" s="12">
        <f t="shared" si="28"/>
        <v>1.2666666666666657</v>
      </c>
      <c r="AD38" s="12">
        <f t="shared" si="28"/>
        <v>1.2666666666666675</v>
      </c>
      <c r="AE38" s="12">
        <f t="shared" si="28"/>
        <v>1.2666666666666666</v>
      </c>
    </row>
    <row r="40" spans="3:31">
      <c r="K40" s="33" t="s">
        <v>44</v>
      </c>
      <c r="S40" s="7" t="s">
        <v>55</v>
      </c>
      <c r="AA40" s="7"/>
      <c r="AC40" s="34"/>
    </row>
    <row r="41" spans="3:31">
      <c r="S41" s="7" t="s">
        <v>57</v>
      </c>
      <c r="AA41" s="7"/>
    </row>
    <row r="42" spans="3:31">
      <c r="S42" s="35" t="s">
        <v>51</v>
      </c>
    </row>
    <row r="43" spans="3:31">
      <c r="K43" s="33" t="s">
        <v>45</v>
      </c>
      <c r="S43" s="36" t="s">
        <v>52</v>
      </c>
    </row>
    <row r="45" spans="3:31">
      <c r="K45" s="7" t="s">
        <v>58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5"/>
  <sheetViews>
    <sheetView showGridLines="0" tabSelected="1" topLeftCell="BA7" workbookViewId="0">
      <selection activeCell="BN9" sqref="BN9"/>
    </sheetView>
  </sheetViews>
  <sheetFormatPr defaultRowHeight="14.4"/>
  <cols>
    <col min="1" max="1" width="2" bestFit="1" customWidth="1"/>
    <col min="2" max="2" width="3" bestFit="1" customWidth="1"/>
    <col min="3" max="6" width="3" customWidth="1"/>
    <col min="7" max="7" width="17.5546875" customWidth="1"/>
    <col min="8" max="8" width="5.5546875" bestFit="1" customWidth="1"/>
    <col min="9" max="11" width="5.5546875" customWidth="1"/>
    <col min="12" max="32" width="3.6640625" customWidth="1"/>
    <col min="33" max="33" width="7.33203125" bestFit="1" customWidth="1"/>
    <col min="34" max="34" width="16" bestFit="1" customWidth="1"/>
    <col min="35" max="35" width="21.109375" bestFit="1" customWidth="1"/>
    <col min="36" max="36" width="21.109375" customWidth="1"/>
    <col min="37" max="37" width="21.109375" bestFit="1" customWidth="1"/>
    <col min="38" max="38" width="11.5546875" bestFit="1" customWidth="1"/>
    <col min="39" max="39" width="6.5546875" customWidth="1"/>
    <col min="40" max="40" width="15" bestFit="1" customWidth="1"/>
    <col min="41" max="41" width="15.88671875" bestFit="1" customWidth="1"/>
    <col min="42" max="42" width="13.5546875" bestFit="1" customWidth="1"/>
    <col min="43" max="43" width="27.88671875" bestFit="1" customWidth="1"/>
    <col min="44" max="48" width="12.5546875" customWidth="1"/>
    <col min="49" max="49" width="13.33203125" bestFit="1" customWidth="1"/>
    <col min="50" max="50" width="10.109375" bestFit="1" customWidth="1"/>
    <col min="51" max="51" width="9.109375" customWidth="1"/>
    <col min="52" max="52" width="18.5546875" bestFit="1" customWidth="1"/>
    <col min="53" max="53" width="9.6640625" bestFit="1" customWidth="1"/>
    <col min="54" max="54" width="16.5546875" bestFit="1" customWidth="1"/>
    <col min="55" max="55" width="9.6640625" bestFit="1" customWidth="1"/>
    <col min="56" max="56" width="10" bestFit="1" customWidth="1"/>
    <col min="57" max="57" width="6.109375" bestFit="1" customWidth="1"/>
    <col min="58" max="58" width="5.44140625" bestFit="1" customWidth="1"/>
  </cols>
  <sheetData>
    <row r="1" spans="1:58">
      <c r="AG1" s="55">
        <f>ROUNDUP(BD2/AG2,0)</f>
        <v>4</v>
      </c>
      <c r="BD1" s="11" t="s">
        <v>5</v>
      </c>
      <c r="BE1" s="11" t="s">
        <v>6</v>
      </c>
    </row>
    <row r="2" spans="1:58" ht="15.6">
      <c r="AD2" s="71" t="s">
        <v>56</v>
      </c>
      <c r="AE2" s="72"/>
      <c r="AF2" s="73"/>
      <c r="AG2" s="11">
        <v>11</v>
      </c>
      <c r="AH2" s="46" t="s">
        <v>3</v>
      </c>
      <c r="AI2" s="44">
        <f>(BD2*BE2)/AG2</f>
        <v>1.4545454545454546</v>
      </c>
      <c r="AN2" s="50" t="s">
        <v>64</v>
      </c>
      <c r="AO2" s="51">
        <f>IF((ROUNDUP(AG1,0)-AG1)&gt;0.5,(ROUNDUP(AG1,0)),(ROUNDDOWN(AG1,0)))</f>
        <v>4</v>
      </c>
      <c r="BC2" s="11" t="s">
        <v>3</v>
      </c>
      <c r="BD2" s="11">
        <v>40</v>
      </c>
      <c r="BE2" s="11">
        <v>0.4</v>
      </c>
      <c r="BF2" s="11">
        <f>BE2*BD2</f>
        <v>16</v>
      </c>
    </row>
    <row r="3" spans="1:58">
      <c r="AD3" s="74" t="s">
        <v>1</v>
      </c>
      <c r="AE3" s="74"/>
      <c r="AF3" s="74"/>
      <c r="AG3" s="48">
        <v>2</v>
      </c>
      <c r="AH3" s="47" t="s">
        <v>4</v>
      </c>
      <c r="AI3" s="45">
        <f>(BD3*BE3)/AG2</f>
        <v>0.76363636363636367</v>
      </c>
      <c r="AN3" s="76" t="s">
        <v>36</v>
      </c>
      <c r="AO3" s="76"/>
      <c r="AP3" s="76"/>
      <c r="AQ3" s="46" t="s">
        <v>65</v>
      </c>
      <c r="AS3" s="70" t="s">
        <v>67</v>
      </c>
      <c r="AT3" s="70"/>
      <c r="AU3" s="70"/>
      <c r="AV3" s="70"/>
      <c r="AW3" s="70"/>
      <c r="AY3" s="15" t="s">
        <v>70</v>
      </c>
      <c r="AZ3" s="15" t="s">
        <v>61</v>
      </c>
      <c r="BC3" s="11" t="s">
        <v>4</v>
      </c>
      <c r="BD3" s="11">
        <v>20</v>
      </c>
      <c r="BE3" s="11">
        <v>0.42</v>
      </c>
      <c r="BF3" s="11">
        <f>BE3*BD3</f>
        <v>8.4</v>
      </c>
    </row>
    <row r="4" spans="1:58">
      <c r="M4" s="58">
        <f>IF(LARGE(M6:M24,1)="   ","   ",LARGE(M6:M24,1))</f>
        <v>7</v>
      </c>
      <c r="N4" s="58">
        <f t="shared" ref="N4:O4" si="0">IF(LARGE(N6:N24,1)="   ","   ",LARGE(N6:N24,1))</f>
        <v>7</v>
      </c>
      <c r="O4" s="58">
        <f t="shared" si="0"/>
        <v>0</v>
      </c>
      <c r="P4" s="58">
        <f t="shared" ref="P4:AF4" si="1">LARGE(P6:P24,1)</f>
        <v>0</v>
      </c>
      <c r="Q4" s="58">
        <f t="shared" si="1"/>
        <v>7</v>
      </c>
      <c r="R4" s="58">
        <f t="shared" si="1"/>
        <v>7</v>
      </c>
      <c r="S4" s="58">
        <f t="shared" si="1"/>
        <v>8</v>
      </c>
      <c r="T4" s="58">
        <f t="shared" si="1"/>
        <v>8</v>
      </c>
      <c r="U4" s="58">
        <f t="shared" si="1"/>
        <v>9</v>
      </c>
      <c r="V4" s="58">
        <f t="shared" si="1"/>
        <v>9</v>
      </c>
      <c r="W4" s="58">
        <f t="shared" si="1"/>
        <v>10</v>
      </c>
      <c r="X4" s="58">
        <f t="shared" si="1"/>
        <v>10</v>
      </c>
      <c r="Y4" s="58">
        <f t="shared" si="1"/>
        <v>10</v>
      </c>
      <c r="Z4" s="58">
        <f t="shared" si="1"/>
        <v>10</v>
      </c>
      <c r="AA4" s="58">
        <f t="shared" si="1"/>
        <v>11</v>
      </c>
      <c r="AB4" s="58">
        <f t="shared" si="1"/>
        <v>11</v>
      </c>
      <c r="AC4" s="58">
        <f t="shared" si="1"/>
        <v>11</v>
      </c>
      <c r="AD4" s="58">
        <f t="shared" si="1"/>
        <v>11</v>
      </c>
      <c r="AE4" s="58">
        <f t="shared" si="1"/>
        <v>11</v>
      </c>
      <c r="AF4" s="58">
        <f t="shared" si="1"/>
        <v>11</v>
      </c>
      <c r="AG4" s="43" t="s">
        <v>30</v>
      </c>
      <c r="AH4" s="43" t="s">
        <v>7</v>
      </c>
      <c r="AI4" s="15" t="s">
        <v>8</v>
      </c>
      <c r="AJ4" s="77" t="s">
        <v>8</v>
      </c>
      <c r="AK4" s="78"/>
      <c r="AL4" s="43" t="s">
        <v>9</v>
      </c>
      <c r="AM4" s="49" t="s">
        <v>33</v>
      </c>
      <c r="AN4" s="15" t="s">
        <v>60</v>
      </c>
      <c r="AO4" s="15" t="s">
        <v>59</v>
      </c>
      <c r="AP4" s="15" t="s">
        <v>62</v>
      </c>
      <c r="AQ4" s="46" t="s">
        <v>66</v>
      </c>
      <c r="AR4" s="15" t="s">
        <v>63</v>
      </c>
      <c r="AS4" s="70" t="s">
        <v>68</v>
      </c>
      <c r="AT4" s="70"/>
      <c r="AU4" s="70"/>
      <c r="AV4" s="70"/>
      <c r="AW4" s="70"/>
      <c r="AX4" s="15" t="s">
        <v>69</v>
      </c>
      <c r="AY4" s="40">
        <f>IF(AX4=0,AZ3,0)</f>
        <v>0</v>
      </c>
      <c r="AZ4" s="53">
        <v>0</v>
      </c>
      <c r="BA4" s="11" t="s">
        <v>4</v>
      </c>
      <c r="BB4" s="13" t="s">
        <v>46</v>
      </c>
    </row>
    <row r="5" spans="1:58">
      <c r="A5" s="11">
        <f>AG3</f>
        <v>2</v>
      </c>
      <c r="B5" s="11">
        <v>1</v>
      </c>
      <c r="C5" s="11">
        <f>IF(A5=0,0,IF(AK5=$AG$3,1,0))</f>
        <v>0</v>
      </c>
      <c r="D5" s="70">
        <f>C5</f>
        <v>0</v>
      </c>
      <c r="E5" s="70"/>
      <c r="F5" s="70"/>
      <c r="G5" s="11" t="str">
        <f>CONCATENATE("Lote"," ",B5)</f>
        <v>Lote 1</v>
      </c>
      <c r="H5" s="62">
        <f t="shared" ref="H5:H24" si="2">IF(A5=0,"   ",AZ5)</f>
        <v>10.36363636363636</v>
      </c>
      <c r="I5" s="62">
        <f t="shared" ref="I5:I24" si="3">IF(A5=0,"   ",AO5)</f>
        <v>3.4545454545454546</v>
      </c>
      <c r="J5" s="63">
        <f t="shared" ref="J5:J24" si="4">IF(A5=0,"   ",IF(I5&gt;$H$5,1,0)+IF(I5&gt;$H$6,1,0)+IF(I5&gt;$H$7,1,0)+IF(I5&gt;$H$8,1,0)+IF(I5&gt;$H$9,1,0)+IF(I5&gt;$H$10,1,0)+IF(I5&gt;$H$11,1,0)+IF(I5&gt;$H$12,1,0)+IF(I5&gt;$H$13,1,0)+IF(I5&gt;$H$14,1,0)+IF(I5&gt;$H$15,1,0)+IF(I5&gt;$H$16,1,0)+IF(I5&gt;$H$17,1,0)+IF(I5&gt;$H$18,1,0)+IF(I5&gt;$H$19,1,0)+IF(I5&gt;$H$20,1,0)+IF(I5&gt;$H$21,1,0)+IF(I5&gt;$H$22,1,0)+IF(I5&gt;$H$23,1,0)+IF(I5&gt;$H$24,1,0))</f>
        <v>0</v>
      </c>
      <c r="K5" s="57">
        <f t="shared" ref="K5:K24" si="5">IF(OR(B5=$L$5,B5=$L$6,B5=$L$7,B5=$L$8,B5=$L$9,B5=$L$10,B5=$L$11,B5=$L$12,B5=$L$13,B5=$L$14,B5=$L$15,B5=$L$16,B5=$L$17,B5=$L$18,B5=$L$19,B5=$L$20,B5=$L$21,B5=$L$22,B5=$L$23,B5=$L$24),1,0)</f>
        <v>0</v>
      </c>
      <c r="L5" s="57">
        <f>IF(A5&gt;0,$M$4,0)</f>
        <v>7</v>
      </c>
      <c r="M5" s="60">
        <v>1</v>
      </c>
      <c r="N5" s="60">
        <f t="shared" ref="N5:AF5" si="6">M5+1</f>
        <v>2</v>
      </c>
      <c r="O5" s="60">
        <f t="shared" si="6"/>
        <v>3</v>
      </c>
      <c r="P5" s="60">
        <f t="shared" si="6"/>
        <v>4</v>
      </c>
      <c r="Q5" s="60">
        <f t="shared" si="6"/>
        <v>5</v>
      </c>
      <c r="R5" s="60">
        <f t="shared" si="6"/>
        <v>6</v>
      </c>
      <c r="S5" s="60">
        <f t="shared" si="6"/>
        <v>7</v>
      </c>
      <c r="T5" s="60">
        <f t="shared" si="6"/>
        <v>8</v>
      </c>
      <c r="U5" s="60">
        <f t="shared" si="6"/>
        <v>9</v>
      </c>
      <c r="V5" s="60">
        <f t="shared" si="6"/>
        <v>10</v>
      </c>
      <c r="W5" s="60">
        <f t="shared" si="6"/>
        <v>11</v>
      </c>
      <c r="X5" s="60">
        <f t="shared" si="6"/>
        <v>12</v>
      </c>
      <c r="Y5" s="60">
        <f t="shared" si="6"/>
        <v>13</v>
      </c>
      <c r="Z5" s="60">
        <f t="shared" si="6"/>
        <v>14</v>
      </c>
      <c r="AA5" s="60">
        <f t="shared" si="6"/>
        <v>15</v>
      </c>
      <c r="AB5" s="60">
        <f t="shared" si="6"/>
        <v>16</v>
      </c>
      <c r="AC5" s="60">
        <f t="shared" si="6"/>
        <v>17</v>
      </c>
      <c r="AD5" s="60">
        <f t="shared" si="6"/>
        <v>18</v>
      </c>
      <c r="AE5" s="60">
        <f t="shared" si="6"/>
        <v>19</v>
      </c>
      <c r="AF5" s="60">
        <f t="shared" si="6"/>
        <v>20</v>
      </c>
      <c r="AG5" s="12">
        <v>0</v>
      </c>
      <c r="AH5" s="12">
        <f>(IF(B5&lt;=$AG$2,($BD$2*$BE$2)/$AG$2,0))</f>
        <v>1.4545454545454546</v>
      </c>
      <c r="AI5" s="40">
        <f>IF(AO6&lt;=AZ5,0,IF(AR5=0,"   ",IF(AS5=1,IF(B5&gt;$AG$2,"   ",IF(OR(B5=$AG$2,AO6&gt;AZ5),$AG$3,IF(AR5="   ","   ",IF(AR5=1,0,$AG$3)))),IF(AX5=1,$AG$3,0))))</f>
        <v>0</v>
      </c>
      <c r="AJ5" s="53">
        <f t="shared" ref="AJ5:AJ24" si="7">IF(AND(AU5=1,B5&lt;$AG$2,),0,IF(B5=$AG$2,$AG$3,IF(AND(B5&lt;$AG$2,AS5=1,AV5="(buffer)"),(-1)*$AG$3,0)+IF(A5=0,0,IF(IF(B5=$AG$2,$AG$3,IF(AW5="(buffer)",0,AI5)),IF(J6&gt;0,$AG$3,0)))))</f>
        <v>0</v>
      </c>
      <c r="AK5" s="12">
        <f>IF(AJ5&lt;0,AJ5*(-1),AJ5)</f>
        <v>0</v>
      </c>
      <c r="AL5" s="12">
        <f>IF(AI5="   ","   ",AG5+AH5+AI5)</f>
        <v>1.4545454545454546</v>
      </c>
      <c r="AM5" s="12">
        <f t="shared" ref="AM5:AM25" si="8">IF((IF(B5&gt;$AG$2,0,(((B6*$AI$2)+$AG$3)-(((B6-1)*$AI$2)+$AG$3+$AI$3))*($AG$2-B5))+IF(B5&gt;$AG$2,0,IF(AK5=0,$AG$3,0)))=0,"   ",IF(B5&gt;$AG$2,0,(((B6*$AI$2)+$AG$3)-(((B6-1)*$AI$2)+$AG$3+$AI$3))*($AG$2-B5))+IF(B5&gt;$AG$2,0,IF(AK5=0,$AG$3,0)))</f>
        <v>8.9090909090909047</v>
      </c>
      <c r="AN5" s="12">
        <f>IF(AX5=0,"   ",IF(AO5="   ","   ",AO5-$AG$3))</f>
        <v>1.4545454545454546</v>
      </c>
      <c r="AO5" s="12">
        <f>IF(AX5=0,"   ",IF(AND(AG5=0,AH5=0),"   ",AG5+AH5+$AG$3))</f>
        <v>3.4545454545454546</v>
      </c>
      <c r="AP5" s="19">
        <f>IF(AN5="   ",0,IF((OR(AND($AN$5&lt;=AN5,AN5&lt;=$AO$5),AND($AN$5&lt;=AO5,AO5&lt;=$AO$5))),1,0)+IF((OR(AND($AN$6&lt;=AN5,AN5&lt;=$AO$6),AND($AN$6&lt;=AO5,AO5&lt;=$AO$6))),1,0)+IF((OR(AND($AN$7&lt;=AN5,AN5&lt;=$AO$7),AND($AN$7&lt;=AO5,AO5&lt;=$AO$7))),1,0)+IF((OR(AND($AN$8&lt;=AN5,AN5&lt;=$AO$8),AND($AN$8&lt;=AO5,AO5&lt;=$AO$8))),1,0)+IF((OR(AND($AN$9&lt;=AN5,AN5&lt;=$AO$9),AND($AN$9&lt;=AO5,AO5&lt;=$AO$9))),1,0)+IF((OR(AND($AN$10&lt;=AN5,AN5&lt;=$AO$10),AND($AN$10&lt;=AO5,AO5&lt;=$AO$10))),1,0)+IF((OR(AND($AN$11&lt;=AN5,AN5&lt;=$AO$11),AND($AN$11&lt;=AO5,AO5&lt;=$AO$11))),1,0)+IF((OR(AND($AN$12&lt;=AN5,AN5&lt;=$AO$12),AND($AN$12&lt;=AO5,AO5&lt;=$AO$12))),1,0)+IF((OR(AND($AN$13&lt;=AN5,AN5&lt;=$AO$13),AND($AN$13&lt;=AO5,AO5&lt;=$AO$13))),1,0)+IF((OR(AND($AN$14&lt;=AN5,AN5&lt;=$AO$14),AND($AN$14&lt;=AO5,AO5&lt;=$AO$14))),1,0)+IF((OR(AND($AN$15&lt;=AN5,AN5&lt;=$AO$15),AND($AN$15&lt;=AO5,AO5&lt;=$AO$15))),1,0)+IF((OR(AND($AN$16&lt;=AN5,AN5&lt;=$AO$16),AND($AN$16&lt;=AO5,AO5&lt;=$AO$16))),1,0)+IF((OR(AND($AN$17&lt;=AN5,AN5&lt;=$AO$17),AND($AN$17&lt;=AO5,AO5&lt;=$AO$17))),1,0)+IF((OR(AND($AN$18&lt;=AN5,AN5&lt;=$AO$18),AND($AN$18&lt;=AO5,AO5&lt;=$AO$18))),1,0)+IF((OR(AND($AN$19&lt;=AN5,AN5&lt;=$AO$19),AND($AN$19&lt;=AO5,AO5&lt;=$AO$19))),1,0)+IF((OR(AND($AN$20&lt;=AN5,AN5&lt;=$AO$20),AND($AN$20&lt;=AO5,AO5&lt;=$AO$20))),1,0)+IF((OR(AND($AN$21&lt;=AN5,AN5&lt;=$AO$21),AND($AN$21&lt;=AO5,AO5&lt;=$AO$21))),1,0)+IF((OR(AND($AN$22&lt;=AN5,AN5&lt;=$AO$22),AND($AN$22&lt;=AO5,AO5&lt;=$AO$22))),1,0)+IF((OR(AND($AN$23&lt;=AN5,AN5&lt;=$AO$23),AND($AN$23&lt;=AO5,AO5&lt;=$AO$23))),1,0)+IF((OR(AND($AN$24&lt;=AN5,AN5&lt;=$AO$24),AND($AN$24&lt;=AO5,AO5&lt;=$AO$24))),1,0)-1)</f>
        <v>1</v>
      </c>
      <c r="AQ5" s="20">
        <f>B5</f>
        <v>1</v>
      </c>
      <c r="AR5" s="19">
        <f t="shared" ref="AR5:AR25" si="9">IF(AQ5=0,0,IF(B5=1,1,IF(AO6&gt;AZ5,IF(AND(AQ5&lt;$AO$2,(AO6&lt;AZ5)),1,0),1)))</f>
        <v>1</v>
      </c>
      <c r="AS5" s="19">
        <f t="shared" ref="AS5:AS25" si="10">IF(AND(AV5="   ",AW5="   "),0,IF(OR(AV5="(buffer)",AW5="(buffer)"),1,0))</f>
        <v>0</v>
      </c>
      <c r="AT5" s="20"/>
      <c r="AU5" s="20"/>
      <c r="AV5" s="20" t="str">
        <f>IF(B5=$AG$2,"   ",IF(AW5="(buffer)","   ",IF(OR(AND(AP6=1,AP5=0),AND(AP4=1,AP5=0),AND(AX4=1,AX5=1,AX6=1)),"(buffer)",IF(B5=$AG$2,"(buffer)","   "))))</f>
        <v xml:space="preserve">   </v>
      </c>
      <c r="AW5" s="20" t="str">
        <f>IF(AP5=0,IF(AND(AR5=0,AX5=0,AW6="(buffer)"),"(buffer)","   "),IF(AND(AR5=0,AX5=0,AW6="(buffer)"),"(buffer)",IF(OR(AND(AR5=1,AR6=0,AR7=0),AND(AR5=0,AR6=0)),IF(($BD$2/$AG$2)&gt;$AO$2,IF(AND(AR5=0,AX5=0,AW6="(buffer)"),"(buffer)","   "),"(buffer)"),IF(AR5=0,IF(B5=$AG$2,IF(($BD$2/$AG$2)&gt;$AO$2,IF(AND(AR5=0,AX5=0,AW6="(buffer)"),"(buffer)","   "),"(buffer)"),AQ5),IF(AND(AR5=0,AX4=1,AX5=1,AX6=1),"(buffer)","   ")))))</f>
        <v xml:space="preserve">   </v>
      </c>
      <c r="AX5" s="54">
        <v>1</v>
      </c>
      <c r="AY5" s="40">
        <f>IF(AX5=0,AZ5,0)</f>
        <v>0</v>
      </c>
      <c r="AZ5" s="53">
        <f t="shared" ref="AZ5:AZ24" si="11">IF(A5=0,"   ",IF((AG5+AH5+$AG$3+IF(B5&gt;=$AG$2,0,(((B6*$AI$2)+$AG$3)-(((B6-1)*$AI$2)+$AG$3+$AI$3))*($AG$2-B5)))=0,"   ",(AG5+AH5+$AG$3+IF(B5&gt;=$AG$2,0,(((B6*$AI$2)+$AG$3)-(((B6-1)*$AI$2)+$AG$3+$AI$3))*($AG$2-B5)))))</f>
        <v>10.36363636363636</v>
      </c>
      <c r="BA5" s="12">
        <f>($BD$3*$BE$3)/$AG$2</f>
        <v>0.76363636363636367</v>
      </c>
      <c r="BB5" s="12">
        <f t="shared" ref="BB5:BB24" si="12">IF(AL5="   ","   ",AG5+AH5+IF(AK5&lt;0,AK5*(-1),AK5)+IF(AM5="   ",0,AM5)+BA5)</f>
        <v>11.127272727272723</v>
      </c>
      <c r="BC5" s="11" t="s">
        <v>31</v>
      </c>
      <c r="BD5" s="14">
        <f>BD2/AG2</f>
        <v>3.6363636363636362</v>
      </c>
      <c r="BE5" s="11">
        <f>ROUNDDOWN(BD5,0)</f>
        <v>3</v>
      </c>
      <c r="BF5" s="4">
        <f>BE5/BE6</f>
        <v>3</v>
      </c>
    </row>
    <row r="6" spans="1:58">
      <c r="A6" s="11">
        <f t="shared" ref="A6:A25" si="13">IF(AH6&gt;0,$AG$3,0)</f>
        <v>2</v>
      </c>
      <c r="B6" s="11">
        <v>2</v>
      </c>
      <c r="C6" s="11">
        <f>IF(A6=0,0,IF(AK6=$AG$3,1,0))</f>
        <v>0</v>
      </c>
      <c r="D6" s="69" t="str">
        <f>IF(C6&gt;0,(C5+C6),"   ")</f>
        <v xml:space="preserve">   </v>
      </c>
      <c r="E6" s="64">
        <v>0</v>
      </c>
      <c r="F6" s="64">
        <f>E6</f>
        <v>0</v>
      </c>
      <c r="G6" s="11" t="str">
        <f t="shared" ref="G6:G24" si="14">CONCATENATE("Lote"," ",B6)</f>
        <v>Lote 2</v>
      </c>
      <c r="H6" s="62">
        <f t="shared" si="2"/>
        <v>11.127272727272723</v>
      </c>
      <c r="I6" s="62">
        <f t="shared" si="3"/>
        <v>4.9090909090909092</v>
      </c>
      <c r="J6" s="63">
        <f t="shared" si="4"/>
        <v>0</v>
      </c>
      <c r="K6" s="57">
        <f t="shared" si="5"/>
        <v>0</v>
      </c>
      <c r="L6" s="57">
        <f>IF(A6&gt;0,$N$4,0)</f>
        <v>7</v>
      </c>
      <c r="M6" s="59">
        <f t="shared" ref="M6:M23" si="15">IF(A6=0,"   ",IF((AG6+AH6+AK6)&lt;=$H$5,B6,"   "))</f>
        <v>2</v>
      </c>
      <c r="N6" s="59">
        <f t="shared" ref="N6:N23" si="16">IF(A6=0,"   ",IF((AG6+AH6+AK6)&lt;=$H$6,B6,"   "))</f>
        <v>2</v>
      </c>
      <c r="O6" s="59" t="str">
        <f t="shared" ref="O6:O23" si="17">IF(A6=0,"   ",IF((AG6+AH6+AK6)&lt;=$H$3,B6,"   "))</f>
        <v xml:space="preserve">   </v>
      </c>
      <c r="P6" s="59" t="str">
        <f t="shared" ref="P6:P23" si="18">IF(A6=0,"   ",IF((AG6+AH6+AK6)&lt;=$H$4,B6,"   "))</f>
        <v xml:space="preserve">   </v>
      </c>
      <c r="Q6" s="59">
        <f t="shared" ref="Q6:Q23" si="19">IF(A6=0,"   ",IF((AG6+AH6+AK6)&lt;=$H$5,B6,"   "))</f>
        <v>2</v>
      </c>
      <c r="R6" s="59">
        <f t="shared" ref="R6:R23" si="20">IF(A6=0,"   ",IF((AG6+AH6+AK6)&lt;=$H$6,B6,"   "))</f>
        <v>2</v>
      </c>
      <c r="S6" s="59">
        <f t="shared" ref="S6:S23" si="21">IF(A6=0,"   ",IF((AG6+AH6+AK6)&lt;=$H$7,B6,"   "))</f>
        <v>2</v>
      </c>
      <c r="T6" s="59">
        <f t="shared" ref="T6:T23" si="22">IF(A6=0,"   ",IF((AG6+AH6+AK6)&lt;=$H$8,B6,"   "))</f>
        <v>2</v>
      </c>
      <c r="U6" s="59">
        <f t="shared" ref="U6:U23" si="23">IF(A6=0,"   ",IF((AG6+AH6+AK6)&lt;=$H$9,B6,"   "))</f>
        <v>2</v>
      </c>
      <c r="V6" s="59">
        <f t="shared" ref="V6:V23" si="24">IF(A6=0,"   ",IF((AG6+AH6+AK6)&lt;=$H$10,B6,"   "))</f>
        <v>2</v>
      </c>
      <c r="W6" s="59">
        <f t="shared" ref="W6:W23" si="25">IF(A6=0,"   ",IF((AG6+AH6+AK6)&lt;=$H$11,B6,"   "))</f>
        <v>2</v>
      </c>
      <c r="X6" s="59">
        <f t="shared" ref="X6:X23" si="26">IF(A6=0,"   ",IF((AG6+AH6+AK6)&lt;=$H$12,B6,"   "))</f>
        <v>2</v>
      </c>
      <c r="Y6" s="59">
        <f t="shared" ref="Y6:Y23" si="27">IF(A6=0,"   ",IF((AG6+AH6+AK6)&lt;=$H$13,B6,"   "))</f>
        <v>2</v>
      </c>
      <c r="Z6" s="59">
        <f t="shared" ref="Z6:Z23" si="28">IF(A6=0,"   ",IF((AG6+AH6+AK6)&lt;=$H$14,B6,"   "))</f>
        <v>2</v>
      </c>
      <c r="AA6" s="59">
        <f t="shared" ref="AA6:AA23" si="29">IF(A6=0,"   ",IF((AG6+AH6+AK6)&lt;=$H$15,B6,"   "))</f>
        <v>2</v>
      </c>
      <c r="AB6" s="59">
        <f t="shared" ref="AB6:AB23" si="30">IF(A6=0,"   ",IF((AG6+AH6+AK6)&lt;=$H$16,B6,"   "))</f>
        <v>2</v>
      </c>
      <c r="AC6" s="59">
        <f t="shared" ref="AC6:AC23" si="31">IF(A6=0,"   ",IF((AG6+AH6+AK6)&lt;=$H$17,B6,"   "))</f>
        <v>2</v>
      </c>
      <c r="AD6" s="59">
        <f t="shared" ref="AD6:AD23" si="32">IF(A6=0,"   ",IF((AG6+AH6+AK6)&lt;=$H$18,B6,"   "))</f>
        <v>2</v>
      </c>
      <c r="AE6" s="59">
        <f t="shared" ref="AE6:AE23" si="33">IF(A6=0,"   ",IF((AG6+AH6+AK6)&lt;=$H$19,B6,"   "))</f>
        <v>2</v>
      </c>
      <c r="AF6" s="59">
        <f t="shared" ref="AF6:AF23" si="34">IF(A6=0,"   ",IF((AG6+AH6+AK6)&lt;=$H$20,B6,"   "))</f>
        <v>2</v>
      </c>
      <c r="AG6" s="12">
        <f>IF(AH6&gt;0,AH5,0)</f>
        <v>1.4545454545454546</v>
      </c>
      <c r="AH6" s="12">
        <f t="shared" ref="AH6:AH24" si="35">(IF(B6&lt;=$AG$2,(($BD$2*$BE$2)/$AG$2),0))</f>
        <v>1.4545454545454546</v>
      </c>
      <c r="AI6" s="12">
        <f t="shared" ref="AI6:AI24" si="36">IF(IF(A6=0,"   ",IF(AR6=0,$AG$3,IF(AR6=0,"   ",IF(AS6=1,IF(B6&gt;$AG$2,"   ",IF(OR(B6=$AG$2,AO7&gt;AZ6),$AG$3,IF(AR6="   ","   ",IF(AR6=1,0,$AG$3)))),IF(AX6=1,$AG$3,0)))))=0,IF(A6=0,"   ",IF(AR6=0,$AG$3,IF(AR6=0,"   ",IF(AS6=1,IF(B6&gt;$AG$2,"   ",IF(OR(B6=$AG$2,AO7&gt;AZ6),$AG$3,IF(AR6="   ","   ",IF(AR6=1,0,$AG$3)))),IF(AX6=1,$AG$3,0)))))+IF(AO7&gt;AZ5,$AG$3,0),IF(A6=0,"   ",IF(AR6=0,$AG$3,IF(AR6=0,"   ",IF(AS6=1,IF(B6&gt;$AG$2,"   ",IF(OR(B6=$AG$2,AO7&gt;AZ6),$AG$3,IF(AR6="   ","   ",IF(AR6=1,0,$AG$3)))),IF(AX6=1,$AG$3,0))))))</f>
        <v>0</v>
      </c>
      <c r="AJ6" s="53">
        <f t="shared" si="7"/>
        <v>0</v>
      </c>
      <c r="AK6" s="12">
        <f t="shared" ref="AK6:AK24" si="37">IF(AJ6&lt;0,AJ6*(-1),AJ6)</f>
        <v>0</v>
      </c>
      <c r="AL6" s="12">
        <f t="shared" ref="AL6:AL24" si="38">IF(AI6="   ","   ",AG6+AH6+AI6)</f>
        <v>2.9090909090909092</v>
      </c>
      <c r="AM6" s="12">
        <f t="shared" si="8"/>
        <v>8.2181818181818151</v>
      </c>
      <c r="AN6" s="12">
        <f>IF(AO6="   ","   ",AO6-$AG$3)</f>
        <v>2.9090909090909092</v>
      </c>
      <c r="AO6" s="12">
        <f t="shared" ref="AO6:AO25" si="39">IF(AND(AG6=0,AH6=0),"   ",AG6+AH6+$AG$3)</f>
        <v>4.9090909090909092</v>
      </c>
      <c r="AP6" s="19">
        <f t="shared" ref="AP6:AP24" si="40">IF(AN6="   ",0,IF((OR(AND($AN$5&lt;=AN6,AN6&lt;=$AO$5),AND($AN$5&lt;=AO6,AO6&lt;=$AO$5))),1,0)+IF((OR(AND($AN$6&lt;=AN6,AN6&lt;=$AO$6),AND($AN$6&lt;=AO6,AO6&lt;=$AO$6))),1,0)+IF((OR(AND($AN$7&lt;=AN6,AN6&lt;=$AO$7),AND($AN$7&lt;=AO6,AO6&lt;=$AO$7))),1,0)+IF((OR(AND($AN$8&lt;=AN6,AN6&lt;=$AO$8),AND($AN$8&lt;=AO6,AO6&lt;=$AO$8))),1,0)+IF((OR(AND($AN$9&lt;=AN6,AN6&lt;=$AO$9),AND($AN$9&lt;=AO6,AO6&lt;=$AO$9))),1,0)+IF((OR(AND($AN$10&lt;=AN6,AN6&lt;=$AO$10),AND($AN$10&lt;=AO6,AO6&lt;=$AO$10))),1,0)+IF((OR(AND($AN$11&lt;=AN6,AN6&lt;=$AO$11),AND($AN$11&lt;=AO6,AO6&lt;=$AO$11))),1,0)+IF((OR(AND($AN$12&lt;=AN6,AN6&lt;=$AO$12),AND($AN$12&lt;=AO6,AO6&lt;=$AO$12))),1,0)+IF((OR(AND($AN$13&lt;=AN6,AN6&lt;=$AO$13),AND($AN$13&lt;=AO6,AO6&lt;=$AO$13))),1,0)+IF((OR(AND($AN$14&lt;=AN6,AN6&lt;=$AO$14),AND($AN$14&lt;=AO6,AO6&lt;=$AO$14))),1,0)+IF((OR(AND($AN$15&lt;=AN6,AN6&lt;=$AO$15),AND($AN$15&lt;=AO6,AO6&lt;=$AO$15))),1,0)+IF((OR(AND($AN$16&lt;=AN6,AN6&lt;=$AO$16),AND($AN$16&lt;=AO6,AO6&lt;=$AO$16))),1,0)+IF((OR(AND($AN$17&lt;=AN6,AN6&lt;=$AO$17),AND($AN$17&lt;=AO6,AO6&lt;=$AO$17))),1,0)+IF((OR(AND($AN$18&lt;=AN6,AN6&lt;=$AO$18),AND($AN$18&lt;=AO6,AO6&lt;=$AO$18))),1,0)+IF((OR(AND($AN$19&lt;=AN6,AN6&lt;=$AO$19),AND($AN$19&lt;=AO6,AO6&lt;=$AO$19))),1,0)+IF((OR(AND($AN$20&lt;=AN6,AN6&lt;=$AO$20),AND($AN$20&lt;=AO6,AO6&lt;=$AO$20))),1,0)+IF((OR(AND($AN$21&lt;=AN6,AN6&lt;=$AO$21),AND($AN$21&lt;=AO6,AO6&lt;=$AO$21))),1,0)+IF((OR(AND($AN$22&lt;=AN6,AN6&lt;=$AO$22),AND($AN$22&lt;=AO6,AO6&lt;=$AO$22))),1,0)+IF((OR(AND($AN$23&lt;=AN6,AN6&lt;=$AO$23),AND($AN$23&lt;=AO6,AO6&lt;=$AO$23))),1,0)+IF((OR(AND($AN$24&lt;=AN6,AN6&lt;=$AO$24),AND($AN$24&lt;=AO6,AO6&lt;=$AO$24))),1,0)-1)</f>
        <v>2</v>
      </c>
      <c r="AQ6" s="19">
        <f t="shared" ref="AQ6:AQ25" si="41">IF(A6=0,0,IF(AY6=AY5,AQ5+1,$B$5))</f>
        <v>1</v>
      </c>
      <c r="AR6" s="19">
        <f t="shared" si="9"/>
        <v>1</v>
      </c>
      <c r="AS6" s="19">
        <f t="shared" si="10"/>
        <v>0</v>
      </c>
      <c r="AT6" s="19">
        <f t="shared" ref="AT6:AT24" si="42">IF(A6=0,"   ",IF(AND((AG6+AH6+$AG$3)&lt;(AG5+AH5+AM5),(AI5=0)),1,0))</f>
        <v>1</v>
      </c>
      <c r="AU6" s="19">
        <f t="shared" ref="AU6:AU7" si="43">IF(AND(AP6=0,AJ5=$AG$3),1,0)</f>
        <v>0</v>
      </c>
      <c r="AV6" s="67" t="str">
        <f t="shared" ref="AV6:AV24" si="44">IF(B5=$AG$2,"   ",IF(A6=0,"   ",IF(AT6=1,"   ",IF(AW6="(buffer)","   ",IF(OR(AND(AP7=1,AP6=0),AND(AP5=1,AP6=0),AND(AX5=1,AX6=1,AX7=1)),"(buffer)",IF(AND((AG6+AH6+$AG$3)&lt;(AG5+AH5+AM5),B6=$AG$2),"(buffer)","   "))))))</f>
        <v xml:space="preserve">   </v>
      </c>
      <c r="AW6" s="19" t="str">
        <f t="shared" ref="AW6:AW24" si="45">IF(B6=$AG$2,"   ",IF(AP6=0,IF(AND(AR6=0,AX6=0,AW7="(buffer)"),"(buffer)","   "),IF(AND(AR6=0,AX6=0,AW7="(buffer)"),"(buffer)",IF(OR(AND(AR6=1,AR7=0,AR8=0),AND(AR6=0,AR7=0)),IF(($BD$2/$AG$2)&gt;$AO$2,IF(AND(AR6=0,AX6=0,AW7="(buffer)"),"(buffer)","   "),"(buffer)"),IF(AR6=0,IF(B6=$AG$2,IF(($BD$2/$AG$2)&gt;$AO$2,IF(AND(AR6=0,AX6=0,AW7="(buffer)"),"(buffer)","   "),"(buffer)"),AQ6),IF(AND(AR6=0,AX5=1,AX6=1,AX7=1),"(buffer)","   "))))))</f>
        <v xml:space="preserve">   </v>
      </c>
      <c r="AX6" s="19">
        <f t="shared" ref="AX6:AX24" si="46">IF(A6=0,0,IF(AND(J6=0,J7=1),J7,IF(AND(J5=0,J6=1),J5,IF(AO7&gt;=AY6,1,0))))</f>
        <v>0</v>
      </c>
      <c r="AY6" s="12">
        <f t="shared" ref="AY6:AY24" si="47">IF(AO6&gt;=AY5,AZ6,AY5)</f>
        <v>11.127272727272723</v>
      </c>
      <c r="AZ6" s="53">
        <f t="shared" si="11"/>
        <v>11.127272727272723</v>
      </c>
      <c r="BA6" s="12">
        <f t="shared" ref="BA6:BA25" si="48">IF(B6&gt;$AG$2,0,($BD$3*$BE$3)/$AG$2)</f>
        <v>0.76363636363636367</v>
      </c>
      <c r="BB6" s="12">
        <f t="shared" si="12"/>
        <v>11.890909090909089</v>
      </c>
      <c r="BC6" s="11" t="s">
        <v>32</v>
      </c>
      <c r="BD6" s="14">
        <f>BD3/AG2</f>
        <v>1.8181818181818181</v>
      </c>
      <c r="BE6" s="11">
        <f>ROUNDDOWN(BD6,0)</f>
        <v>1</v>
      </c>
    </row>
    <row r="7" spans="1:58">
      <c r="A7" s="11">
        <f t="shared" si="13"/>
        <v>2</v>
      </c>
      <c r="B7" s="11">
        <v>3</v>
      </c>
      <c r="C7" s="11">
        <f t="shared" ref="C7:C24" si="49">IF(A7=0,0,IF(AK7=$AG$3,1,0))</f>
        <v>0</v>
      </c>
      <c r="D7" s="69" t="str">
        <f t="shared" ref="D7:D24" si="50">IF(C7&gt;0,(C6+C7),"   ")</f>
        <v xml:space="preserve">   </v>
      </c>
      <c r="E7" s="68" t="str">
        <f>IF(D7="   ","   ",IF(D7="   ",0,D7)+IF(E6="   ",0,E6))</f>
        <v xml:space="preserve">   </v>
      </c>
      <c r="F7" s="68">
        <f>IF(AND(E6=1,B6&lt;$AG$2),1,0)</f>
        <v>0</v>
      </c>
      <c r="G7" s="11" t="str">
        <f t="shared" si="14"/>
        <v>Lote 3</v>
      </c>
      <c r="H7" s="62">
        <f t="shared" si="2"/>
        <v>11.890909090909094</v>
      </c>
      <c r="I7" s="62">
        <f t="shared" si="3"/>
        <v>6.3636363636363633</v>
      </c>
      <c r="J7" s="63">
        <f t="shared" si="4"/>
        <v>0</v>
      </c>
      <c r="K7" s="57">
        <f t="shared" si="5"/>
        <v>0</v>
      </c>
      <c r="L7" s="57">
        <f>IF(A7&gt;0,$O$4,0)</f>
        <v>0</v>
      </c>
      <c r="M7" s="59">
        <f t="shared" si="15"/>
        <v>3</v>
      </c>
      <c r="N7" s="59">
        <f t="shared" si="16"/>
        <v>3</v>
      </c>
      <c r="O7" s="59" t="str">
        <f t="shared" si="17"/>
        <v xml:space="preserve">   </v>
      </c>
      <c r="P7" s="59" t="str">
        <f t="shared" si="18"/>
        <v xml:space="preserve">   </v>
      </c>
      <c r="Q7" s="59">
        <f t="shared" si="19"/>
        <v>3</v>
      </c>
      <c r="R7" s="59">
        <f t="shared" si="20"/>
        <v>3</v>
      </c>
      <c r="S7" s="59">
        <f t="shared" si="21"/>
        <v>3</v>
      </c>
      <c r="T7" s="59">
        <f t="shared" si="22"/>
        <v>3</v>
      </c>
      <c r="U7" s="59">
        <f t="shared" si="23"/>
        <v>3</v>
      </c>
      <c r="V7" s="59">
        <f t="shared" si="24"/>
        <v>3</v>
      </c>
      <c r="W7" s="59">
        <f t="shared" si="25"/>
        <v>3</v>
      </c>
      <c r="X7" s="59">
        <f t="shared" si="26"/>
        <v>3</v>
      </c>
      <c r="Y7" s="59">
        <f t="shared" si="27"/>
        <v>3</v>
      </c>
      <c r="Z7" s="59">
        <f t="shared" si="28"/>
        <v>3</v>
      </c>
      <c r="AA7" s="59">
        <f t="shared" si="29"/>
        <v>3</v>
      </c>
      <c r="AB7" s="59">
        <f t="shared" si="30"/>
        <v>3</v>
      </c>
      <c r="AC7" s="59">
        <f t="shared" si="31"/>
        <v>3</v>
      </c>
      <c r="AD7" s="59">
        <f t="shared" si="32"/>
        <v>3</v>
      </c>
      <c r="AE7" s="59">
        <f t="shared" si="33"/>
        <v>3</v>
      </c>
      <c r="AF7" s="59">
        <f t="shared" si="34"/>
        <v>3</v>
      </c>
      <c r="AG7" s="12">
        <f t="shared" ref="AG7:AG24" si="51">IF(AH7&gt;0,(B7-1)*$AI$2,0)</f>
        <v>2.9090909090909092</v>
      </c>
      <c r="AH7" s="12">
        <f t="shared" si="35"/>
        <v>1.4545454545454546</v>
      </c>
      <c r="AI7" s="12">
        <f t="shared" si="36"/>
        <v>0</v>
      </c>
      <c r="AJ7" s="53">
        <f t="shared" si="7"/>
        <v>0</v>
      </c>
      <c r="AK7" s="12">
        <f t="shared" si="37"/>
        <v>0</v>
      </c>
      <c r="AL7" s="12">
        <f t="shared" si="38"/>
        <v>4.3636363636363633</v>
      </c>
      <c r="AM7" s="12">
        <f t="shared" si="8"/>
        <v>7.5272727272727309</v>
      </c>
      <c r="AN7" s="12">
        <f t="shared" ref="AN7:AN24" si="52">IF(AO7="   ","   ",AO7-$AG$3)</f>
        <v>4.3636363636363633</v>
      </c>
      <c r="AO7" s="12">
        <f t="shared" si="39"/>
        <v>6.3636363636363633</v>
      </c>
      <c r="AP7" s="19">
        <f t="shared" si="40"/>
        <v>2</v>
      </c>
      <c r="AQ7" s="19">
        <f t="shared" si="41"/>
        <v>2</v>
      </c>
      <c r="AR7" s="19">
        <f t="shared" si="9"/>
        <v>1</v>
      </c>
      <c r="AS7" s="19">
        <f t="shared" si="10"/>
        <v>0</v>
      </c>
      <c r="AT7" s="19">
        <f t="shared" si="42"/>
        <v>1</v>
      </c>
      <c r="AU7" s="19">
        <f t="shared" si="43"/>
        <v>0</v>
      </c>
      <c r="AV7" s="67" t="str">
        <f t="shared" si="44"/>
        <v xml:space="preserve">   </v>
      </c>
      <c r="AW7" s="19" t="str">
        <f t="shared" si="45"/>
        <v xml:space="preserve">   </v>
      </c>
      <c r="AX7" s="19">
        <f t="shared" si="46"/>
        <v>0</v>
      </c>
      <c r="AY7" s="12">
        <f t="shared" si="47"/>
        <v>11.127272727272723</v>
      </c>
      <c r="AZ7" s="53">
        <f t="shared" si="11"/>
        <v>11.890909090909094</v>
      </c>
      <c r="BA7" s="12">
        <f t="shared" si="48"/>
        <v>0.76363636363636367</v>
      </c>
      <c r="BB7" s="12">
        <f t="shared" si="12"/>
        <v>12.654545454545458</v>
      </c>
    </row>
    <row r="8" spans="1:58">
      <c r="A8" s="11">
        <f t="shared" si="13"/>
        <v>2</v>
      </c>
      <c r="B8" s="11">
        <v>4</v>
      </c>
      <c r="C8" s="11">
        <f t="shared" si="49"/>
        <v>0</v>
      </c>
      <c r="D8" s="69" t="str">
        <f t="shared" si="50"/>
        <v xml:space="preserve">   </v>
      </c>
      <c r="E8" s="68" t="str">
        <f>IF(D8="   ","   ",IF(D8="   ",0,D8)+IF(E7="   ",0,E7))</f>
        <v xml:space="preserve">   </v>
      </c>
      <c r="F8" s="68">
        <f t="shared" ref="F8:F24" si="53">IF(AND(E7=1,B7&lt;$AG$2),1,0)</f>
        <v>0</v>
      </c>
      <c r="G8" s="11" t="str">
        <f t="shared" si="14"/>
        <v>Lote 4</v>
      </c>
      <c r="H8" s="62">
        <f t="shared" si="2"/>
        <v>12.654545454545458</v>
      </c>
      <c r="I8" s="62">
        <f t="shared" si="3"/>
        <v>7.8181818181818183</v>
      </c>
      <c r="J8" s="63">
        <f t="shared" si="4"/>
        <v>0</v>
      </c>
      <c r="K8" s="57">
        <f t="shared" si="5"/>
        <v>0</v>
      </c>
      <c r="L8" s="57">
        <f>IF(A8&gt;0,$P$4,0)</f>
        <v>0</v>
      </c>
      <c r="M8" s="59">
        <f t="shared" si="15"/>
        <v>4</v>
      </c>
      <c r="N8" s="59">
        <f t="shared" si="16"/>
        <v>4</v>
      </c>
      <c r="O8" s="59" t="str">
        <f t="shared" si="17"/>
        <v xml:space="preserve">   </v>
      </c>
      <c r="P8" s="59" t="str">
        <f t="shared" si="18"/>
        <v xml:space="preserve">   </v>
      </c>
      <c r="Q8" s="59">
        <f t="shared" si="19"/>
        <v>4</v>
      </c>
      <c r="R8" s="59">
        <f t="shared" si="20"/>
        <v>4</v>
      </c>
      <c r="S8" s="59">
        <f t="shared" si="21"/>
        <v>4</v>
      </c>
      <c r="T8" s="59">
        <f t="shared" si="22"/>
        <v>4</v>
      </c>
      <c r="U8" s="59">
        <f t="shared" si="23"/>
        <v>4</v>
      </c>
      <c r="V8" s="59">
        <f t="shared" si="24"/>
        <v>4</v>
      </c>
      <c r="W8" s="59">
        <f t="shared" si="25"/>
        <v>4</v>
      </c>
      <c r="X8" s="59">
        <f t="shared" si="26"/>
        <v>4</v>
      </c>
      <c r="Y8" s="59">
        <f t="shared" si="27"/>
        <v>4</v>
      </c>
      <c r="Z8" s="59">
        <f t="shared" si="28"/>
        <v>4</v>
      </c>
      <c r="AA8" s="59">
        <f t="shared" si="29"/>
        <v>4</v>
      </c>
      <c r="AB8" s="59">
        <f t="shared" si="30"/>
        <v>4</v>
      </c>
      <c r="AC8" s="59">
        <f t="shared" si="31"/>
        <v>4</v>
      </c>
      <c r="AD8" s="59">
        <f t="shared" si="32"/>
        <v>4</v>
      </c>
      <c r="AE8" s="59">
        <f t="shared" si="33"/>
        <v>4</v>
      </c>
      <c r="AF8" s="59">
        <f t="shared" si="34"/>
        <v>4</v>
      </c>
      <c r="AG8" s="12">
        <f t="shared" si="51"/>
        <v>4.3636363636363633</v>
      </c>
      <c r="AH8" s="12">
        <f t="shared" si="35"/>
        <v>1.4545454545454546</v>
      </c>
      <c r="AI8" s="12">
        <f t="shared" si="36"/>
        <v>0</v>
      </c>
      <c r="AJ8" s="53">
        <f t="shared" si="7"/>
        <v>0</v>
      </c>
      <c r="AK8" s="12">
        <f t="shared" si="37"/>
        <v>0</v>
      </c>
      <c r="AL8" s="12">
        <f t="shared" si="38"/>
        <v>5.8181818181818183</v>
      </c>
      <c r="AM8" s="12">
        <f t="shared" si="8"/>
        <v>6.8363636363636395</v>
      </c>
      <c r="AN8" s="12">
        <f t="shared" si="52"/>
        <v>5.8181818181818183</v>
      </c>
      <c r="AO8" s="12">
        <f t="shared" si="39"/>
        <v>7.8181818181818183</v>
      </c>
      <c r="AP8" s="19">
        <f t="shared" si="40"/>
        <v>2</v>
      </c>
      <c r="AQ8" s="19">
        <f t="shared" si="41"/>
        <v>3</v>
      </c>
      <c r="AR8" s="19">
        <f t="shared" si="9"/>
        <v>1</v>
      </c>
      <c r="AS8" s="19">
        <f t="shared" si="10"/>
        <v>0</v>
      </c>
      <c r="AT8" s="19">
        <f t="shared" si="42"/>
        <v>1</v>
      </c>
      <c r="AU8" s="19">
        <f>IF(AND(AP8=0,AJ7=$AG$3),1,0)</f>
        <v>0</v>
      </c>
      <c r="AV8" s="67" t="str">
        <f t="shared" si="44"/>
        <v xml:space="preserve">   </v>
      </c>
      <c r="AW8" s="19" t="str">
        <f t="shared" si="45"/>
        <v xml:space="preserve">   </v>
      </c>
      <c r="AX8" s="19">
        <f t="shared" si="46"/>
        <v>0</v>
      </c>
      <c r="AY8" s="12">
        <f t="shared" si="47"/>
        <v>11.127272727272723</v>
      </c>
      <c r="AZ8" s="53">
        <f t="shared" si="11"/>
        <v>12.654545454545458</v>
      </c>
      <c r="BA8" s="12">
        <f t="shared" si="48"/>
        <v>0.76363636363636367</v>
      </c>
      <c r="BB8" s="12">
        <f t="shared" si="12"/>
        <v>13.418181818181822</v>
      </c>
    </row>
    <row r="9" spans="1:58">
      <c r="A9" s="11">
        <f t="shared" si="13"/>
        <v>2</v>
      </c>
      <c r="B9" s="11">
        <v>5</v>
      </c>
      <c r="C9" s="11">
        <f t="shared" si="49"/>
        <v>1</v>
      </c>
      <c r="D9" s="69">
        <f t="shared" si="50"/>
        <v>1</v>
      </c>
      <c r="E9" s="68">
        <f t="shared" ref="E9:E24" si="54">IF(D9="   ","   ",IF(D9="   ",0,D9)+IF(E8="   ",0,E8))</f>
        <v>1</v>
      </c>
      <c r="F9" s="68">
        <f t="shared" si="53"/>
        <v>0</v>
      </c>
      <c r="G9" s="11" t="str">
        <f t="shared" si="14"/>
        <v>Lote 5</v>
      </c>
      <c r="H9" s="62">
        <f t="shared" si="2"/>
        <v>13.418181818181811</v>
      </c>
      <c r="I9" s="62">
        <f t="shared" si="3"/>
        <v>9.2727272727272734</v>
      </c>
      <c r="J9" s="63">
        <f t="shared" si="4"/>
        <v>0</v>
      </c>
      <c r="K9" s="57">
        <f t="shared" si="5"/>
        <v>0</v>
      </c>
      <c r="L9" s="57">
        <f>IF(A9&gt;0,$Q$4,0)</f>
        <v>7</v>
      </c>
      <c r="M9" s="59">
        <f t="shared" si="15"/>
        <v>5</v>
      </c>
      <c r="N9" s="59">
        <f t="shared" si="16"/>
        <v>5</v>
      </c>
      <c r="O9" s="59" t="str">
        <f t="shared" si="17"/>
        <v xml:space="preserve">   </v>
      </c>
      <c r="P9" s="59" t="str">
        <f t="shared" si="18"/>
        <v xml:space="preserve">   </v>
      </c>
      <c r="Q9" s="59">
        <f t="shared" si="19"/>
        <v>5</v>
      </c>
      <c r="R9" s="59">
        <f t="shared" si="20"/>
        <v>5</v>
      </c>
      <c r="S9" s="59">
        <f t="shared" si="21"/>
        <v>5</v>
      </c>
      <c r="T9" s="59">
        <f t="shared" si="22"/>
        <v>5</v>
      </c>
      <c r="U9" s="59">
        <f t="shared" si="23"/>
        <v>5</v>
      </c>
      <c r="V9" s="59">
        <f t="shared" si="24"/>
        <v>5</v>
      </c>
      <c r="W9" s="59">
        <f t="shared" si="25"/>
        <v>5</v>
      </c>
      <c r="X9" s="59">
        <f t="shared" si="26"/>
        <v>5</v>
      </c>
      <c r="Y9" s="59">
        <f t="shared" si="27"/>
        <v>5</v>
      </c>
      <c r="Z9" s="59">
        <f t="shared" si="28"/>
        <v>5</v>
      </c>
      <c r="AA9" s="59">
        <f t="shared" si="29"/>
        <v>5</v>
      </c>
      <c r="AB9" s="59">
        <f t="shared" si="30"/>
        <v>5</v>
      </c>
      <c r="AC9" s="59">
        <f t="shared" si="31"/>
        <v>5</v>
      </c>
      <c r="AD9" s="59">
        <f t="shared" si="32"/>
        <v>5</v>
      </c>
      <c r="AE9" s="59">
        <f t="shared" si="33"/>
        <v>5</v>
      </c>
      <c r="AF9" s="59">
        <f t="shared" si="34"/>
        <v>5</v>
      </c>
      <c r="AG9" s="12">
        <f t="shared" si="51"/>
        <v>5.8181818181818183</v>
      </c>
      <c r="AH9" s="12">
        <f t="shared" si="35"/>
        <v>1.4545454545454546</v>
      </c>
      <c r="AI9" s="12">
        <f t="shared" si="36"/>
        <v>2</v>
      </c>
      <c r="AJ9" s="53">
        <f t="shared" si="7"/>
        <v>2</v>
      </c>
      <c r="AK9" s="12">
        <f t="shared" si="37"/>
        <v>2</v>
      </c>
      <c r="AL9" s="12">
        <f t="shared" si="38"/>
        <v>9.2727272727272734</v>
      </c>
      <c r="AM9" s="12">
        <f t="shared" si="8"/>
        <v>4.1454545454545375</v>
      </c>
      <c r="AN9" s="12">
        <f t="shared" si="52"/>
        <v>7.2727272727272734</v>
      </c>
      <c r="AO9" s="12">
        <f t="shared" si="39"/>
        <v>9.2727272727272734</v>
      </c>
      <c r="AP9" s="19">
        <f t="shared" si="40"/>
        <v>2</v>
      </c>
      <c r="AQ9" s="19">
        <f t="shared" si="41"/>
        <v>4</v>
      </c>
      <c r="AR9" s="19">
        <f t="shared" si="9"/>
        <v>1</v>
      </c>
      <c r="AS9" s="19">
        <f t="shared" si="10"/>
        <v>0</v>
      </c>
      <c r="AT9" s="19">
        <f t="shared" si="42"/>
        <v>1</v>
      </c>
      <c r="AU9" s="19">
        <f t="shared" ref="AU9:AU24" si="55">IF(AND(AP9=0,AJ8=$AG$3),1,0)</f>
        <v>0</v>
      </c>
      <c r="AV9" s="67" t="str">
        <f t="shared" si="44"/>
        <v xml:space="preserve">   </v>
      </c>
      <c r="AW9" s="19" t="str">
        <f t="shared" si="45"/>
        <v xml:space="preserve">   </v>
      </c>
      <c r="AX9" s="19">
        <f t="shared" si="46"/>
        <v>1</v>
      </c>
      <c r="AY9" s="12">
        <f t="shared" si="47"/>
        <v>11.127272727272723</v>
      </c>
      <c r="AZ9" s="53">
        <f t="shared" si="11"/>
        <v>13.418181818181811</v>
      </c>
      <c r="BA9" s="12">
        <f t="shared" si="48"/>
        <v>0.76363636363636367</v>
      </c>
      <c r="BB9" s="12">
        <f t="shared" si="12"/>
        <v>14.181818181818175</v>
      </c>
    </row>
    <row r="10" spans="1:58">
      <c r="A10" s="11">
        <f t="shared" si="13"/>
        <v>2</v>
      </c>
      <c r="B10" s="11">
        <v>6</v>
      </c>
      <c r="C10" s="11">
        <f t="shared" si="49"/>
        <v>0</v>
      </c>
      <c r="D10" s="69" t="str">
        <f t="shared" si="50"/>
        <v xml:space="preserve">   </v>
      </c>
      <c r="E10" s="68" t="str">
        <f t="shared" si="54"/>
        <v xml:space="preserve">   </v>
      </c>
      <c r="F10" s="68">
        <f t="shared" si="53"/>
        <v>1</v>
      </c>
      <c r="G10" s="11" t="str">
        <f t="shared" si="14"/>
        <v>Lote 6</v>
      </c>
      <c r="H10" s="62">
        <f t="shared" si="2"/>
        <v>14.181818181818185</v>
      </c>
      <c r="I10" s="62">
        <f t="shared" si="3"/>
        <v>10.727272727272728</v>
      </c>
      <c r="J10" s="63">
        <f t="shared" si="4"/>
        <v>1</v>
      </c>
      <c r="K10" s="57">
        <f t="shared" si="5"/>
        <v>0</v>
      </c>
      <c r="L10" s="57">
        <f>IF(A10&gt;0,$R$4,0)</f>
        <v>7</v>
      </c>
      <c r="M10" s="59">
        <f t="shared" si="15"/>
        <v>6</v>
      </c>
      <c r="N10" s="59">
        <f t="shared" si="16"/>
        <v>6</v>
      </c>
      <c r="O10" s="59" t="str">
        <f t="shared" si="17"/>
        <v xml:space="preserve">   </v>
      </c>
      <c r="P10" s="59" t="str">
        <f t="shared" si="18"/>
        <v xml:space="preserve">   </v>
      </c>
      <c r="Q10" s="59">
        <f t="shared" si="19"/>
        <v>6</v>
      </c>
      <c r="R10" s="59">
        <f t="shared" si="20"/>
        <v>6</v>
      </c>
      <c r="S10" s="59">
        <f t="shared" si="21"/>
        <v>6</v>
      </c>
      <c r="T10" s="59">
        <f t="shared" si="22"/>
        <v>6</v>
      </c>
      <c r="U10" s="59">
        <f t="shared" si="23"/>
        <v>6</v>
      </c>
      <c r="V10" s="59">
        <f t="shared" si="24"/>
        <v>6</v>
      </c>
      <c r="W10" s="59">
        <f t="shared" si="25"/>
        <v>6</v>
      </c>
      <c r="X10" s="59">
        <f t="shared" si="26"/>
        <v>6</v>
      </c>
      <c r="Y10" s="59">
        <f t="shared" si="27"/>
        <v>6</v>
      </c>
      <c r="Z10" s="59">
        <f t="shared" si="28"/>
        <v>6</v>
      </c>
      <c r="AA10" s="59">
        <f t="shared" si="29"/>
        <v>6</v>
      </c>
      <c r="AB10" s="59">
        <f t="shared" si="30"/>
        <v>6</v>
      </c>
      <c r="AC10" s="59">
        <f t="shared" si="31"/>
        <v>6</v>
      </c>
      <c r="AD10" s="59">
        <f t="shared" si="32"/>
        <v>6</v>
      </c>
      <c r="AE10" s="59">
        <f t="shared" si="33"/>
        <v>6</v>
      </c>
      <c r="AF10" s="59">
        <f t="shared" si="34"/>
        <v>6</v>
      </c>
      <c r="AG10" s="12">
        <f t="shared" si="51"/>
        <v>7.2727272727272734</v>
      </c>
      <c r="AH10" s="12">
        <f t="shared" si="35"/>
        <v>1.4545454545454546</v>
      </c>
      <c r="AI10" s="12">
        <f t="shared" si="36"/>
        <v>0</v>
      </c>
      <c r="AJ10" s="53">
        <f t="shared" si="7"/>
        <v>0</v>
      </c>
      <c r="AK10" s="12">
        <f t="shared" si="37"/>
        <v>0</v>
      </c>
      <c r="AL10" s="12">
        <f t="shared" si="38"/>
        <v>8.7272727272727284</v>
      </c>
      <c r="AM10" s="12">
        <f t="shared" si="8"/>
        <v>5.4545454545454568</v>
      </c>
      <c r="AN10" s="12">
        <f t="shared" si="52"/>
        <v>8.7272727272727284</v>
      </c>
      <c r="AO10" s="12">
        <f t="shared" si="39"/>
        <v>10.727272727272728</v>
      </c>
      <c r="AP10" s="19">
        <f t="shared" si="40"/>
        <v>2</v>
      </c>
      <c r="AQ10" s="19">
        <f t="shared" si="41"/>
        <v>5</v>
      </c>
      <c r="AR10" s="19">
        <f t="shared" si="9"/>
        <v>1</v>
      </c>
      <c r="AS10" s="19">
        <f t="shared" si="10"/>
        <v>0</v>
      </c>
      <c r="AT10" s="19">
        <f t="shared" si="42"/>
        <v>0</v>
      </c>
      <c r="AU10" s="19">
        <f t="shared" si="55"/>
        <v>0</v>
      </c>
      <c r="AV10" s="67" t="str">
        <f t="shared" si="44"/>
        <v xml:space="preserve">   </v>
      </c>
      <c r="AW10" s="19" t="str">
        <f t="shared" si="45"/>
        <v xml:space="preserve">   </v>
      </c>
      <c r="AX10" s="19">
        <f t="shared" si="46"/>
        <v>0</v>
      </c>
      <c r="AY10" s="12">
        <f t="shared" si="47"/>
        <v>11.127272727272723</v>
      </c>
      <c r="AZ10" s="53">
        <f t="shared" si="11"/>
        <v>14.181818181818185</v>
      </c>
      <c r="BA10" s="12">
        <f t="shared" si="48"/>
        <v>0.76363636363636367</v>
      </c>
      <c r="BB10" s="12">
        <f t="shared" si="12"/>
        <v>14.945454545454549</v>
      </c>
    </row>
    <row r="11" spans="1:58">
      <c r="A11" s="11">
        <f t="shared" si="13"/>
        <v>2</v>
      </c>
      <c r="B11" s="11">
        <v>7</v>
      </c>
      <c r="C11" s="11">
        <f t="shared" si="49"/>
        <v>0</v>
      </c>
      <c r="D11" s="69" t="str">
        <f t="shared" si="50"/>
        <v xml:space="preserve">   </v>
      </c>
      <c r="E11" s="68" t="str">
        <f t="shared" si="54"/>
        <v xml:space="preserve">   </v>
      </c>
      <c r="F11" s="68">
        <f t="shared" si="53"/>
        <v>0</v>
      </c>
      <c r="G11" s="11" t="str">
        <f t="shared" si="14"/>
        <v>Lote 7</v>
      </c>
      <c r="H11" s="62">
        <f t="shared" si="2"/>
        <v>14.945454545454547</v>
      </c>
      <c r="I11" s="62">
        <f t="shared" si="3"/>
        <v>12.181818181818182</v>
      </c>
      <c r="J11" s="63">
        <f t="shared" si="4"/>
        <v>3</v>
      </c>
      <c r="K11" s="57">
        <f t="shared" si="5"/>
        <v>1</v>
      </c>
      <c r="L11" s="57">
        <f>IF(A11&gt;0,$S$4,0)</f>
        <v>8</v>
      </c>
      <c r="M11" s="59">
        <f t="shared" si="15"/>
        <v>7</v>
      </c>
      <c r="N11" s="59">
        <f t="shared" si="16"/>
        <v>7</v>
      </c>
      <c r="O11" s="59" t="str">
        <f t="shared" si="17"/>
        <v xml:space="preserve">   </v>
      </c>
      <c r="P11" s="59" t="str">
        <f t="shared" si="18"/>
        <v xml:space="preserve">   </v>
      </c>
      <c r="Q11" s="59">
        <f t="shared" si="19"/>
        <v>7</v>
      </c>
      <c r="R11" s="59">
        <f t="shared" si="20"/>
        <v>7</v>
      </c>
      <c r="S11" s="59">
        <f t="shared" si="21"/>
        <v>7</v>
      </c>
      <c r="T11" s="59">
        <f t="shared" si="22"/>
        <v>7</v>
      </c>
      <c r="U11" s="59">
        <f t="shared" si="23"/>
        <v>7</v>
      </c>
      <c r="V11" s="59">
        <f t="shared" si="24"/>
        <v>7</v>
      </c>
      <c r="W11" s="59">
        <f t="shared" si="25"/>
        <v>7</v>
      </c>
      <c r="X11" s="59">
        <f t="shared" si="26"/>
        <v>7</v>
      </c>
      <c r="Y11" s="59">
        <f t="shared" si="27"/>
        <v>7</v>
      </c>
      <c r="Z11" s="59">
        <f t="shared" si="28"/>
        <v>7</v>
      </c>
      <c r="AA11" s="59">
        <f t="shared" si="29"/>
        <v>7</v>
      </c>
      <c r="AB11" s="59">
        <f t="shared" si="30"/>
        <v>7</v>
      </c>
      <c r="AC11" s="59">
        <f t="shared" si="31"/>
        <v>7</v>
      </c>
      <c r="AD11" s="59">
        <f t="shared" si="32"/>
        <v>7</v>
      </c>
      <c r="AE11" s="59">
        <f t="shared" si="33"/>
        <v>7</v>
      </c>
      <c r="AF11" s="59">
        <f t="shared" si="34"/>
        <v>7</v>
      </c>
      <c r="AG11" s="12">
        <f t="shared" si="51"/>
        <v>8.7272727272727266</v>
      </c>
      <c r="AH11" s="12">
        <f t="shared" si="35"/>
        <v>1.4545454545454546</v>
      </c>
      <c r="AI11" s="12">
        <f t="shared" si="36"/>
        <v>0</v>
      </c>
      <c r="AJ11" s="53">
        <f t="shared" si="7"/>
        <v>0</v>
      </c>
      <c r="AK11" s="12">
        <f t="shared" si="37"/>
        <v>0</v>
      </c>
      <c r="AL11" s="12">
        <f t="shared" si="38"/>
        <v>10.181818181818182</v>
      </c>
      <c r="AM11" s="12">
        <f t="shared" si="8"/>
        <v>4.7636363636363654</v>
      </c>
      <c r="AN11" s="12">
        <f t="shared" si="52"/>
        <v>10.181818181818182</v>
      </c>
      <c r="AO11" s="12">
        <f t="shared" si="39"/>
        <v>12.181818181818182</v>
      </c>
      <c r="AP11" s="19">
        <f t="shared" si="40"/>
        <v>2</v>
      </c>
      <c r="AQ11" s="19">
        <f t="shared" si="41"/>
        <v>1</v>
      </c>
      <c r="AR11" s="19">
        <f t="shared" si="9"/>
        <v>1</v>
      </c>
      <c r="AS11" s="19">
        <f t="shared" si="10"/>
        <v>0</v>
      </c>
      <c r="AT11" s="19">
        <f t="shared" si="42"/>
        <v>1</v>
      </c>
      <c r="AU11" s="19">
        <f t="shared" si="55"/>
        <v>0</v>
      </c>
      <c r="AV11" s="67" t="str">
        <f t="shared" si="44"/>
        <v xml:space="preserve">   </v>
      </c>
      <c r="AW11" s="19" t="str">
        <f t="shared" si="45"/>
        <v xml:space="preserve">   </v>
      </c>
      <c r="AX11" s="19">
        <f t="shared" si="46"/>
        <v>0</v>
      </c>
      <c r="AY11" s="12">
        <f t="shared" si="47"/>
        <v>14.945454545454547</v>
      </c>
      <c r="AZ11" s="53">
        <f t="shared" si="11"/>
        <v>14.945454545454547</v>
      </c>
      <c r="BA11" s="12">
        <f t="shared" si="48"/>
        <v>0.76363636363636367</v>
      </c>
      <c r="BB11" s="12">
        <f t="shared" si="12"/>
        <v>15.709090909090911</v>
      </c>
    </row>
    <row r="12" spans="1:58">
      <c r="A12" s="11">
        <f t="shared" si="13"/>
        <v>2</v>
      </c>
      <c r="B12" s="11">
        <v>8</v>
      </c>
      <c r="C12" s="11">
        <f t="shared" si="49"/>
        <v>0</v>
      </c>
      <c r="D12" s="69" t="str">
        <f t="shared" si="50"/>
        <v xml:space="preserve">   </v>
      </c>
      <c r="E12" s="68" t="str">
        <f t="shared" si="54"/>
        <v xml:space="preserve">   </v>
      </c>
      <c r="F12" s="68">
        <f t="shared" si="53"/>
        <v>0</v>
      </c>
      <c r="G12" s="11" t="str">
        <f t="shared" si="14"/>
        <v>Lote 8</v>
      </c>
      <c r="H12" s="62">
        <f t="shared" si="2"/>
        <v>15.709090909090911</v>
      </c>
      <c r="I12" s="62">
        <f t="shared" si="3"/>
        <v>13.636363636363637</v>
      </c>
      <c r="J12" s="63">
        <f t="shared" si="4"/>
        <v>5</v>
      </c>
      <c r="K12" s="57">
        <f t="shared" si="5"/>
        <v>1</v>
      </c>
      <c r="L12" s="57">
        <f>IF(A12&gt;0,$T$4,0)</f>
        <v>8</v>
      </c>
      <c r="M12" s="59" t="str">
        <f t="shared" si="15"/>
        <v xml:space="preserve">   </v>
      </c>
      <c r="N12" s="59" t="str">
        <f t="shared" si="16"/>
        <v xml:space="preserve">   </v>
      </c>
      <c r="O12" s="59" t="str">
        <f t="shared" si="17"/>
        <v xml:space="preserve">   </v>
      </c>
      <c r="P12" s="59" t="str">
        <f t="shared" si="18"/>
        <v xml:space="preserve">   </v>
      </c>
      <c r="Q12" s="59" t="str">
        <f t="shared" si="19"/>
        <v xml:space="preserve">   </v>
      </c>
      <c r="R12" s="59" t="str">
        <f t="shared" si="20"/>
        <v xml:space="preserve">   </v>
      </c>
      <c r="S12" s="59">
        <f t="shared" si="21"/>
        <v>8</v>
      </c>
      <c r="T12" s="59">
        <f t="shared" si="22"/>
        <v>8</v>
      </c>
      <c r="U12" s="59">
        <f t="shared" si="23"/>
        <v>8</v>
      </c>
      <c r="V12" s="59">
        <f t="shared" si="24"/>
        <v>8</v>
      </c>
      <c r="W12" s="59">
        <f t="shared" si="25"/>
        <v>8</v>
      </c>
      <c r="X12" s="59">
        <f t="shared" si="26"/>
        <v>8</v>
      </c>
      <c r="Y12" s="59">
        <f t="shared" si="27"/>
        <v>8</v>
      </c>
      <c r="Z12" s="59">
        <f t="shared" si="28"/>
        <v>8</v>
      </c>
      <c r="AA12" s="59">
        <f t="shared" si="29"/>
        <v>8</v>
      </c>
      <c r="AB12" s="59">
        <f t="shared" si="30"/>
        <v>8</v>
      </c>
      <c r="AC12" s="59">
        <f t="shared" si="31"/>
        <v>8</v>
      </c>
      <c r="AD12" s="59">
        <f t="shared" si="32"/>
        <v>8</v>
      </c>
      <c r="AE12" s="59">
        <f t="shared" si="33"/>
        <v>8</v>
      </c>
      <c r="AF12" s="59">
        <f t="shared" si="34"/>
        <v>8</v>
      </c>
      <c r="AG12" s="12">
        <f t="shared" si="51"/>
        <v>10.181818181818182</v>
      </c>
      <c r="AH12" s="12">
        <f t="shared" si="35"/>
        <v>1.4545454545454546</v>
      </c>
      <c r="AI12" s="12">
        <f t="shared" si="36"/>
        <v>2</v>
      </c>
      <c r="AJ12" s="53">
        <f t="shared" si="7"/>
        <v>0</v>
      </c>
      <c r="AK12" s="12">
        <f t="shared" si="37"/>
        <v>0</v>
      </c>
      <c r="AL12" s="12">
        <f t="shared" si="38"/>
        <v>13.636363636363637</v>
      </c>
      <c r="AM12" s="12">
        <f t="shared" si="8"/>
        <v>4.0727272727272741</v>
      </c>
      <c r="AN12" s="12">
        <f t="shared" si="52"/>
        <v>11.636363636363637</v>
      </c>
      <c r="AO12" s="12">
        <f t="shared" si="39"/>
        <v>13.636363636363637</v>
      </c>
      <c r="AP12" s="19">
        <f t="shared" si="40"/>
        <v>2</v>
      </c>
      <c r="AQ12" s="19">
        <f t="shared" si="41"/>
        <v>2</v>
      </c>
      <c r="AR12" s="19">
        <f t="shared" si="9"/>
        <v>1</v>
      </c>
      <c r="AS12" s="19">
        <f t="shared" si="10"/>
        <v>1</v>
      </c>
      <c r="AT12" s="19">
        <f t="shared" si="42"/>
        <v>1</v>
      </c>
      <c r="AU12" s="19">
        <f t="shared" si="55"/>
        <v>0</v>
      </c>
      <c r="AV12" s="67" t="str">
        <f t="shared" si="44"/>
        <v xml:space="preserve">   </v>
      </c>
      <c r="AW12" s="19" t="str">
        <f t="shared" si="45"/>
        <v>(buffer)</v>
      </c>
      <c r="AX12" s="19">
        <f t="shared" si="46"/>
        <v>1</v>
      </c>
      <c r="AY12" s="12">
        <f t="shared" si="47"/>
        <v>14.945454545454547</v>
      </c>
      <c r="AZ12" s="53">
        <f t="shared" si="11"/>
        <v>15.709090909090911</v>
      </c>
      <c r="BA12" s="12">
        <f t="shared" si="48"/>
        <v>0.76363636363636367</v>
      </c>
      <c r="BB12" s="12">
        <f t="shared" si="12"/>
        <v>16.472727272727276</v>
      </c>
    </row>
    <row r="13" spans="1:58">
      <c r="A13" s="11">
        <f t="shared" si="13"/>
        <v>2</v>
      </c>
      <c r="B13" s="11">
        <v>9</v>
      </c>
      <c r="C13" s="11">
        <f t="shared" si="49"/>
        <v>0</v>
      </c>
      <c r="D13" s="69" t="str">
        <f t="shared" si="50"/>
        <v xml:space="preserve">   </v>
      </c>
      <c r="E13" s="68" t="str">
        <f t="shared" si="54"/>
        <v xml:space="preserve">   </v>
      </c>
      <c r="F13" s="68">
        <f t="shared" si="53"/>
        <v>0</v>
      </c>
      <c r="G13" s="11" t="str">
        <f t="shared" si="14"/>
        <v>Lote 9</v>
      </c>
      <c r="H13" s="62">
        <f t="shared" si="2"/>
        <v>16.472727272727276</v>
      </c>
      <c r="I13" s="62">
        <f t="shared" si="3"/>
        <v>15.090909090909092</v>
      </c>
      <c r="J13" s="63">
        <f t="shared" si="4"/>
        <v>7</v>
      </c>
      <c r="K13" s="57">
        <f t="shared" si="5"/>
        <v>1</v>
      </c>
      <c r="L13" s="57">
        <f>IF(A13&gt;0,$U$4,0)</f>
        <v>9</v>
      </c>
      <c r="M13" s="59" t="str">
        <f t="shared" si="15"/>
        <v xml:space="preserve">   </v>
      </c>
      <c r="N13" s="59" t="str">
        <f t="shared" si="16"/>
        <v xml:space="preserve">   </v>
      </c>
      <c r="O13" s="59" t="str">
        <f t="shared" si="17"/>
        <v xml:space="preserve">   </v>
      </c>
      <c r="P13" s="59" t="str">
        <f t="shared" si="18"/>
        <v xml:space="preserve">   </v>
      </c>
      <c r="Q13" s="59" t="str">
        <f t="shared" si="19"/>
        <v xml:space="preserve">   </v>
      </c>
      <c r="R13" s="59" t="str">
        <f t="shared" si="20"/>
        <v xml:space="preserve">   </v>
      </c>
      <c r="S13" s="59" t="str">
        <f t="shared" si="21"/>
        <v xml:space="preserve">   </v>
      </c>
      <c r="T13" s="59" t="str">
        <f t="shared" si="22"/>
        <v xml:space="preserve">   </v>
      </c>
      <c r="U13" s="59">
        <f t="shared" si="23"/>
        <v>9</v>
      </c>
      <c r="V13" s="59">
        <f t="shared" si="24"/>
        <v>9</v>
      </c>
      <c r="W13" s="59">
        <f t="shared" si="25"/>
        <v>9</v>
      </c>
      <c r="X13" s="59">
        <f t="shared" si="26"/>
        <v>9</v>
      </c>
      <c r="Y13" s="59">
        <f t="shared" si="27"/>
        <v>9</v>
      </c>
      <c r="Z13" s="59">
        <f t="shared" si="28"/>
        <v>9</v>
      </c>
      <c r="AA13" s="59">
        <f t="shared" si="29"/>
        <v>9</v>
      </c>
      <c r="AB13" s="59">
        <f t="shared" si="30"/>
        <v>9</v>
      </c>
      <c r="AC13" s="59">
        <f t="shared" si="31"/>
        <v>9</v>
      </c>
      <c r="AD13" s="59">
        <f t="shared" si="32"/>
        <v>9</v>
      </c>
      <c r="AE13" s="59">
        <f t="shared" si="33"/>
        <v>9</v>
      </c>
      <c r="AF13" s="59">
        <f t="shared" si="34"/>
        <v>9</v>
      </c>
      <c r="AG13" s="12">
        <f t="shared" si="51"/>
        <v>11.636363636363637</v>
      </c>
      <c r="AH13" s="12">
        <f t="shared" si="35"/>
        <v>1.4545454545454546</v>
      </c>
      <c r="AI13" s="12">
        <f t="shared" si="36"/>
        <v>2</v>
      </c>
      <c r="AJ13" s="53">
        <f t="shared" si="7"/>
        <v>0</v>
      </c>
      <c r="AK13" s="12">
        <f t="shared" si="37"/>
        <v>0</v>
      </c>
      <c r="AL13" s="12">
        <f t="shared" si="38"/>
        <v>15.090909090909092</v>
      </c>
      <c r="AM13" s="12">
        <f t="shared" si="8"/>
        <v>3.3818181818181827</v>
      </c>
      <c r="AN13" s="12">
        <f t="shared" si="52"/>
        <v>13.090909090909092</v>
      </c>
      <c r="AO13" s="12">
        <f t="shared" si="39"/>
        <v>15.090909090909092</v>
      </c>
      <c r="AP13" s="19">
        <f t="shared" si="40"/>
        <v>2</v>
      </c>
      <c r="AQ13" s="19">
        <f t="shared" si="41"/>
        <v>1</v>
      </c>
      <c r="AR13" s="19">
        <f t="shared" si="9"/>
        <v>0</v>
      </c>
      <c r="AS13" s="19">
        <f t="shared" si="10"/>
        <v>1</v>
      </c>
      <c r="AT13" s="19">
        <f t="shared" si="42"/>
        <v>0</v>
      </c>
      <c r="AU13" s="19">
        <f t="shared" si="55"/>
        <v>0</v>
      </c>
      <c r="AV13" s="67" t="str">
        <f t="shared" si="44"/>
        <v xml:space="preserve">   </v>
      </c>
      <c r="AW13" s="19" t="str">
        <f t="shared" si="45"/>
        <v>(buffer)</v>
      </c>
      <c r="AX13" s="19">
        <f t="shared" si="46"/>
        <v>1</v>
      </c>
      <c r="AY13" s="12">
        <f t="shared" si="47"/>
        <v>16.472727272727276</v>
      </c>
      <c r="AZ13" s="53">
        <f t="shared" si="11"/>
        <v>16.472727272727276</v>
      </c>
      <c r="BA13" s="12">
        <f t="shared" si="48"/>
        <v>0.76363636363636367</v>
      </c>
      <c r="BB13" s="12">
        <f t="shared" si="12"/>
        <v>17.236363636363642</v>
      </c>
    </row>
    <row r="14" spans="1:58">
      <c r="A14" s="11">
        <f t="shared" si="13"/>
        <v>2</v>
      </c>
      <c r="B14" s="11">
        <v>10</v>
      </c>
      <c r="C14" s="11">
        <f t="shared" si="49"/>
        <v>0</v>
      </c>
      <c r="D14" s="69" t="str">
        <f t="shared" si="50"/>
        <v xml:space="preserve">   </v>
      </c>
      <c r="E14" s="68" t="str">
        <f t="shared" si="54"/>
        <v xml:space="preserve">   </v>
      </c>
      <c r="F14" s="68">
        <f t="shared" si="53"/>
        <v>0</v>
      </c>
      <c r="G14" s="11" t="str">
        <f t="shared" si="14"/>
        <v>Lote 10</v>
      </c>
      <c r="H14" s="62">
        <f t="shared" si="2"/>
        <v>17.236363636363635</v>
      </c>
      <c r="I14" s="62">
        <f t="shared" si="3"/>
        <v>16.545454545454547</v>
      </c>
      <c r="J14" s="63">
        <f t="shared" si="4"/>
        <v>9</v>
      </c>
      <c r="K14" s="57">
        <f t="shared" si="5"/>
        <v>1</v>
      </c>
      <c r="L14" s="57">
        <f>IF(A14&gt;0,$V$4,0)</f>
        <v>9</v>
      </c>
      <c r="M14" s="59" t="str">
        <f t="shared" si="15"/>
        <v xml:space="preserve">   </v>
      </c>
      <c r="N14" s="59" t="str">
        <f t="shared" si="16"/>
        <v xml:space="preserve">   </v>
      </c>
      <c r="O14" s="59" t="str">
        <f t="shared" si="17"/>
        <v xml:space="preserve">   </v>
      </c>
      <c r="P14" s="59" t="str">
        <f t="shared" si="18"/>
        <v xml:space="preserve">   </v>
      </c>
      <c r="Q14" s="59" t="str">
        <f t="shared" si="19"/>
        <v xml:space="preserve">   </v>
      </c>
      <c r="R14" s="59" t="str">
        <f t="shared" si="20"/>
        <v xml:space="preserve">   </v>
      </c>
      <c r="S14" s="59" t="str">
        <f t="shared" si="21"/>
        <v xml:space="preserve">   </v>
      </c>
      <c r="T14" s="59" t="str">
        <f t="shared" si="22"/>
        <v xml:space="preserve">   </v>
      </c>
      <c r="U14" s="59" t="str">
        <f t="shared" si="23"/>
        <v xml:space="preserve">   </v>
      </c>
      <c r="V14" s="59" t="str">
        <f t="shared" si="24"/>
        <v xml:space="preserve">   </v>
      </c>
      <c r="W14" s="59">
        <f t="shared" si="25"/>
        <v>10</v>
      </c>
      <c r="X14" s="59">
        <f t="shared" si="26"/>
        <v>10</v>
      </c>
      <c r="Y14" s="59">
        <f t="shared" si="27"/>
        <v>10</v>
      </c>
      <c r="Z14" s="59">
        <f t="shared" si="28"/>
        <v>10</v>
      </c>
      <c r="AA14" s="59">
        <f t="shared" si="29"/>
        <v>10</v>
      </c>
      <c r="AB14" s="59">
        <f t="shared" si="30"/>
        <v>10</v>
      </c>
      <c r="AC14" s="59">
        <f t="shared" si="31"/>
        <v>10</v>
      </c>
      <c r="AD14" s="59">
        <f t="shared" si="32"/>
        <v>10</v>
      </c>
      <c r="AE14" s="59">
        <f t="shared" si="33"/>
        <v>10</v>
      </c>
      <c r="AF14" s="59">
        <f t="shared" si="34"/>
        <v>10</v>
      </c>
      <c r="AG14" s="12">
        <f t="shared" si="51"/>
        <v>13.090909090909092</v>
      </c>
      <c r="AH14" s="12">
        <f t="shared" si="35"/>
        <v>1.4545454545454546</v>
      </c>
      <c r="AI14" s="12">
        <f t="shared" si="36"/>
        <v>2</v>
      </c>
      <c r="AJ14" s="53">
        <f t="shared" si="7"/>
        <v>0</v>
      </c>
      <c r="AK14" s="12">
        <f t="shared" si="37"/>
        <v>0</v>
      </c>
      <c r="AL14" s="12">
        <f t="shared" si="38"/>
        <v>16.545454545454547</v>
      </c>
      <c r="AM14" s="12">
        <f t="shared" si="8"/>
        <v>2.6909090909090878</v>
      </c>
      <c r="AN14" s="12">
        <f t="shared" si="52"/>
        <v>14.545454545454547</v>
      </c>
      <c r="AO14" s="12">
        <f t="shared" si="39"/>
        <v>16.545454545454547</v>
      </c>
      <c r="AP14" s="19">
        <f t="shared" si="40"/>
        <v>2</v>
      </c>
      <c r="AQ14" s="19">
        <f t="shared" si="41"/>
        <v>1</v>
      </c>
      <c r="AR14" s="19">
        <f t="shared" si="9"/>
        <v>0</v>
      </c>
      <c r="AS14" s="19">
        <f t="shared" si="10"/>
        <v>1</v>
      </c>
      <c r="AT14" s="19">
        <f t="shared" si="42"/>
        <v>0</v>
      </c>
      <c r="AU14" s="19">
        <f t="shared" si="55"/>
        <v>0</v>
      </c>
      <c r="AV14" s="67" t="str">
        <f t="shared" si="44"/>
        <v xml:space="preserve">   </v>
      </c>
      <c r="AW14" s="19" t="str">
        <f t="shared" si="45"/>
        <v>(buffer)</v>
      </c>
      <c r="AX14" s="19">
        <f t="shared" si="46"/>
        <v>1</v>
      </c>
      <c r="AY14" s="12">
        <f t="shared" si="47"/>
        <v>17.236363636363635</v>
      </c>
      <c r="AZ14" s="53">
        <f t="shared" si="11"/>
        <v>17.236363636363635</v>
      </c>
      <c r="BA14" s="12">
        <f t="shared" si="48"/>
        <v>0.76363636363636367</v>
      </c>
      <c r="BB14" s="12">
        <f t="shared" si="12"/>
        <v>18</v>
      </c>
    </row>
    <row r="15" spans="1:58">
      <c r="A15" s="11">
        <f t="shared" si="13"/>
        <v>2</v>
      </c>
      <c r="B15" s="11">
        <v>11</v>
      </c>
      <c r="C15" s="11">
        <f t="shared" si="49"/>
        <v>1</v>
      </c>
      <c r="D15" s="69">
        <f t="shared" si="50"/>
        <v>1</v>
      </c>
      <c r="E15" s="68">
        <f t="shared" si="54"/>
        <v>1</v>
      </c>
      <c r="F15" s="68">
        <f t="shared" si="53"/>
        <v>0</v>
      </c>
      <c r="G15" s="11" t="str">
        <f t="shared" si="14"/>
        <v>Lote 11</v>
      </c>
      <c r="H15" s="62">
        <f t="shared" si="2"/>
        <v>18</v>
      </c>
      <c r="I15" s="62">
        <f t="shared" si="3"/>
        <v>18</v>
      </c>
      <c r="J15" s="63">
        <f t="shared" si="4"/>
        <v>10</v>
      </c>
      <c r="K15" s="57">
        <f t="shared" si="5"/>
        <v>0</v>
      </c>
      <c r="L15" s="57">
        <f>IF(A15&gt;0,$W$4,0)</f>
        <v>10</v>
      </c>
      <c r="M15" s="59" t="str">
        <f t="shared" si="15"/>
        <v xml:space="preserve">   </v>
      </c>
      <c r="N15" s="59" t="str">
        <f t="shared" si="16"/>
        <v xml:space="preserve">   </v>
      </c>
      <c r="O15" s="59" t="str">
        <f t="shared" si="17"/>
        <v xml:space="preserve">   </v>
      </c>
      <c r="P15" s="59" t="str">
        <f t="shared" si="18"/>
        <v xml:space="preserve">   </v>
      </c>
      <c r="Q15" s="59" t="str">
        <f t="shared" si="19"/>
        <v xml:space="preserve">   </v>
      </c>
      <c r="R15" s="59" t="str">
        <f t="shared" si="20"/>
        <v xml:space="preserve">   </v>
      </c>
      <c r="S15" s="59" t="str">
        <f t="shared" si="21"/>
        <v xml:space="preserve">   </v>
      </c>
      <c r="T15" s="59" t="str">
        <f t="shared" si="22"/>
        <v xml:space="preserve">   </v>
      </c>
      <c r="U15" s="59" t="str">
        <f t="shared" si="23"/>
        <v xml:space="preserve">   </v>
      </c>
      <c r="V15" s="59" t="str">
        <f t="shared" si="24"/>
        <v xml:space="preserve">   </v>
      </c>
      <c r="W15" s="59" t="str">
        <f t="shared" si="25"/>
        <v xml:space="preserve">   </v>
      </c>
      <c r="X15" s="59" t="str">
        <f t="shared" si="26"/>
        <v xml:space="preserve">   </v>
      </c>
      <c r="Y15" s="59" t="str">
        <f t="shared" si="27"/>
        <v xml:space="preserve">   </v>
      </c>
      <c r="Z15" s="59" t="str">
        <f t="shared" si="28"/>
        <v xml:space="preserve">   </v>
      </c>
      <c r="AA15" s="59">
        <f t="shared" si="29"/>
        <v>11</v>
      </c>
      <c r="AB15" s="59">
        <f t="shared" si="30"/>
        <v>11</v>
      </c>
      <c r="AC15" s="59">
        <f t="shared" si="31"/>
        <v>11</v>
      </c>
      <c r="AD15" s="59">
        <f t="shared" si="32"/>
        <v>11</v>
      </c>
      <c r="AE15" s="59">
        <f t="shared" si="33"/>
        <v>11</v>
      </c>
      <c r="AF15" s="59">
        <f t="shared" si="34"/>
        <v>11</v>
      </c>
      <c r="AG15" s="12">
        <f t="shared" si="51"/>
        <v>14.545454545454547</v>
      </c>
      <c r="AH15" s="12">
        <f t="shared" si="35"/>
        <v>1.4545454545454546</v>
      </c>
      <c r="AI15" s="12">
        <f t="shared" si="36"/>
        <v>2</v>
      </c>
      <c r="AJ15" s="53">
        <f t="shared" si="7"/>
        <v>2</v>
      </c>
      <c r="AK15" s="12">
        <f t="shared" si="37"/>
        <v>2</v>
      </c>
      <c r="AL15" s="12">
        <f t="shared" si="38"/>
        <v>18</v>
      </c>
      <c r="AM15" s="12" t="str">
        <f t="shared" si="8"/>
        <v xml:space="preserve">   </v>
      </c>
      <c r="AN15" s="12">
        <f t="shared" si="52"/>
        <v>16</v>
      </c>
      <c r="AO15" s="12">
        <f t="shared" si="39"/>
        <v>18</v>
      </c>
      <c r="AP15" s="19">
        <f t="shared" si="40"/>
        <v>1</v>
      </c>
      <c r="AQ15" s="19">
        <f t="shared" si="41"/>
        <v>1</v>
      </c>
      <c r="AR15" s="19">
        <f t="shared" si="9"/>
        <v>0</v>
      </c>
      <c r="AS15" s="19">
        <f t="shared" si="10"/>
        <v>0</v>
      </c>
      <c r="AT15" s="19">
        <f t="shared" si="42"/>
        <v>0</v>
      </c>
      <c r="AU15" s="19">
        <f t="shared" si="55"/>
        <v>0</v>
      </c>
      <c r="AV15" s="67" t="str">
        <f t="shared" si="44"/>
        <v xml:space="preserve">   </v>
      </c>
      <c r="AW15" s="19" t="str">
        <f t="shared" si="45"/>
        <v xml:space="preserve">   </v>
      </c>
      <c r="AX15" s="19">
        <f t="shared" si="46"/>
        <v>1</v>
      </c>
      <c r="AY15" s="12">
        <f t="shared" si="47"/>
        <v>18</v>
      </c>
      <c r="AZ15" s="53">
        <f t="shared" si="11"/>
        <v>18</v>
      </c>
      <c r="BA15" s="12">
        <f t="shared" si="48"/>
        <v>0.76363636363636367</v>
      </c>
      <c r="BB15" s="12">
        <f t="shared" si="12"/>
        <v>18.763636363636365</v>
      </c>
    </row>
    <row r="16" spans="1:58">
      <c r="A16" s="11">
        <f t="shared" si="13"/>
        <v>0</v>
      </c>
      <c r="B16" s="11">
        <v>12</v>
      </c>
      <c r="C16" s="11">
        <f t="shared" si="49"/>
        <v>0</v>
      </c>
      <c r="D16" s="69" t="str">
        <f t="shared" si="50"/>
        <v xml:space="preserve">   </v>
      </c>
      <c r="E16" s="68" t="str">
        <f t="shared" si="54"/>
        <v xml:space="preserve">   </v>
      </c>
      <c r="F16" s="68">
        <f t="shared" si="53"/>
        <v>0</v>
      </c>
      <c r="G16" s="11" t="str">
        <f t="shared" si="14"/>
        <v>Lote 12</v>
      </c>
      <c r="H16" s="62" t="str">
        <f t="shared" si="2"/>
        <v xml:space="preserve">   </v>
      </c>
      <c r="I16" s="62" t="str">
        <f t="shared" si="3"/>
        <v xml:space="preserve">   </v>
      </c>
      <c r="J16" s="63" t="str">
        <f t="shared" si="4"/>
        <v xml:space="preserve">   </v>
      </c>
      <c r="K16" s="57">
        <f t="shared" si="5"/>
        <v>0</v>
      </c>
      <c r="L16" s="57">
        <f>IF(A16&gt;0,$X$4,0)</f>
        <v>0</v>
      </c>
      <c r="M16" s="59" t="str">
        <f t="shared" si="15"/>
        <v xml:space="preserve">   </v>
      </c>
      <c r="N16" s="59" t="str">
        <f t="shared" si="16"/>
        <v xml:space="preserve">   </v>
      </c>
      <c r="O16" s="59" t="str">
        <f t="shared" si="17"/>
        <v xml:space="preserve">   </v>
      </c>
      <c r="P16" s="59" t="str">
        <f t="shared" si="18"/>
        <v xml:space="preserve">   </v>
      </c>
      <c r="Q16" s="59" t="str">
        <f t="shared" si="19"/>
        <v xml:space="preserve">   </v>
      </c>
      <c r="R16" s="59" t="str">
        <f t="shared" si="20"/>
        <v xml:space="preserve">   </v>
      </c>
      <c r="S16" s="59" t="str">
        <f t="shared" si="21"/>
        <v xml:space="preserve">   </v>
      </c>
      <c r="T16" s="59" t="str">
        <f t="shared" si="22"/>
        <v xml:space="preserve">   </v>
      </c>
      <c r="U16" s="59" t="str">
        <f t="shared" si="23"/>
        <v xml:space="preserve">   </v>
      </c>
      <c r="V16" s="59" t="str">
        <f t="shared" si="24"/>
        <v xml:space="preserve">   </v>
      </c>
      <c r="W16" s="59" t="str">
        <f t="shared" si="25"/>
        <v xml:space="preserve">   </v>
      </c>
      <c r="X16" s="59" t="str">
        <f t="shared" si="26"/>
        <v xml:space="preserve">   </v>
      </c>
      <c r="Y16" s="59" t="str">
        <f t="shared" si="27"/>
        <v xml:space="preserve">   </v>
      </c>
      <c r="Z16" s="59" t="str">
        <f t="shared" si="28"/>
        <v xml:space="preserve">   </v>
      </c>
      <c r="AA16" s="59" t="str">
        <f t="shared" si="29"/>
        <v xml:space="preserve">   </v>
      </c>
      <c r="AB16" s="59" t="str">
        <f t="shared" si="30"/>
        <v xml:space="preserve">   </v>
      </c>
      <c r="AC16" s="59" t="str">
        <f t="shared" si="31"/>
        <v xml:space="preserve">   </v>
      </c>
      <c r="AD16" s="59" t="str">
        <f t="shared" si="32"/>
        <v xml:space="preserve">   </v>
      </c>
      <c r="AE16" s="59" t="str">
        <f t="shared" si="33"/>
        <v xml:space="preserve">   </v>
      </c>
      <c r="AF16" s="59" t="str">
        <f t="shared" si="34"/>
        <v xml:space="preserve">   </v>
      </c>
      <c r="AG16" s="12">
        <f t="shared" si="51"/>
        <v>0</v>
      </c>
      <c r="AH16" s="12">
        <f t="shared" si="35"/>
        <v>0</v>
      </c>
      <c r="AI16" s="12" t="str">
        <f t="shared" si="36"/>
        <v xml:space="preserve">   </v>
      </c>
      <c r="AJ16" s="53">
        <f t="shared" si="7"/>
        <v>0</v>
      </c>
      <c r="AK16" s="12">
        <f t="shared" si="37"/>
        <v>0</v>
      </c>
      <c r="AL16" s="12" t="str">
        <f t="shared" si="38"/>
        <v xml:space="preserve">   </v>
      </c>
      <c r="AM16" s="12" t="str">
        <f t="shared" si="8"/>
        <v xml:space="preserve">   </v>
      </c>
      <c r="AN16" s="12" t="str">
        <f t="shared" si="52"/>
        <v xml:space="preserve">   </v>
      </c>
      <c r="AO16" s="12" t="str">
        <f t="shared" si="39"/>
        <v xml:space="preserve">   </v>
      </c>
      <c r="AP16" s="19">
        <f t="shared" si="40"/>
        <v>0</v>
      </c>
      <c r="AQ16" s="19">
        <f t="shared" si="41"/>
        <v>0</v>
      </c>
      <c r="AR16" s="19">
        <f t="shared" si="9"/>
        <v>0</v>
      </c>
      <c r="AS16" s="19">
        <f t="shared" si="10"/>
        <v>0</v>
      </c>
      <c r="AT16" s="19" t="str">
        <f t="shared" si="42"/>
        <v xml:space="preserve">   </v>
      </c>
      <c r="AU16" s="19">
        <f t="shared" si="55"/>
        <v>1</v>
      </c>
      <c r="AV16" s="67" t="str">
        <f t="shared" si="44"/>
        <v xml:space="preserve">   </v>
      </c>
      <c r="AW16" s="19" t="str">
        <f t="shared" si="45"/>
        <v xml:space="preserve">   </v>
      </c>
      <c r="AX16" s="19">
        <f t="shared" si="46"/>
        <v>0</v>
      </c>
      <c r="AY16" s="12" t="str">
        <f t="shared" si="47"/>
        <v xml:space="preserve">   </v>
      </c>
      <c r="AZ16" s="53" t="str">
        <f t="shared" si="11"/>
        <v xml:space="preserve">   </v>
      </c>
      <c r="BA16" s="12">
        <f t="shared" si="48"/>
        <v>0</v>
      </c>
      <c r="BB16" s="12" t="str">
        <f t="shared" si="12"/>
        <v xml:space="preserve">   </v>
      </c>
    </row>
    <row r="17" spans="1:54">
      <c r="A17" s="11">
        <f t="shared" si="13"/>
        <v>0</v>
      </c>
      <c r="B17" s="11">
        <v>13</v>
      </c>
      <c r="C17" s="11">
        <f t="shared" si="49"/>
        <v>0</v>
      </c>
      <c r="D17" s="69" t="str">
        <f t="shared" si="50"/>
        <v xml:space="preserve">   </v>
      </c>
      <c r="E17" s="68" t="str">
        <f t="shared" si="54"/>
        <v xml:space="preserve">   </v>
      </c>
      <c r="F17" s="68">
        <f t="shared" si="53"/>
        <v>0</v>
      </c>
      <c r="G17" s="11" t="str">
        <f t="shared" si="14"/>
        <v>Lote 13</v>
      </c>
      <c r="H17" s="62" t="str">
        <f t="shared" si="2"/>
        <v xml:space="preserve">   </v>
      </c>
      <c r="I17" s="62" t="str">
        <f t="shared" si="3"/>
        <v xml:space="preserve">   </v>
      </c>
      <c r="J17" s="63" t="str">
        <f t="shared" si="4"/>
        <v xml:space="preserve">   </v>
      </c>
      <c r="K17" s="57">
        <f t="shared" si="5"/>
        <v>0</v>
      </c>
      <c r="L17" s="57">
        <f>IF(A17&gt;0,$Y$4,0)</f>
        <v>0</v>
      </c>
      <c r="M17" s="59" t="str">
        <f t="shared" si="15"/>
        <v xml:space="preserve">   </v>
      </c>
      <c r="N17" s="59" t="str">
        <f t="shared" si="16"/>
        <v xml:space="preserve">   </v>
      </c>
      <c r="O17" s="59" t="str">
        <f t="shared" si="17"/>
        <v xml:space="preserve">   </v>
      </c>
      <c r="P17" s="59" t="str">
        <f t="shared" si="18"/>
        <v xml:space="preserve">   </v>
      </c>
      <c r="Q17" s="59" t="str">
        <f t="shared" si="19"/>
        <v xml:space="preserve">   </v>
      </c>
      <c r="R17" s="59" t="str">
        <f t="shared" si="20"/>
        <v xml:space="preserve">   </v>
      </c>
      <c r="S17" s="59" t="str">
        <f t="shared" si="21"/>
        <v xml:space="preserve">   </v>
      </c>
      <c r="T17" s="59" t="str">
        <f t="shared" si="22"/>
        <v xml:space="preserve">   </v>
      </c>
      <c r="U17" s="59" t="str">
        <f t="shared" si="23"/>
        <v xml:space="preserve">   </v>
      </c>
      <c r="V17" s="59" t="str">
        <f t="shared" si="24"/>
        <v xml:space="preserve">   </v>
      </c>
      <c r="W17" s="59" t="str">
        <f t="shared" si="25"/>
        <v xml:space="preserve">   </v>
      </c>
      <c r="X17" s="59" t="str">
        <f t="shared" si="26"/>
        <v xml:space="preserve">   </v>
      </c>
      <c r="Y17" s="59" t="str">
        <f t="shared" si="27"/>
        <v xml:space="preserve">   </v>
      </c>
      <c r="Z17" s="59" t="str">
        <f t="shared" si="28"/>
        <v xml:space="preserve">   </v>
      </c>
      <c r="AA17" s="59" t="str">
        <f t="shared" si="29"/>
        <v xml:space="preserve">   </v>
      </c>
      <c r="AB17" s="59" t="str">
        <f t="shared" si="30"/>
        <v xml:space="preserve">   </v>
      </c>
      <c r="AC17" s="59" t="str">
        <f t="shared" si="31"/>
        <v xml:space="preserve">   </v>
      </c>
      <c r="AD17" s="59" t="str">
        <f t="shared" si="32"/>
        <v xml:space="preserve">   </v>
      </c>
      <c r="AE17" s="59" t="str">
        <f t="shared" si="33"/>
        <v xml:space="preserve">   </v>
      </c>
      <c r="AF17" s="59" t="str">
        <f t="shared" si="34"/>
        <v xml:space="preserve">   </v>
      </c>
      <c r="AG17" s="12">
        <f t="shared" si="51"/>
        <v>0</v>
      </c>
      <c r="AH17" s="12">
        <f t="shared" si="35"/>
        <v>0</v>
      </c>
      <c r="AI17" s="12" t="str">
        <f t="shared" si="36"/>
        <v xml:space="preserve">   </v>
      </c>
      <c r="AJ17" s="53">
        <f t="shared" si="7"/>
        <v>0</v>
      </c>
      <c r="AK17" s="12">
        <f t="shared" si="37"/>
        <v>0</v>
      </c>
      <c r="AL17" s="12" t="str">
        <f t="shared" si="38"/>
        <v xml:space="preserve">   </v>
      </c>
      <c r="AM17" s="12" t="str">
        <f t="shared" si="8"/>
        <v xml:space="preserve">   </v>
      </c>
      <c r="AN17" s="12" t="str">
        <f t="shared" si="52"/>
        <v xml:space="preserve">   </v>
      </c>
      <c r="AO17" s="12" t="str">
        <f t="shared" si="39"/>
        <v xml:space="preserve">   </v>
      </c>
      <c r="AP17" s="19">
        <f t="shared" si="40"/>
        <v>0</v>
      </c>
      <c r="AQ17" s="19">
        <f t="shared" si="41"/>
        <v>0</v>
      </c>
      <c r="AR17" s="19">
        <f t="shared" si="9"/>
        <v>0</v>
      </c>
      <c r="AS17" s="19">
        <f t="shared" si="10"/>
        <v>0</v>
      </c>
      <c r="AT17" s="19" t="str">
        <f t="shared" si="42"/>
        <v xml:space="preserve">   </v>
      </c>
      <c r="AU17" s="19">
        <f t="shared" si="55"/>
        <v>0</v>
      </c>
      <c r="AV17" s="67" t="str">
        <f t="shared" si="44"/>
        <v xml:space="preserve">   </v>
      </c>
      <c r="AW17" s="19" t="str">
        <f t="shared" si="45"/>
        <v xml:space="preserve">   </v>
      </c>
      <c r="AX17" s="19">
        <f t="shared" si="46"/>
        <v>0</v>
      </c>
      <c r="AY17" s="12" t="str">
        <f t="shared" si="47"/>
        <v xml:space="preserve">   </v>
      </c>
      <c r="AZ17" s="53" t="str">
        <f t="shared" si="11"/>
        <v xml:space="preserve">   </v>
      </c>
      <c r="BA17" s="12">
        <f t="shared" si="48"/>
        <v>0</v>
      </c>
      <c r="BB17" s="12" t="str">
        <f t="shared" si="12"/>
        <v xml:space="preserve">   </v>
      </c>
    </row>
    <row r="18" spans="1:54">
      <c r="A18" s="11">
        <f t="shared" si="13"/>
        <v>0</v>
      </c>
      <c r="B18" s="11">
        <v>14</v>
      </c>
      <c r="C18" s="11">
        <f t="shared" si="49"/>
        <v>0</v>
      </c>
      <c r="D18" s="69" t="str">
        <f t="shared" si="50"/>
        <v xml:space="preserve">   </v>
      </c>
      <c r="E18" s="68" t="str">
        <f t="shared" si="54"/>
        <v xml:space="preserve">   </v>
      </c>
      <c r="F18" s="68">
        <f t="shared" si="53"/>
        <v>0</v>
      </c>
      <c r="G18" s="11" t="str">
        <f t="shared" si="14"/>
        <v>Lote 14</v>
      </c>
      <c r="H18" s="62" t="str">
        <f t="shared" si="2"/>
        <v xml:space="preserve">   </v>
      </c>
      <c r="I18" s="62" t="str">
        <f t="shared" si="3"/>
        <v xml:space="preserve">   </v>
      </c>
      <c r="J18" s="63" t="str">
        <f t="shared" si="4"/>
        <v xml:space="preserve">   </v>
      </c>
      <c r="K18" s="57">
        <f t="shared" si="5"/>
        <v>0</v>
      </c>
      <c r="L18" s="57">
        <f>IF(A18&gt;0,$Z$4,0)</f>
        <v>0</v>
      </c>
      <c r="M18" s="59" t="str">
        <f t="shared" si="15"/>
        <v xml:space="preserve">   </v>
      </c>
      <c r="N18" s="59" t="str">
        <f t="shared" si="16"/>
        <v xml:space="preserve">   </v>
      </c>
      <c r="O18" s="59" t="str">
        <f t="shared" si="17"/>
        <v xml:space="preserve">   </v>
      </c>
      <c r="P18" s="59" t="str">
        <f t="shared" si="18"/>
        <v xml:space="preserve">   </v>
      </c>
      <c r="Q18" s="59" t="str">
        <f t="shared" si="19"/>
        <v xml:space="preserve">   </v>
      </c>
      <c r="R18" s="59" t="str">
        <f t="shared" si="20"/>
        <v xml:space="preserve">   </v>
      </c>
      <c r="S18" s="59" t="str">
        <f t="shared" si="21"/>
        <v xml:space="preserve">   </v>
      </c>
      <c r="T18" s="59" t="str">
        <f t="shared" si="22"/>
        <v xml:space="preserve">   </v>
      </c>
      <c r="U18" s="59" t="str">
        <f t="shared" si="23"/>
        <v xml:space="preserve">   </v>
      </c>
      <c r="V18" s="59" t="str">
        <f t="shared" si="24"/>
        <v xml:space="preserve">   </v>
      </c>
      <c r="W18" s="59" t="str">
        <f t="shared" si="25"/>
        <v xml:space="preserve">   </v>
      </c>
      <c r="X18" s="59" t="str">
        <f t="shared" si="26"/>
        <v xml:space="preserve">   </v>
      </c>
      <c r="Y18" s="59" t="str">
        <f t="shared" si="27"/>
        <v xml:space="preserve">   </v>
      </c>
      <c r="Z18" s="59" t="str">
        <f t="shared" si="28"/>
        <v xml:space="preserve">   </v>
      </c>
      <c r="AA18" s="59" t="str">
        <f t="shared" si="29"/>
        <v xml:space="preserve">   </v>
      </c>
      <c r="AB18" s="59" t="str">
        <f t="shared" si="30"/>
        <v xml:space="preserve">   </v>
      </c>
      <c r="AC18" s="59" t="str">
        <f t="shared" si="31"/>
        <v xml:space="preserve">   </v>
      </c>
      <c r="AD18" s="59" t="str">
        <f t="shared" si="32"/>
        <v xml:space="preserve">   </v>
      </c>
      <c r="AE18" s="59" t="str">
        <f t="shared" si="33"/>
        <v xml:space="preserve">   </v>
      </c>
      <c r="AF18" s="59" t="str">
        <f t="shared" si="34"/>
        <v xml:space="preserve">   </v>
      </c>
      <c r="AG18" s="12">
        <f t="shared" si="51"/>
        <v>0</v>
      </c>
      <c r="AH18" s="12">
        <f t="shared" si="35"/>
        <v>0</v>
      </c>
      <c r="AI18" s="12" t="str">
        <f t="shared" si="36"/>
        <v xml:space="preserve">   </v>
      </c>
      <c r="AJ18" s="53">
        <f t="shared" si="7"/>
        <v>0</v>
      </c>
      <c r="AK18" s="12">
        <f t="shared" si="37"/>
        <v>0</v>
      </c>
      <c r="AL18" s="12" t="str">
        <f t="shared" si="38"/>
        <v xml:space="preserve">   </v>
      </c>
      <c r="AM18" s="12" t="str">
        <f t="shared" si="8"/>
        <v xml:space="preserve">   </v>
      </c>
      <c r="AN18" s="12" t="str">
        <f t="shared" si="52"/>
        <v xml:space="preserve">   </v>
      </c>
      <c r="AO18" s="12" t="str">
        <f t="shared" si="39"/>
        <v xml:space="preserve">   </v>
      </c>
      <c r="AP18" s="19">
        <f t="shared" si="40"/>
        <v>0</v>
      </c>
      <c r="AQ18" s="19">
        <f t="shared" si="41"/>
        <v>0</v>
      </c>
      <c r="AR18" s="19">
        <f t="shared" si="9"/>
        <v>0</v>
      </c>
      <c r="AS18" s="19">
        <f t="shared" si="10"/>
        <v>0</v>
      </c>
      <c r="AT18" s="19" t="str">
        <f t="shared" si="42"/>
        <v xml:space="preserve">   </v>
      </c>
      <c r="AU18" s="19">
        <f t="shared" si="55"/>
        <v>0</v>
      </c>
      <c r="AV18" s="67" t="str">
        <f t="shared" si="44"/>
        <v xml:space="preserve">   </v>
      </c>
      <c r="AW18" s="19" t="str">
        <f t="shared" si="45"/>
        <v xml:space="preserve">   </v>
      </c>
      <c r="AX18" s="19">
        <f t="shared" si="46"/>
        <v>0</v>
      </c>
      <c r="AY18" s="12" t="str">
        <f t="shared" si="47"/>
        <v xml:space="preserve">   </v>
      </c>
      <c r="AZ18" s="53" t="str">
        <f t="shared" si="11"/>
        <v xml:space="preserve">   </v>
      </c>
      <c r="BA18" s="12">
        <f t="shared" si="48"/>
        <v>0</v>
      </c>
      <c r="BB18" s="12" t="str">
        <f t="shared" si="12"/>
        <v xml:space="preserve">   </v>
      </c>
    </row>
    <row r="19" spans="1:54">
      <c r="A19" s="11">
        <f t="shared" si="13"/>
        <v>0</v>
      </c>
      <c r="B19" s="11">
        <v>15</v>
      </c>
      <c r="C19" s="11">
        <f t="shared" si="49"/>
        <v>0</v>
      </c>
      <c r="D19" s="69" t="str">
        <f t="shared" si="50"/>
        <v xml:space="preserve">   </v>
      </c>
      <c r="E19" s="68" t="str">
        <f t="shared" si="54"/>
        <v xml:space="preserve">   </v>
      </c>
      <c r="F19" s="68">
        <f t="shared" si="53"/>
        <v>0</v>
      </c>
      <c r="G19" s="11" t="str">
        <f t="shared" si="14"/>
        <v>Lote 15</v>
      </c>
      <c r="H19" s="62" t="str">
        <f t="shared" si="2"/>
        <v xml:space="preserve">   </v>
      </c>
      <c r="I19" s="62" t="str">
        <f t="shared" si="3"/>
        <v xml:space="preserve">   </v>
      </c>
      <c r="J19" s="63" t="str">
        <f t="shared" si="4"/>
        <v xml:space="preserve">   </v>
      </c>
      <c r="K19" s="57">
        <f t="shared" si="5"/>
        <v>0</v>
      </c>
      <c r="L19" s="57">
        <f>IF(A19&gt;0,$AA$4,0)</f>
        <v>0</v>
      </c>
      <c r="M19" s="59" t="str">
        <f t="shared" si="15"/>
        <v xml:space="preserve">   </v>
      </c>
      <c r="N19" s="59" t="str">
        <f t="shared" si="16"/>
        <v xml:space="preserve">   </v>
      </c>
      <c r="O19" s="59" t="str">
        <f t="shared" si="17"/>
        <v xml:space="preserve">   </v>
      </c>
      <c r="P19" s="59" t="str">
        <f t="shared" si="18"/>
        <v xml:space="preserve">   </v>
      </c>
      <c r="Q19" s="59" t="str">
        <f t="shared" si="19"/>
        <v xml:space="preserve">   </v>
      </c>
      <c r="R19" s="59" t="str">
        <f t="shared" si="20"/>
        <v xml:space="preserve">   </v>
      </c>
      <c r="S19" s="59" t="str">
        <f t="shared" si="21"/>
        <v xml:space="preserve">   </v>
      </c>
      <c r="T19" s="59" t="str">
        <f t="shared" si="22"/>
        <v xml:space="preserve">   </v>
      </c>
      <c r="U19" s="59" t="str">
        <f t="shared" si="23"/>
        <v xml:space="preserve">   </v>
      </c>
      <c r="V19" s="59" t="str">
        <f t="shared" si="24"/>
        <v xml:space="preserve">   </v>
      </c>
      <c r="W19" s="59" t="str">
        <f t="shared" si="25"/>
        <v xml:space="preserve">   </v>
      </c>
      <c r="X19" s="59" t="str">
        <f t="shared" si="26"/>
        <v xml:space="preserve">   </v>
      </c>
      <c r="Y19" s="59" t="str">
        <f t="shared" si="27"/>
        <v xml:space="preserve">   </v>
      </c>
      <c r="Z19" s="59" t="str">
        <f t="shared" si="28"/>
        <v xml:space="preserve">   </v>
      </c>
      <c r="AA19" s="59" t="str">
        <f t="shared" si="29"/>
        <v xml:space="preserve">   </v>
      </c>
      <c r="AB19" s="59" t="str">
        <f t="shared" si="30"/>
        <v xml:space="preserve">   </v>
      </c>
      <c r="AC19" s="59" t="str">
        <f t="shared" si="31"/>
        <v xml:space="preserve">   </v>
      </c>
      <c r="AD19" s="59" t="str">
        <f t="shared" si="32"/>
        <v xml:space="preserve">   </v>
      </c>
      <c r="AE19" s="59" t="str">
        <f t="shared" si="33"/>
        <v xml:space="preserve">   </v>
      </c>
      <c r="AF19" s="59" t="str">
        <f t="shared" si="34"/>
        <v xml:space="preserve">   </v>
      </c>
      <c r="AG19" s="12">
        <f t="shared" si="51"/>
        <v>0</v>
      </c>
      <c r="AH19" s="12">
        <f t="shared" si="35"/>
        <v>0</v>
      </c>
      <c r="AI19" s="12" t="str">
        <f t="shared" si="36"/>
        <v xml:space="preserve">   </v>
      </c>
      <c r="AJ19" s="53">
        <f t="shared" si="7"/>
        <v>0</v>
      </c>
      <c r="AK19" s="12">
        <f t="shared" si="37"/>
        <v>0</v>
      </c>
      <c r="AL19" s="12" t="str">
        <f t="shared" si="38"/>
        <v xml:space="preserve">   </v>
      </c>
      <c r="AM19" s="12" t="str">
        <f t="shared" si="8"/>
        <v xml:space="preserve">   </v>
      </c>
      <c r="AN19" s="12" t="str">
        <f t="shared" si="52"/>
        <v xml:space="preserve">   </v>
      </c>
      <c r="AO19" s="12" t="str">
        <f t="shared" si="39"/>
        <v xml:space="preserve">   </v>
      </c>
      <c r="AP19" s="19">
        <f t="shared" si="40"/>
        <v>0</v>
      </c>
      <c r="AQ19" s="19">
        <f t="shared" si="41"/>
        <v>0</v>
      </c>
      <c r="AR19" s="19">
        <f t="shared" si="9"/>
        <v>0</v>
      </c>
      <c r="AS19" s="19">
        <f t="shared" si="10"/>
        <v>0</v>
      </c>
      <c r="AT19" s="19" t="str">
        <f t="shared" si="42"/>
        <v xml:space="preserve">   </v>
      </c>
      <c r="AU19" s="19">
        <f t="shared" si="55"/>
        <v>0</v>
      </c>
      <c r="AV19" s="67" t="str">
        <f t="shared" si="44"/>
        <v xml:space="preserve">   </v>
      </c>
      <c r="AW19" s="19" t="str">
        <f t="shared" si="45"/>
        <v xml:space="preserve">   </v>
      </c>
      <c r="AX19" s="19">
        <f t="shared" si="46"/>
        <v>0</v>
      </c>
      <c r="AY19" s="12" t="str">
        <f t="shared" si="47"/>
        <v xml:space="preserve">   </v>
      </c>
      <c r="AZ19" s="53" t="str">
        <f t="shared" si="11"/>
        <v xml:space="preserve">   </v>
      </c>
      <c r="BA19" s="12">
        <f t="shared" si="48"/>
        <v>0</v>
      </c>
      <c r="BB19" s="12" t="str">
        <f t="shared" si="12"/>
        <v xml:space="preserve">   </v>
      </c>
    </row>
    <row r="20" spans="1:54">
      <c r="A20" s="11">
        <f t="shared" si="13"/>
        <v>0</v>
      </c>
      <c r="B20" s="11">
        <v>16</v>
      </c>
      <c r="C20" s="11">
        <f t="shared" si="49"/>
        <v>0</v>
      </c>
      <c r="D20" s="69" t="str">
        <f t="shared" si="50"/>
        <v xml:space="preserve">   </v>
      </c>
      <c r="E20" s="68" t="str">
        <f t="shared" si="54"/>
        <v xml:space="preserve">   </v>
      </c>
      <c r="F20" s="68">
        <f t="shared" si="53"/>
        <v>0</v>
      </c>
      <c r="G20" s="11" t="str">
        <f t="shared" si="14"/>
        <v>Lote 16</v>
      </c>
      <c r="H20" s="62" t="str">
        <f t="shared" si="2"/>
        <v xml:space="preserve">   </v>
      </c>
      <c r="I20" s="62" t="str">
        <f t="shared" si="3"/>
        <v xml:space="preserve">   </v>
      </c>
      <c r="J20" s="63" t="str">
        <f t="shared" si="4"/>
        <v xml:space="preserve">   </v>
      </c>
      <c r="K20" s="57">
        <f t="shared" si="5"/>
        <v>0</v>
      </c>
      <c r="L20" s="57">
        <f>IF(A20&gt;0,$AB$4,0)</f>
        <v>0</v>
      </c>
      <c r="M20" s="59" t="str">
        <f t="shared" si="15"/>
        <v xml:space="preserve">   </v>
      </c>
      <c r="N20" s="59" t="str">
        <f t="shared" si="16"/>
        <v xml:space="preserve">   </v>
      </c>
      <c r="O20" s="59" t="str">
        <f t="shared" si="17"/>
        <v xml:space="preserve">   </v>
      </c>
      <c r="P20" s="59" t="str">
        <f t="shared" si="18"/>
        <v xml:space="preserve">   </v>
      </c>
      <c r="Q20" s="59" t="str">
        <f t="shared" si="19"/>
        <v xml:space="preserve">   </v>
      </c>
      <c r="R20" s="59" t="str">
        <f t="shared" si="20"/>
        <v xml:space="preserve">   </v>
      </c>
      <c r="S20" s="59" t="str">
        <f t="shared" si="21"/>
        <v xml:space="preserve">   </v>
      </c>
      <c r="T20" s="59" t="str">
        <f t="shared" si="22"/>
        <v xml:space="preserve">   </v>
      </c>
      <c r="U20" s="59" t="str">
        <f t="shared" si="23"/>
        <v xml:space="preserve">   </v>
      </c>
      <c r="V20" s="59" t="str">
        <f t="shared" si="24"/>
        <v xml:space="preserve">   </v>
      </c>
      <c r="W20" s="59" t="str">
        <f t="shared" si="25"/>
        <v xml:space="preserve">   </v>
      </c>
      <c r="X20" s="59" t="str">
        <f t="shared" si="26"/>
        <v xml:space="preserve">   </v>
      </c>
      <c r="Y20" s="59" t="str">
        <f t="shared" si="27"/>
        <v xml:space="preserve">   </v>
      </c>
      <c r="Z20" s="59" t="str">
        <f t="shared" si="28"/>
        <v xml:space="preserve">   </v>
      </c>
      <c r="AA20" s="59" t="str">
        <f t="shared" si="29"/>
        <v xml:space="preserve">   </v>
      </c>
      <c r="AB20" s="59" t="str">
        <f t="shared" si="30"/>
        <v xml:space="preserve">   </v>
      </c>
      <c r="AC20" s="59" t="str">
        <f t="shared" si="31"/>
        <v xml:space="preserve">   </v>
      </c>
      <c r="AD20" s="59" t="str">
        <f t="shared" si="32"/>
        <v xml:space="preserve">   </v>
      </c>
      <c r="AE20" s="59" t="str">
        <f t="shared" si="33"/>
        <v xml:space="preserve">   </v>
      </c>
      <c r="AF20" s="59" t="str">
        <f t="shared" si="34"/>
        <v xml:space="preserve">   </v>
      </c>
      <c r="AG20" s="12">
        <f t="shared" si="51"/>
        <v>0</v>
      </c>
      <c r="AH20" s="12">
        <f t="shared" si="35"/>
        <v>0</v>
      </c>
      <c r="AI20" s="12" t="str">
        <f t="shared" si="36"/>
        <v xml:space="preserve">   </v>
      </c>
      <c r="AJ20" s="53">
        <f t="shared" si="7"/>
        <v>0</v>
      </c>
      <c r="AK20" s="12">
        <f t="shared" si="37"/>
        <v>0</v>
      </c>
      <c r="AL20" s="12" t="str">
        <f t="shared" si="38"/>
        <v xml:space="preserve">   </v>
      </c>
      <c r="AM20" s="12" t="str">
        <f t="shared" si="8"/>
        <v xml:space="preserve">   </v>
      </c>
      <c r="AN20" s="12" t="str">
        <f t="shared" si="52"/>
        <v xml:space="preserve">   </v>
      </c>
      <c r="AO20" s="12" t="str">
        <f t="shared" si="39"/>
        <v xml:space="preserve">   </v>
      </c>
      <c r="AP20" s="19">
        <f t="shared" si="40"/>
        <v>0</v>
      </c>
      <c r="AQ20" s="19">
        <f t="shared" si="41"/>
        <v>0</v>
      </c>
      <c r="AR20" s="19">
        <f t="shared" si="9"/>
        <v>0</v>
      </c>
      <c r="AS20" s="19">
        <f t="shared" si="10"/>
        <v>0</v>
      </c>
      <c r="AT20" s="19" t="str">
        <f t="shared" si="42"/>
        <v xml:space="preserve">   </v>
      </c>
      <c r="AU20" s="19">
        <f t="shared" si="55"/>
        <v>0</v>
      </c>
      <c r="AV20" s="67" t="str">
        <f t="shared" si="44"/>
        <v xml:space="preserve">   </v>
      </c>
      <c r="AW20" s="19" t="str">
        <f t="shared" si="45"/>
        <v xml:space="preserve">   </v>
      </c>
      <c r="AX20" s="19">
        <f t="shared" si="46"/>
        <v>0</v>
      </c>
      <c r="AY20" s="12" t="str">
        <f t="shared" si="47"/>
        <v xml:space="preserve">   </v>
      </c>
      <c r="AZ20" s="53" t="str">
        <f t="shared" si="11"/>
        <v xml:space="preserve">   </v>
      </c>
      <c r="BA20" s="12">
        <f t="shared" si="48"/>
        <v>0</v>
      </c>
      <c r="BB20" s="12" t="str">
        <f t="shared" si="12"/>
        <v xml:space="preserve">   </v>
      </c>
    </row>
    <row r="21" spans="1:54">
      <c r="A21" s="11">
        <f t="shared" si="13"/>
        <v>0</v>
      </c>
      <c r="B21" s="11">
        <v>17</v>
      </c>
      <c r="C21" s="11">
        <f t="shared" si="49"/>
        <v>0</v>
      </c>
      <c r="D21" s="69" t="str">
        <f t="shared" si="50"/>
        <v xml:space="preserve">   </v>
      </c>
      <c r="E21" s="68" t="str">
        <f t="shared" si="54"/>
        <v xml:space="preserve">   </v>
      </c>
      <c r="F21" s="68">
        <f t="shared" si="53"/>
        <v>0</v>
      </c>
      <c r="G21" s="11" t="str">
        <f t="shared" si="14"/>
        <v>Lote 17</v>
      </c>
      <c r="H21" s="62" t="str">
        <f t="shared" si="2"/>
        <v xml:space="preserve">   </v>
      </c>
      <c r="I21" s="62" t="str">
        <f t="shared" si="3"/>
        <v xml:space="preserve">   </v>
      </c>
      <c r="J21" s="63" t="str">
        <f t="shared" si="4"/>
        <v xml:space="preserve">   </v>
      </c>
      <c r="K21" s="57">
        <f t="shared" si="5"/>
        <v>0</v>
      </c>
      <c r="L21" s="57">
        <f>IF(A21&gt;0,$AC$4,0)</f>
        <v>0</v>
      </c>
      <c r="M21" s="59" t="str">
        <f t="shared" si="15"/>
        <v xml:space="preserve">   </v>
      </c>
      <c r="N21" s="59" t="str">
        <f t="shared" si="16"/>
        <v xml:space="preserve">   </v>
      </c>
      <c r="O21" s="59" t="str">
        <f t="shared" si="17"/>
        <v xml:space="preserve">   </v>
      </c>
      <c r="P21" s="59" t="str">
        <f t="shared" si="18"/>
        <v xml:space="preserve">   </v>
      </c>
      <c r="Q21" s="59" t="str">
        <f t="shared" si="19"/>
        <v xml:space="preserve">   </v>
      </c>
      <c r="R21" s="59" t="str">
        <f t="shared" si="20"/>
        <v xml:space="preserve">   </v>
      </c>
      <c r="S21" s="59" t="str">
        <f t="shared" si="21"/>
        <v xml:space="preserve">   </v>
      </c>
      <c r="T21" s="59" t="str">
        <f t="shared" si="22"/>
        <v xml:space="preserve">   </v>
      </c>
      <c r="U21" s="59" t="str">
        <f t="shared" si="23"/>
        <v xml:space="preserve">   </v>
      </c>
      <c r="V21" s="59" t="str">
        <f t="shared" si="24"/>
        <v xml:space="preserve">   </v>
      </c>
      <c r="W21" s="59" t="str">
        <f t="shared" si="25"/>
        <v xml:space="preserve">   </v>
      </c>
      <c r="X21" s="59" t="str">
        <f t="shared" si="26"/>
        <v xml:space="preserve">   </v>
      </c>
      <c r="Y21" s="59" t="str">
        <f t="shared" si="27"/>
        <v xml:space="preserve">   </v>
      </c>
      <c r="Z21" s="59" t="str">
        <f t="shared" si="28"/>
        <v xml:space="preserve">   </v>
      </c>
      <c r="AA21" s="59" t="str">
        <f t="shared" si="29"/>
        <v xml:space="preserve">   </v>
      </c>
      <c r="AB21" s="59" t="str">
        <f t="shared" si="30"/>
        <v xml:space="preserve">   </v>
      </c>
      <c r="AC21" s="59" t="str">
        <f t="shared" si="31"/>
        <v xml:space="preserve">   </v>
      </c>
      <c r="AD21" s="59" t="str">
        <f t="shared" si="32"/>
        <v xml:space="preserve">   </v>
      </c>
      <c r="AE21" s="59" t="str">
        <f t="shared" si="33"/>
        <v xml:space="preserve">   </v>
      </c>
      <c r="AF21" s="59" t="str">
        <f t="shared" si="34"/>
        <v xml:space="preserve">   </v>
      </c>
      <c r="AG21" s="12">
        <f t="shared" si="51"/>
        <v>0</v>
      </c>
      <c r="AH21" s="12">
        <f t="shared" si="35"/>
        <v>0</v>
      </c>
      <c r="AI21" s="12" t="str">
        <f t="shared" si="36"/>
        <v xml:space="preserve">   </v>
      </c>
      <c r="AJ21" s="53">
        <f t="shared" si="7"/>
        <v>0</v>
      </c>
      <c r="AK21" s="12">
        <f t="shared" si="37"/>
        <v>0</v>
      </c>
      <c r="AL21" s="12" t="str">
        <f t="shared" si="38"/>
        <v xml:space="preserve">   </v>
      </c>
      <c r="AM21" s="12" t="str">
        <f t="shared" si="8"/>
        <v xml:space="preserve">   </v>
      </c>
      <c r="AN21" s="12" t="str">
        <f t="shared" si="52"/>
        <v xml:space="preserve">   </v>
      </c>
      <c r="AO21" s="12" t="str">
        <f t="shared" si="39"/>
        <v xml:space="preserve">   </v>
      </c>
      <c r="AP21" s="19">
        <f t="shared" si="40"/>
        <v>0</v>
      </c>
      <c r="AQ21" s="19">
        <f t="shared" si="41"/>
        <v>0</v>
      </c>
      <c r="AR21" s="19">
        <f t="shared" si="9"/>
        <v>0</v>
      </c>
      <c r="AS21" s="19">
        <f t="shared" si="10"/>
        <v>0</v>
      </c>
      <c r="AT21" s="19" t="str">
        <f t="shared" si="42"/>
        <v xml:space="preserve">   </v>
      </c>
      <c r="AU21" s="19">
        <f t="shared" si="55"/>
        <v>0</v>
      </c>
      <c r="AV21" s="67" t="str">
        <f t="shared" si="44"/>
        <v xml:space="preserve">   </v>
      </c>
      <c r="AW21" s="19" t="str">
        <f t="shared" si="45"/>
        <v xml:space="preserve">   </v>
      </c>
      <c r="AX21" s="19">
        <f t="shared" si="46"/>
        <v>0</v>
      </c>
      <c r="AY21" s="12" t="str">
        <f t="shared" si="47"/>
        <v xml:space="preserve">   </v>
      </c>
      <c r="AZ21" s="53" t="str">
        <f t="shared" si="11"/>
        <v xml:space="preserve">   </v>
      </c>
      <c r="BA21" s="12">
        <f t="shared" si="48"/>
        <v>0</v>
      </c>
      <c r="BB21" s="12" t="str">
        <f t="shared" si="12"/>
        <v xml:space="preserve">   </v>
      </c>
    </row>
    <row r="22" spans="1:54">
      <c r="A22" s="11">
        <f t="shared" si="13"/>
        <v>0</v>
      </c>
      <c r="B22" s="11">
        <v>18</v>
      </c>
      <c r="C22" s="11">
        <f t="shared" si="49"/>
        <v>0</v>
      </c>
      <c r="D22" s="69" t="str">
        <f t="shared" si="50"/>
        <v xml:space="preserve">   </v>
      </c>
      <c r="E22" s="68" t="str">
        <f t="shared" si="54"/>
        <v xml:space="preserve">   </v>
      </c>
      <c r="F22" s="68">
        <f t="shared" si="53"/>
        <v>0</v>
      </c>
      <c r="G22" s="11" t="str">
        <f t="shared" si="14"/>
        <v>Lote 18</v>
      </c>
      <c r="H22" s="62" t="str">
        <f t="shared" si="2"/>
        <v xml:space="preserve">   </v>
      </c>
      <c r="I22" s="62" t="str">
        <f t="shared" si="3"/>
        <v xml:space="preserve">   </v>
      </c>
      <c r="J22" s="63" t="str">
        <f t="shared" si="4"/>
        <v xml:space="preserve">   </v>
      </c>
      <c r="K22" s="57">
        <f t="shared" si="5"/>
        <v>0</v>
      </c>
      <c r="L22" s="57">
        <f>IF(A22&gt;0,$AD$4,0)</f>
        <v>0</v>
      </c>
      <c r="M22" s="59" t="str">
        <f t="shared" si="15"/>
        <v xml:space="preserve">   </v>
      </c>
      <c r="N22" s="59" t="str">
        <f t="shared" si="16"/>
        <v xml:space="preserve">   </v>
      </c>
      <c r="O22" s="59" t="str">
        <f t="shared" si="17"/>
        <v xml:space="preserve">   </v>
      </c>
      <c r="P22" s="59" t="str">
        <f t="shared" si="18"/>
        <v xml:space="preserve">   </v>
      </c>
      <c r="Q22" s="59" t="str">
        <f t="shared" si="19"/>
        <v xml:space="preserve">   </v>
      </c>
      <c r="R22" s="59" t="str">
        <f t="shared" si="20"/>
        <v xml:space="preserve">   </v>
      </c>
      <c r="S22" s="59" t="str">
        <f t="shared" si="21"/>
        <v xml:space="preserve">   </v>
      </c>
      <c r="T22" s="59" t="str">
        <f t="shared" si="22"/>
        <v xml:space="preserve">   </v>
      </c>
      <c r="U22" s="59" t="str">
        <f t="shared" si="23"/>
        <v xml:space="preserve">   </v>
      </c>
      <c r="V22" s="59" t="str">
        <f t="shared" si="24"/>
        <v xml:space="preserve">   </v>
      </c>
      <c r="W22" s="59" t="str">
        <f t="shared" si="25"/>
        <v xml:space="preserve">   </v>
      </c>
      <c r="X22" s="59" t="str">
        <f t="shared" si="26"/>
        <v xml:space="preserve">   </v>
      </c>
      <c r="Y22" s="59" t="str">
        <f t="shared" si="27"/>
        <v xml:space="preserve">   </v>
      </c>
      <c r="Z22" s="59" t="str">
        <f t="shared" si="28"/>
        <v xml:space="preserve">   </v>
      </c>
      <c r="AA22" s="59" t="str">
        <f t="shared" si="29"/>
        <v xml:space="preserve">   </v>
      </c>
      <c r="AB22" s="59" t="str">
        <f t="shared" si="30"/>
        <v xml:space="preserve">   </v>
      </c>
      <c r="AC22" s="59" t="str">
        <f t="shared" si="31"/>
        <v xml:space="preserve">   </v>
      </c>
      <c r="AD22" s="59" t="str">
        <f t="shared" si="32"/>
        <v xml:space="preserve">   </v>
      </c>
      <c r="AE22" s="59" t="str">
        <f t="shared" si="33"/>
        <v xml:space="preserve">   </v>
      </c>
      <c r="AF22" s="59" t="str">
        <f t="shared" si="34"/>
        <v xml:space="preserve">   </v>
      </c>
      <c r="AG22" s="12">
        <f t="shared" si="51"/>
        <v>0</v>
      </c>
      <c r="AH22" s="12">
        <f t="shared" si="35"/>
        <v>0</v>
      </c>
      <c r="AI22" s="12" t="str">
        <f t="shared" si="36"/>
        <v xml:space="preserve">   </v>
      </c>
      <c r="AJ22" s="53">
        <f t="shared" si="7"/>
        <v>0</v>
      </c>
      <c r="AK22" s="12">
        <f t="shared" si="37"/>
        <v>0</v>
      </c>
      <c r="AL22" s="12" t="str">
        <f t="shared" si="38"/>
        <v xml:space="preserve">   </v>
      </c>
      <c r="AM22" s="12" t="str">
        <f t="shared" si="8"/>
        <v xml:space="preserve">   </v>
      </c>
      <c r="AN22" s="12" t="str">
        <f t="shared" si="52"/>
        <v xml:space="preserve">   </v>
      </c>
      <c r="AO22" s="12" t="str">
        <f t="shared" si="39"/>
        <v xml:space="preserve">   </v>
      </c>
      <c r="AP22" s="19">
        <f t="shared" si="40"/>
        <v>0</v>
      </c>
      <c r="AQ22" s="19">
        <f t="shared" si="41"/>
        <v>0</v>
      </c>
      <c r="AR22" s="19">
        <f t="shared" si="9"/>
        <v>0</v>
      </c>
      <c r="AS22" s="19">
        <f t="shared" si="10"/>
        <v>0</v>
      </c>
      <c r="AT22" s="19" t="str">
        <f t="shared" si="42"/>
        <v xml:space="preserve">   </v>
      </c>
      <c r="AU22" s="19">
        <f t="shared" si="55"/>
        <v>0</v>
      </c>
      <c r="AV22" s="67" t="str">
        <f t="shared" si="44"/>
        <v xml:space="preserve">   </v>
      </c>
      <c r="AW22" s="19" t="str">
        <f t="shared" si="45"/>
        <v xml:space="preserve">   </v>
      </c>
      <c r="AX22" s="19">
        <f t="shared" si="46"/>
        <v>0</v>
      </c>
      <c r="AY22" s="12" t="str">
        <f t="shared" si="47"/>
        <v xml:space="preserve">   </v>
      </c>
      <c r="AZ22" s="53" t="str">
        <f t="shared" si="11"/>
        <v xml:space="preserve">   </v>
      </c>
      <c r="BA22" s="12">
        <f t="shared" si="48"/>
        <v>0</v>
      </c>
      <c r="BB22" s="12" t="str">
        <f t="shared" si="12"/>
        <v xml:space="preserve">   </v>
      </c>
    </row>
    <row r="23" spans="1:54">
      <c r="A23" s="11">
        <f t="shared" si="13"/>
        <v>0</v>
      </c>
      <c r="B23" s="11">
        <v>19</v>
      </c>
      <c r="C23" s="11">
        <f t="shared" si="49"/>
        <v>0</v>
      </c>
      <c r="D23" s="69" t="str">
        <f t="shared" si="50"/>
        <v xml:space="preserve">   </v>
      </c>
      <c r="E23" s="68" t="str">
        <f t="shared" si="54"/>
        <v xml:space="preserve">   </v>
      </c>
      <c r="F23" s="68">
        <f t="shared" si="53"/>
        <v>0</v>
      </c>
      <c r="G23" s="11" t="str">
        <f t="shared" si="14"/>
        <v>Lote 19</v>
      </c>
      <c r="H23" s="62" t="str">
        <f t="shared" si="2"/>
        <v xml:space="preserve">   </v>
      </c>
      <c r="I23" s="62" t="str">
        <f t="shared" si="3"/>
        <v xml:space="preserve">   </v>
      </c>
      <c r="J23" s="63" t="str">
        <f t="shared" si="4"/>
        <v xml:space="preserve">   </v>
      </c>
      <c r="K23" s="57">
        <f t="shared" si="5"/>
        <v>0</v>
      </c>
      <c r="L23" s="57">
        <f>IF(A23&gt;0,$AE$4,0)</f>
        <v>0</v>
      </c>
      <c r="M23" s="59" t="str">
        <f t="shared" si="15"/>
        <v xml:space="preserve">   </v>
      </c>
      <c r="N23" s="59" t="str">
        <f t="shared" si="16"/>
        <v xml:space="preserve">   </v>
      </c>
      <c r="O23" s="59" t="str">
        <f t="shared" si="17"/>
        <v xml:space="preserve">   </v>
      </c>
      <c r="P23" s="59" t="str">
        <f t="shared" si="18"/>
        <v xml:space="preserve">   </v>
      </c>
      <c r="Q23" s="59" t="str">
        <f t="shared" si="19"/>
        <v xml:space="preserve">   </v>
      </c>
      <c r="R23" s="59" t="str">
        <f t="shared" si="20"/>
        <v xml:space="preserve">   </v>
      </c>
      <c r="S23" s="59" t="str">
        <f t="shared" si="21"/>
        <v xml:space="preserve">   </v>
      </c>
      <c r="T23" s="59" t="str">
        <f t="shared" si="22"/>
        <v xml:space="preserve">   </v>
      </c>
      <c r="U23" s="59" t="str">
        <f t="shared" si="23"/>
        <v xml:space="preserve">   </v>
      </c>
      <c r="V23" s="59" t="str">
        <f t="shared" si="24"/>
        <v xml:space="preserve">   </v>
      </c>
      <c r="W23" s="59" t="str">
        <f t="shared" si="25"/>
        <v xml:space="preserve">   </v>
      </c>
      <c r="X23" s="59" t="str">
        <f t="shared" si="26"/>
        <v xml:space="preserve">   </v>
      </c>
      <c r="Y23" s="59" t="str">
        <f t="shared" si="27"/>
        <v xml:space="preserve">   </v>
      </c>
      <c r="Z23" s="59" t="str">
        <f t="shared" si="28"/>
        <v xml:space="preserve">   </v>
      </c>
      <c r="AA23" s="59" t="str">
        <f t="shared" si="29"/>
        <v xml:space="preserve">   </v>
      </c>
      <c r="AB23" s="59" t="str">
        <f t="shared" si="30"/>
        <v xml:space="preserve">   </v>
      </c>
      <c r="AC23" s="59" t="str">
        <f t="shared" si="31"/>
        <v xml:space="preserve">   </v>
      </c>
      <c r="AD23" s="59" t="str">
        <f t="shared" si="32"/>
        <v xml:space="preserve">   </v>
      </c>
      <c r="AE23" s="59" t="str">
        <f t="shared" si="33"/>
        <v xml:space="preserve">   </v>
      </c>
      <c r="AF23" s="59" t="str">
        <f t="shared" si="34"/>
        <v xml:space="preserve">   </v>
      </c>
      <c r="AG23" s="12">
        <f t="shared" si="51"/>
        <v>0</v>
      </c>
      <c r="AH23" s="12">
        <f t="shared" si="35"/>
        <v>0</v>
      </c>
      <c r="AI23" s="12" t="str">
        <f t="shared" si="36"/>
        <v xml:space="preserve">   </v>
      </c>
      <c r="AJ23" s="53">
        <f t="shared" si="7"/>
        <v>0</v>
      </c>
      <c r="AK23" s="12">
        <f t="shared" si="37"/>
        <v>0</v>
      </c>
      <c r="AL23" s="12" t="str">
        <f t="shared" si="38"/>
        <v xml:space="preserve">   </v>
      </c>
      <c r="AM23" s="12" t="str">
        <f t="shared" si="8"/>
        <v xml:space="preserve">   </v>
      </c>
      <c r="AN23" s="12" t="str">
        <f t="shared" si="52"/>
        <v xml:space="preserve">   </v>
      </c>
      <c r="AO23" s="12" t="str">
        <f t="shared" si="39"/>
        <v xml:space="preserve">   </v>
      </c>
      <c r="AP23" s="19">
        <f t="shared" si="40"/>
        <v>0</v>
      </c>
      <c r="AQ23" s="19">
        <f t="shared" si="41"/>
        <v>0</v>
      </c>
      <c r="AR23" s="19">
        <f t="shared" si="9"/>
        <v>0</v>
      </c>
      <c r="AS23" s="19">
        <f t="shared" si="10"/>
        <v>0</v>
      </c>
      <c r="AT23" s="19" t="str">
        <f t="shared" si="42"/>
        <v xml:space="preserve">   </v>
      </c>
      <c r="AU23" s="19">
        <f t="shared" si="55"/>
        <v>0</v>
      </c>
      <c r="AV23" s="67" t="str">
        <f t="shared" si="44"/>
        <v xml:space="preserve">   </v>
      </c>
      <c r="AW23" s="19" t="str">
        <f t="shared" si="45"/>
        <v xml:space="preserve">   </v>
      </c>
      <c r="AX23" s="19">
        <f t="shared" si="46"/>
        <v>0</v>
      </c>
      <c r="AY23" s="12" t="str">
        <f t="shared" si="47"/>
        <v xml:space="preserve">   </v>
      </c>
      <c r="AZ23" s="53" t="str">
        <f t="shared" si="11"/>
        <v xml:space="preserve">   </v>
      </c>
      <c r="BA23" s="12">
        <f t="shared" si="48"/>
        <v>0</v>
      </c>
      <c r="BB23" s="12" t="str">
        <f t="shared" si="12"/>
        <v xml:space="preserve">   </v>
      </c>
    </row>
    <row r="24" spans="1:54">
      <c r="A24" s="11">
        <f t="shared" si="13"/>
        <v>0</v>
      </c>
      <c r="B24" s="11">
        <v>20</v>
      </c>
      <c r="C24" s="11">
        <f t="shared" si="49"/>
        <v>0</v>
      </c>
      <c r="D24" s="69" t="str">
        <f t="shared" si="50"/>
        <v xml:space="preserve">   </v>
      </c>
      <c r="E24" s="68" t="str">
        <f t="shared" si="54"/>
        <v xml:space="preserve">   </v>
      </c>
      <c r="F24" s="68">
        <f t="shared" si="53"/>
        <v>0</v>
      </c>
      <c r="G24" s="11" t="str">
        <f t="shared" si="14"/>
        <v>Lote 20</v>
      </c>
      <c r="H24" s="62" t="str">
        <f t="shared" si="2"/>
        <v xml:space="preserve">   </v>
      </c>
      <c r="I24" s="62" t="str">
        <f t="shared" si="3"/>
        <v xml:space="preserve">   </v>
      </c>
      <c r="J24" s="63" t="str">
        <f t="shared" si="4"/>
        <v xml:space="preserve">   </v>
      </c>
      <c r="K24" s="57">
        <f t="shared" si="5"/>
        <v>0</v>
      </c>
      <c r="L24" s="57">
        <f>IF(A24&gt;0,$AF$4,0)</f>
        <v>0</v>
      </c>
      <c r="M24" s="61">
        <f>IF(A24=0,0,IF((AG24+AH24+AK24)&lt;=$H$5,B24,0))</f>
        <v>0</v>
      </c>
      <c r="N24" s="61">
        <f>IF(A24=0,0,IF((AG24+AH24+AK24)&lt;=$H$6,B24,0))</f>
        <v>0</v>
      </c>
      <c r="O24" s="61">
        <f>IF(A24=0,0,IF((AG24+AH24+AK24)&lt;=$H$3,B24,0))</f>
        <v>0</v>
      </c>
      <c r="P24" s="61">
        <f>IF(A24=0,0,IF((AG24+AH24+AK24)&lt;=$H$4,B24,0))</f>
        <v>0</v>
      </c>
      <c r="Q24" s="61">
        <f>IF(A24=0,0,IF((AG24+AH24+AK24)&lt;=$H$5,B24,0))</f>
        <v>0</v>
      </c>
      <c r="R24" s="61">
        <f>IF(A24=0,0,IF((AG24+AH24+AK24)&lt;=$H$6,B24,0))</f>
        <v>0</v>
      </c>
      <c r="S24" s="61">
        <f>IF(A24=0,0,IF((AG24+AH24+AK24)&lt;=$H$7,B24,0))</f>
        <v>0</v>
      </c>
      <c r="T24" s="61">
        <f>IF(A24=0,0,IF((AG24+AH24+AK24)&lt;=$H$8,B24,0))</f>
        <v>0</v>
      </c>
      <c r="U24" s="61">
        <f>IF(A24=0,0,IF((AG24+AH24+AK24)&lt;=$H$9,B24,0))</f>
        <v>0</v>
      </c>
      <c r="V24" s="61">
        <f>IF(A24=0,0,IF((AG24+AH24+AK24)&lt;=$H$10,B24,0))</f>
        <v>0</v>
      </c>
      <c r="W24" s="61">
        <f>IF(A24=0,0,IF((AG24+AH24+AK24)&lt;=$H$11,B24,0))</f>
        <v>0</v>
      </c>
      <c r="X24" s="61">
        <f>IF(A24=0,0,IF((AG24+AH24+AK24)&lt;=$H$12,B24,0))</f>
        <v>0</v>
      </c>
      <c r="Y24" s="61">
        <f>IF(A24=0,0,IF((AG24+AH24+AK24)&lt;=$H$13,B24,0))</f>
        <v>0</v>
      </c>
      <c r="Z24" s="61">
        <f>IF(A24=0,0,IF((AG24+AH24+AK24)&lt;=$H$14,B24,0))</f>
        <v>0</v>
      </c>
      <c r="AA24" s="61">
        <f>IF(A24=0,0,IF((AG24+AH24+AK24)&lt;=$H$15,B24,0))</f>
        <v>0</v>
      </c>
      <c r="AB24" s="61">
        <f>IF(A24=0,0,IF((AG24+AH24+AK24)&lt;=$H$16,B24,0))</f>
        <v>0</v>
      </c>
      <c r="AC24" s="61">
        <f>IF(A24=0,0,IF((AG24+AH24+AK24)&lt;=$H$17,B24,0))</f>
        <v>0</v>
      </c>
      <c r="AD24" s="61">
        <f>IF(A24=0,0,IF((AG24+AH24+AK24)&lt;=$H$18,B24,0))</f>
        <v>0</v>
      </c>
      <c r="AE24" s="61">
        <f>IF(A24=0,0,IF((AG24+AH24+AK24)&lt;=$H$19,B24,0))</f>
        <v>0</v>
      </c>
      <c r="AF24" s="61">
        <f>IF(A24=0,0,IF((AG24+AH24+AK24)&lt;=$H$20,B24,0))</f>
        <v>0</v>
      </c>
      <c r="AG24" s="12">
        <f t="shared" si="51"/>
        <v>0</v>
      </c>
      <c r="AH24" s="12">
        <f t="shared" si="35"/>
        <v>0</v>
      </c>
      <c r="AI24" s="12" t="str">
        <f t="shared" si="36"/>
        <v xml:space="preserve">   </v>
      </c>
      <c r="AJ24" s="53">
        <f t="shared" si="7"/>
        <v>0</v>
      </c>
      <c r="AK24" s="12">
        <f t="shared" si="37"/>
        <v>0</v>
      </c>
      <c r="AL24" s="12" t="str">
        <f t="shared" si="38"/>
        <v xml:space="preserve">   </v>
      </c>
      <c r="AM24" s="12" t="str">
        <f t="shared" si="8"/>
        <v xml:space="preserve">   </v>
      </c>
      <c r="AN24" s="12" t="str">
        <f t="shared" si="52"/>
        <v xml:space="preserve">   </v>
      </c>
      <c r="AO24" s="12" t="str">
        <f t="shared" si="39"/>
        <v xml:space="preserve">   </v>
      </c>
      <c r="AP24" s="19">
        <f t="shared" si="40"/>
        <v>0</v>
      </c>
      <c r="AQ24" s="19">
        <f t="shared" si="41"/>
        <v>0</v>
      </c>
      <c r="AR24" s="19">
        <f t="shared" si="9"/>
        <v>0</v>
      </c>
      <c r="AS24" s="19">
        <f t="shared" si="10"/>
        <v>0</v>
      </c>
      <c r="AT24" s="19" t="str">
        <f t="shared" si="42"/>
        <v xml:space="preserve">   </v>
      </c>
      <c r="AU24" s="19">
        <f t="shared" si="55"/>
        <v>0</v>
      </c>
      <c r="AV24" s="67" t="str">
        <f t="shared" si="44"/>
        <v xml:space="preserve">   </v>
      </c>
      <c r="AW24" s="19" t="str">
        <f t="shared" si="45"/>
        <v xml:space="preserve">   </v>
      </c>
      <c r="AX24" s="19">
        <f t="shared" si="46"/>
        <v>0</v>
      </c>
      <c r="AY24" s="12" t="str">
        <f t="shared" si="47"/>
        <v xml:space="preserve">   </v>
      </c>
      <c r="AZ24" s="53" t="str">
        <f t="shared" si="11"/>
        <v xml:space="preserve">   </v>
      </c>
      <c r="BA24" s="12">
        <f t="shared" si="48"/>
        <v>0</v>
      </c>
      <c r="BB24" s="12" t="str">
        <f t="shared" si="12"/>
        <v xml:space="preserve">   </v>
      </c>
    </row>
    <row r="25" spans="1:54" ht="16.2">
      <c r="A25" s="11">
        <f t="shared" si="13"/>
        <v>2</v>
      </c>
      <c r="B25" s="11">
        <f>$AG$2</f>
        <v>11</v>
      </c>
      <c r="C25" s="3">
        <f>SUM(C5:C24)</f>
        <v>2</v>
      </c>
      <c r="M25" s="75" t="s">
        <v>47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2">
        <v>0</v>
      </c>
      <c r="AH25" s="12">
        <f>(AG2*AI2)+AG3+AI3</f>
        <v>18.763636363636365</v>
      </c>
      <c r="AI25" s="12">
        <f t="shared" ref="AI25" si="56">A25</f>
        <v>2</v>
      </c>
      <c r="AJ25" s="66">
        <f>IF(AND(B25&lt;$AG$2,AS25=1,AV25="(buffer)"),(-1)*$AG$3,0)+IF(A25=0,0,IF(IF(B25=$AG$2,$AG$3,IF(AW25="(buffer)",0,AI25)),IF(J26&gt;0,$AG$3,0)))</f>
        <v>0</v>
      </c>
      <c r="AK25" s="66">
        <f>IF(AND(B25&lt;$AG$2,AS25=1,AV25="(buffer)"),(-1)*$AG$3,0)+IF(A25=0,0,IF(IF(B25=$AG$2,$AG$3,IF(AW25="(buffer)",0,AI25)),IF(J26&gt;0,$AG$3,0)))</f>
        <v>0</v>
      </c>
      <c r="AL25" s="66">
        <f t="shared" ref="AL25" si="57">IF(AI25="   ","   ",AG25+AH25+AI25)</f>
        <v>20.763636363636365</v>
      </c>
      <c r="AM25" s="66">
        <f t="shared" si="8"/>
        <v>2</v>
      </c>
      <c r="AN25" s="66" t="str">
        <f>IF(AX25=0,"   ",IF(AO25="   ","   ",AO25-$AG$3))</f>
        <v xml:space="preserve">   </v>
      </c>
      <c r="AO25" s="40">
        <f t="shared" si="39"/>
        <v>20.763636363636365</v>
      </c>
      <c r="AP25" s="65">
        <f t="shared" ref="AP25" si="58">IF(AN25="   ",0,IF((OR(AND($AN$5&lt;=AN25,AN25&lt;=$AO$5),AND($AN$5&lt;=AO25,AO25&lt;=$AO$5))),1,0)+IF((OR(AND($AN$6&lt;=AN25,AN25&lt;=$AO$6),AND($AN$6&lt;=AO25,AO25&lt;=$AO$6))),1,0)+IF((OR(AND($AN$7&lt;=AN25,AN25&lt;=$AO$7),AND($AN$7&lt;=AO25,AO25&lt;=$AO$7))),1,0)+IF((OR(AND($AN$8&lt;=AN25,AN25&lt;=$AO$8),AND($AN$8&lt;=AO25,AO25&lt;=$AO$8))),1,0)+IF((OR(AND($AN$9&lt;=AN25,AN25&lt;=$AO$9),AND($AN$9&lt;=AO25,AO25&lt;=$AO$9))),1,0)+IF((OR(AND($AN$10&lt;=AN25,AN25&lt;=$AO$10),AND($AN$10&lt;=AO25,AO25&lt;=$AO$10))),1,0)+IF((OR(AND($AN$11&lt;=AN25,AN25&lt;=$AO$11),AND($AN$11&lt;=AO25,AO25&lt;=$AO$11))),1,0)+IF((OR(AND($AN$12&lt;=AN25,AN25&lt;=$AO$12),AND($AN$12&lt;=AO25,AO25&lt;=$AO$12))),1,0)+IF((OR(AND($AN$13&lt;=AN25,AN25&lt;=$AO$13),AND($AN$13&lt;=AO25,AO25&lt;=$AO$13))),1,0)+IF((OR(AND($AN$14&lt;=AN25,AN25&lt;=$AO$14),AND($AN$14&lt;=AO25,AO25&lt;=$AO$14))),1,0)+IF((OR(AND($AN$15&lt;=AN25,AN25&lt;=$AO$15),AND($AN$15&lt;=AO25,AO25&lt;=$AO$15))),1,0)+IF((OR(AND($AN$16&lt;=AN25,AN25&lt;=$AO$16),AND($AN$16&lt;=AO25,AO25&lt;=$AO$16))),1,0)+IF((OR(AND($AN$17&lt;=AN25,AN25&lt;=$AO$17),AND($AN$17&lt;=AO25,AO25&lt;=$AO$17))),1,0)+IF((OR(AND($AN$18&lt;=AN25,AN25&lt;=$AO$18),AND($AN$18&lt;=AO25,AO25&lt;=$AO$18))),1,0)+IF((OR(AND($AN$19&lt;=AN25,AN25&lt;=$AO$19),AND($AN$19&lt;=AO25,AO25&lt;=$AO$19))),1,0)+IF((OR(AND($AN$20&lt;=AN25,AN25&lt;=$AO$20),AND($AN$20&lt;=AO25,AO25&lt;=$AO$20))),1,0)+IF((OR(AND($AN$21&lt;=AN25,AN25&lt;=$AO$21),AND($AN$21&lt;=AO25,AO25&lt;=$AO$21))),1,0)+IF((OR(AND($AN$22&lt;=AN25,AN25&lt;=$AO$22),AND($AN$22&lt;=AO25,AO25&lt;=$AO$22))),1,0)+IF((OR(AND($AN$23&lt;=AN25,AN25&lt;=$AO$23),AND($AN$23&lt;=AO25,AO25&lt;=$AO$23))),1,0)+IF((OR(AND($AN$24&lt;=AN25,AN25&lt;=$AO$24),AND($AN$24&lt;=AO25,AO25&lt;=$AO$24))),1,0)-1)</f>
        <v>0</v>
      </c>
      <c r="AQ25" s="65">
        <f t="shared" si="41"/>
        <v>1</v>
      </c>
      <c r="AR25" s="65">
        <f t="shared" si="9"/>
        <v>1</v>
      </c>
      <c r="AS25" s="65">
        <f t="shared" si="10"/>
        <v>1</v>
      </c>
      <c r="AT25" s="65"/>
      <c r="AU25" s="65"/>
      <c r="AV25" s="65" t="str">
        <f>IF(AW25="(buffer)","   ",IF(AND(AX24=1,AX25=1,AX26=1),"(buffer)",IF(B25=$AG$2,"(buffer)","   ")))</f>
        <v>(buffer)</v>
      </c>
      <c r="AW25" s="65" t="str">
        <f>IF(AP25=0,IF(AND(AR25=0,AX25=0,AW26="(buffer)"),"(buffer)","   "),IF(AND(AR25=0,AX25=0,AW26="(buffer)"),"(buffer)",IF(OR(AND(AR25=1,AR26=0,AR27=0),AND(AR25=0,AR26=0)),IF(($BD$2/$AG$2)&gt;$AO$2,IF(AND(AR25=0,AX25=0,AW26="(buffer)"),"(buffer)","   "),"(buffer)"),IF(AR25=0,IF(B25=$AG$2,IF(($BD$2/$AG$2)&gt;$AO$2,IF(AND(AR25=0,AX25=0,AW26="(buffer)"),"(buffer)","   "),"(buffer)"),AQ25),IF(AND(AR25=0,AX24=1,AX25=1,AX26=1),"(buffer)","   ")))))</f>
        <v xml:space="preserve">   </v>
      </c>
      <c r="BA25" s="12">
        <f t="shared" si="48"/>
        <v>0.76363636363636367</v>
      </c>
      <c r="BB25" s="40">
        <f>AG25+AH25</f>
        <v>18.763636363636365</v>
      </c>
    </row>
    <row r="26" spans="1:54">
      <c r="AI26" s="41"/>
      <c r="AJ26" s="52"/>
      <c r="AK26" s="52"/>
    </row>
    <row r="27" spans="1:54">
      <c r="AH27" s="15" t="s">
        <v>35</v>
      </c>
    </row>
    <row r="28" spans="1:54">
      <c r="AD28" s="70" t="s">
        <v>37</v>
      </c>
      <c r="AE28" s="70"/>
      <c r="AF28" s="70"/>
      <c r="AG28" s="4">
        <f>(AI2/BE2)</f>
        <v>3.6363636363636362</v>
      </c>
      <c r="AH28" s="3">
        <f>ROUNDUP(AG28,0)</f>
        <v>4</v>
      </c>
    </row>
    <row r="29" spans="1:54">
      <c r="AD29" s="70" t="s">
        <v>2</v>
      </c>
      <c r="AE29" s="70"/>
      <c r="AF29" s="70"/>
      <c r="AG29" s="4">
        <f>(AI3/BE3)</f>
        <v>1.8181818181818183</v>
      </c>
      <c r="AH29" s="3">
        <f>ROUNDUP(AG29,0)</f>
        <v>2</v>
      </c>
    </row>
    <row r="31" spans="1:54">
      <c r="AI31" s="17" t="s">
        <v>36</v>
      </c>
      <c r="AK31" s="6" t="s">
        <v>0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B31" s="37"/>
    </row>
    <row r="32" spans="1:54">
      <c r="AI32" s="18" t="s">
        <v>37</v>
      </c>
      <c r="AJ32" s="20">
        <f>ROUNDUP($AG$3/BE2,0)</f>
        <v>5</v>
      </c>
      <c r="AK32" s="12">
        <f>BD2/AJ32</f>
        <v>8</v>
      </c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B32" s="38"/>
    </row>
    <row r="33" spans="8:74">
      <c r="AI33" s="18" t="s">
        <v>2</v>
      </c>
      <c r="AJ33" s="19">
        <f>ROUNDUP($AG$3/BE3,0)</f>
        <v>5</v>
      </c>
      <c r="AK33" s="21">
        <f>BD3/AJ33</f>
        <v>4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B33" s="38"/>
    </row>
    <row r="34" spans="8:74">
      <c r="AI34" s="18" t="s">
        <v>38</v>
      </c>
      <c r="AJ34" s="20">
        <f>IF(AJ33&lt;(AJ32/BF5),AJ32/BF5,AJ33)</f>
        <v>5</v>
      </c>
    </row>
    <row r="35" spans="8:74">
      <c r="BC35" s="11">
        <f t="shared" ref="BC35:BO35" si="59">BD35+1</f>
        <v>20</v>
      </c>
      <c r="BD35" s="11">
        <f t="shared" si="59"/>
        <v>19</v>
      </c>
      <c r="BE35" s="11">
        <f t="shared" si="59"/>
        <v>18</v>
      </c>
      <c r="BF35" s="11">
        <f t="shared" si="59"/>
        <v>17</v>
      </c>
      <c r="BG35" s="11">
        <f t="shared" si="59"/>
        <v>16</v>
      </c>
      <c r="BH35" s="11">
        <f t="shared" si="59"/>
        <v>15</v>
      </c>
      <c r="BI35" s="11">
        <f t="shared" si="59"/>
        <v>14</v>
      </c>
      <c r="BJ35" s="11">
        <f t="shared" si="59"/>
        <v>13</v>
      </c>
      <c r="BK35" s="11">
        <f t="shared" si="59"/>
        <v>12</v>
      </c>
      <c r="BL35" s="11">
        <f t="shared" si="59"/>
        <v>11</v>
      </c>
      <c r="BM35" s="11">
        <f t="shared" si="59"/>
        <v>10</v>
      </c>
      <c r="BN35" s="11">
        <f t="shared" si="59"/>
        <v>9</v>
      </c>
      <c r="BO35" s="11">
        <f t="shared" si="59"/>
        <v>8</v>
      </c>
      <c r="BP35" s="11">
        <f>BQ35+1</f>
        <v>7</v>
      </c>
      <c r="BQ35" s="11">
        <v>6</v>
      </c>
      <c r="BR35" s="11">
        <v>5</v>
      </c>
      <c r="BS35" s="11">
        <v>4</v>
      </c>
      <c r="BT35" s="31">
        <v>3</v>
      </c>
      <c r="BU35" s="31">
        <v>2</v>
      </c>
      <c r="BV35" s="31">
        <v>1</v>
      </c>
    </row>
    <row r="36" spans="8:74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11">
        <v>4</v>
      </c>
      <c r="AH36" s="14">
        <f>(BE2*(BD2/AG36))/BE3</f>
        <v>9.5238095238095237</v>
      </c>
      <c r="BB36" s="3">
        <v>1</v>
      </c>
      <c r="BC36" s="32">
        <f>IF($AM$24="   ",0,$AI$2+$AG$3+$AM$24+$AG$24)</f>
        <v>0</v>
      </c>
      <c r="BD36" s="32">
        <f>IF($AM$23="   ",0,$AI$2+$AG$3+$AM$23+$AG$23)</f>
        <v>0</v>
      </c>
      <c r="BE36" s="32">
        <f>IF($AM$22="   ",0,$AI$2+$AG$3+$AM$22+$AG$22)</f>
        <v>0</v>
      </c>
      <c r="BF36" s="32">
        <f>IF($AM$21="   ",0,$AI$2+$AG$3+$AM$21+$AG$21)</f>
        <v>0</v>
      </c>
      <c r="BG36" s="32">
        <f>IF($AM$20="   ",0,$AI$2+$AG$3+$AM$20+$AG$20)</f>
        <v>0</v>
      </c>
      <c r="BH36" s="32">
        <f>IF($AM$19="   ",0,$AI$2+$AG$3+$AM$19+$AG$19)</f>
        <v>0</v>
      </c>
      <c r="BI36" s="32">
        <f>IF($AM$18="   ",0,$AI$2+$AG$3+$AM$18+$AG$18)</f>
        <v>0</v>
      </c>
      <c r="BJ36" s="32">
        <f>IF($AM$17="   ",0,$AI$2+$AG$3+$AM$17+$AG$17)</f>
        <v>0</v>
      </c>
      <c r="BK36" s="32">
        <f>IF($AM$16="   ",0,$AI$2+$AG$3+$AM$16+$AG$16)</f>
        <v>0</v>
      </c>
      <c r="BL36" s="32">
        <f>IF($AM$15="   ",0,$AI$2+$AG$3+$AM$15+$AG$15)</f>
        <v>0</v>
      </c>
      <c r="BM36" s="32">
        <f>IF($AM$14="   ",0,$AI$2+$AG$3+$AM$14+$AG$14)</f>
        <v>19.236363636363635</v>
      </c>
      <c r="BN36" s="32">
        <f>IF($AM$13="   ",0,$AI$2+$AG$3+$AM$13+$AG$13)</f>
        <v>18.472727272727276</v>
      </c>
      <c r="BO36" s="32">
        <f>IF($AM$12="   ",0,$AI$2+$AG$3+$AM$12+$AG$12)</f>
        <v>17.709090909090911</v>
      </c>
      <c r="BP36" s="32">
        <f>IF($AM$11="   ",0,$AI$2+$AG$3+$AM$11+$AG$11)</f>
        <v>16.945454545454545</v>
      </c>
      <c r="BQ36" s="32">
        <f>IF($AM$10="   ",0,$AI$2+$AG$3+$AM$10+$AG$10)</f>
        <v>16.181818181818187</v>
      </c>
      <c r="BR36" s="32">
        <f>IF($AM$9="   ",0,$AI$2+$AG$3+$AM$9+$AG$9)</f>
        <v>13.418181818181811</v>
      </c>
      <c r="BS36" s="32">
        <f>IF($AM$8="   ",0,$AI$2+$AG$3+$AM$8+$AG$8)</f>
        <v>14.654545454545458</v>
      </c>
      <c r="BT36" s="32">
        <f>IF($AM$7="   ",0,$AI$2+$AG$3+$AM$7+$AG$7)</f>
        <v>13.890909090909094</v>
      </c>
      <c r="BU36" s="32">
        <f>IF($AM$6="   ",0,$AI$2+$AG$3+$AM$6+$AG$6)</f>
        <v>13.127272727272725</v>
      </c>
      <c r="BV36" s="32">
        <f>IF($AM$5="   ",0,$AI$2+$AG$3+$AM$5+$AG$5)</f>
        <v>12.36363636363636</v>
      </c>
    </row>
    <row r="37" spans="8:74">
      <c r="BB37" s="3">
        <v>2</v>
      </c>
      <c r="BC37" s="16">
        <f>IF($AM$24="   ",0,$AG$24+$AI$2+$AG$3)</f>
        <v>0</v>
      </c>
      <c r="BD37" s="16">
        <f>IF($AM$23="   ",0,$AG$23+$AI$2+$AG$3)</f>
        <v>0</v>
      </c>
      <c r="BE37" s="16">
        <f>IF($AM$22="   ",0,$AG$22+$AI$2+$AG$3)</f>
        <v>0</v>
      </c>
      <c r="BF37" s="16">
        <f>IF($AM$21="   ",0,$AG$21+$AI$2+$AG$3)</f>
        <v>0</v>
      </c>
      <c r="BG37" s="16">
        <f>IF($AM$20="   ",0,$AG$20+$AI$2+$AG$3)</f>
        <v>0</v>
      </c>
      <c r="BH37" s="16">
        <f>IF($AM$19="   ",0,$AG$19+$AI$2+$AG$3)</f>
        <v>0</v>
      </c>
      <c r="BI37" s="16">
        <f>IF($AM$18="   ",0,$AG$18+$AI$2+$AG$3)</f>
        <v>0</v>
      </c>
      <c r="BJ37" s="16">
        <f>IF($AM$17="   ",0,$AG$17+$AI$2+$AG$3)</f>
        <v>0</v>
      </c>
      <c r="BK37" s="16">
        <f>IF($AM$16="   ",0,$AG$16+$AI$2+$AG$3)</f>
        <v>0</v>
      </c>
      <c r="BL37" s="16">
        <f>IF($AM$15="   ",0,$AG$15+$AI$2+$AG$3)</f>
        <v>0</v>
      </c>
      <c r="BM37" s="16">
        <f>IF($AM$14="   ",0,$AG$14+$AI$2+$AG$3)</f>
        <v>16.545454545454547</v>
      </c>
      <c r="BN37" s="16">
        <f>IF($AM$13="   ",0,$AG$13+$AI$2+$AG$3)</f>
        <v>15.090909090909092</v>
      </c>
      <c r="BO37" s="16">
        <f>IF($AM$12="   ",0,$AG$12+$AI$2+$AG$3)</f>
        <v>13.636363636363637</v>
      </c>
      <c r="BP37" s="16">
        <f>IF($AM$11="   ",0,$AG$11+$AI$2+$AG$3)</f>
        <v>12.181818181818182</v>
      </c>
      <c r="BQ37" s="16">
        <f>IF($AM$10="   ",0,$AG$10+$AI$2+$AG$3)</f>
        <v>10.727272727272728</v>
      </c>
      <c r="BR37" s="16">
        <f>IF($AM$9="   ",0,$AG$9+$AI$2+$AG$3)</f>
        <v>9.2727272727272734</v>
      </c>
      <c r="BS37" s="16">
        <f>IF($AM$8="   ",0,$AG$8+$AI$2+$AG$3)</f>
        <v>7.8181818181818183</v>
      </c>
      <c r="BT37" s="16">
        <f>IF($AM$7="   ",0,$AG$7+$AI$2+$AG$3)</f>
        <v>6.3636363636363633</v>
      </c>
      <c r="BU37" s="16">
        <f>IF($AM$6="   ",0,$AG$6+$AI$2+$AG$3)</f>
        <v>4.9090909090909092</v>
      </c>
      <c r="BV37" s="16">
        <f>IF($AM$5="   ",0,$AG$5+$AI$2+$AG$3)</f>
        <v>3.4545454545454546</v>
      </c>
    </row>
    <row r="38" spans="8:74">
      <c r="BC38" s="12">
        <f t="shared" ref="BC38:BO38" si="60">BC36-BC37</f>
        <v>0</v>
      </c>
      <c r="BD38" s="12">
        <f t="shared" si="60"/>
        <v>0</v>
      </c>
      <c r="BE38" s="12">
        <f t="shared" si="60"/>
        <v>0</v>
      </c>
      <c r="BF38" s="12">
        <f t="shared" si="60"/>
        <v>0</v>
      </c>
      <c r="BG38" s="12">
        <f t="shared" si="60"/>
        <v>0</v>
      </c>
      <c r="BH38" s="12">
        <f t="shared" si="60"/>
        <v>0</v>
      </c>
      <c r="BI38" s="12">
        <f t="shared" si="60"/>
        <v>0</v>
      </c>
      <c r="BJ38" s="12">
        <f t="shared" si="60"/>
        <v>0</v>
      </c>
      <c r="BK38" s="12">
        <f t="shared" si="60"/>
        <v>0</v>
      </c>
      <c r="BL38" s="12">
        <f t="shared" si="60"/>
        <v>0</v>
      </c>
      <c r="BM38" s="12">
        <f t="shared" si="60"/>
        <v>2.6909090909090878</v>
      </c>
      <c r="BN38" s="12">
        <f t="shared" si="60"/>
        <v>3.3818181818181845</v>
      </c>
      <c r="BO38" s="12">
        <f t="shared" si="60"/>
        <v>4.0727272727272741</v>
      </c>
      <c r="BP38" s="12">
        <f>BP36-BP37</f>
        <v>4.7636363636363637</v>
      </c>
      <c r="BQ38" s="12">
        <f>BQ36-BQ37</f>
        <v>5.4545454545454586</v>
      </c>
      <c r="BR38" s="12">
        <f t="shared" ref="BR38:BV38" si="61">BR36-BR37</f>
        <v>4.1454545454545375</v>
      </c>
      <c r="BS38" s="12">
        <f t="shared" si="61"/>
        <v>6.8363636363636395</v>
      </c>
      <c r="BT38" s="12">
        <f t="shared" si="61"/>
        <v>7.5272727272727309</v>
      </c>
      <c r="BU38" s="12">
        <f t="shared" si="61"/>
        <v>8.2181818181818151</v>
      </c>
      <c r="BV38" s="12">
        <f t="shared" si="61"/>
        <v>8.9090909090909047</v>
      </c>
    </row>
    <row r="40" spans="8:74">
      <c r="BB40" s="33" t="s">
        <v>44</v>
      </c>
      <c r="BJ40" s="7" t="s">
        <v>55</v>
      </c>
      <c r="BR40" s="7"/>
      <c r="BT40" s="34"/>
    </row>
    <row r="41" spans="8:74">
      <c r="BJ41" s="7" t="s">
        <v>57</v>
      </c>
      <c r="BR41" s="7"/>
    </row>
    <row r="42" spans="8:74">
      <c r="BJ42" s="35" t="s">
        <v>51</v>
      </c>
    </row>
    <row r="43" spans="8:74">
      <c r="BB43" s="33" t="s">
        <v>45</v>
      </c>
      <c r="BJ43" s="36" t="s">
        <v>52</v>
      </c>
    </row>
    <row r="45" spans="8:74">
      <c r="BB45" s="7" t="s">
        <v>58</v>
      </c>
    </row>
  </sheetData>
  <mergeCells count="10">
    <mergeCell ref="AD29:AF29"/>
    <mergeCell ref="AD3:AF3"/>
    <mergeCell ref="M25:AF25"/>
    <mergeCell ref="AN3:AP3"/>
    <mergeCell ref="AJ4:AK4"/>
    <mergeCell ref="D5:F5"/>
    <mergeCell ref="AS4:AW4"/>
    <mergeCell ref="AS3:AW3"/>
    <mergeCell ref="AD2:AF2"/>
    <mergeCell ref="AD28:AF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teta</vt:lpstr>
      <vt:lpstr>Lead_Time_P=&lt;M</vt:lpstr>
      <vt:lpstr>Lead_Time_P&gt;M</vt:lpstr>
      <vt:lpstr>Lead_Time_P&gt;M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Darcy</cp:lastModifiedBy>
  <dcterms:created xsi:type="dcterms:W3CDTF">2019-05-07T15:10:05Z</dcterms:created>
  <dcterms:modified xsi:type="dcterms:W3CDTF">2019-06-12T23:28:17Z</dcterms:modified>
</cp:coreProperties>
</file>