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460" windowWidth="27360" windowHeight="22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<sst xmlns="http://schemas.openxmlformats.org/spreadsheetml/2006/main" count="169" uniqueCount="93">
  <si>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 xml:space="preserve"> </t>
  </si>
  <si>
    <t>Prof. Eliseu Martins</t>
  </si>
  <si>
    <t>Disponibilidade</t>
  </si>
  <si>
    <t>Fornecedores</t>
  </si>
  <si>
    <t>Aplic. Financeiras</t>
  </si>
  <si>
    <t>Empréstimos LP</t>
  </si>
  <si>
    <t>Clientes</t>
  </si>
  <si>
    <t>Passivo</t>
  </si>
  <si>
    <t>Estoques</t>
  </si>
  <si>
    <t>Capital</t>
  </si>
  <si>
    <t>Imobilizado</t>
  </si>
  <si>
    <t>Lucros Acumul.</t>
  </si>
  <si>
    <t>Dep. Acumulada</t>
  </si>
  <si>
    <t>PL</t>
  </si>
  <si>
    <t>Ativo</t>
  </si>
  <si>
    <t>Vendas</t>
  </si>
  <si>
    <t>CMV</t>
  </si>
  <si>
    <t>Lucro Bruto</t>
  </si>
  <si>
    <t>Depreciação</t>
  </si>
  <si>
    <t>Desp. Operacionais</t>
  </si>
  <si>
    <t>Rec. Financeiras</t>
  </si>
  <si>
    <t>Desp. Financeiras</t>
  </si>
  <si>
    <t>LAIR</t>
  </si>
  <si>
    <t>Imposto Renda</t>
  </si>
  <si>
    <t>LL</t>
  </si>
  <si>
    <t>b) alíquota nominal do IR = 30% s/ lucro histórico</t>
  </si>
  <si>
    <t>c) inflação anual homogeneamente distribuída =</t>
  </si>
  <si>
    <t>Pede-se:</t>
  </si>
  <si>
    <t xml:space="preserve">      com estoques finais  comprados e pagos próximo ao final do ano</t>
  </si>
  <si>
    <t xml:space="preserve">    margem operacional, margem líquida e taxas de retorno dos ativos financeiro, operacional </t>
  </si>
  <si>
    <t>Correção Integral</t>
  </si>
  <si>
    <t>Soc./Fiscal</t>
  </si>
  <si>
    <t>Perdas no Caixa</t>
  </si>
  <si>
    <t>Lucro "Operacional"</t>
  </si>
  <si>
    <t>CMB</t>
  </si>
  <si>
    <t>P + PL</t>
  </si>
  <si>
    <t xml:space="preserve">              DEPTO. CONTABILIDADE    - Análise de Balanços</t>
  </si>
  <si>
    <t>1) Demonstrações pelo método societário/fiscal brasileiro até 1995</t>
  </si>
  <si>
    <t>2) Demonstrações corrigidas pela correção integral supondo transações a vista e:</t>
  </si>
  <si>
    <t>"Lucro Operacional"</t>
  </si>
  <si>
    <t>1) Demonstrações corrigidas pelo método societário/brasileiro antigo</t>
  </si>
  <si>
    <t>2) Demonstrações pela Correção Integral</t>
  </si>
  <si>
    <t>(a)</t>
  </si>
  <si>
    <t>Estoque Inicial</t>
  </si>
  <si>
    <t>Compras</t>
  </si>
  <si>
    <t>Estoque Final</t>
  </si>
  <si>
    <t>(b) Perdas no Caixa</t>
  </si>
  <si>
    <t>Saldo inicial do Caixa</t>
  </si>
  <si>
    <t>Despesas Operacionais</t>
  </si>
  <si>
    <t>Receitas Financeiras</t>
  </si>
  <si>
    <t>Despesas Financeiras</t>
  </si>
  <si>
    <t>Imposto de Renda</t>
  </si>
  <si>
    <t>(b)</t>
  </si>
  <si>
    <t>Fluxo Nominal</t>
  </si>
  <si>
    <t>Percentual</t>
  </si>
  <si>
    <t>Perdas/Ganhos</t>
  </si>
  <si>
    <t xml:space="preserve">a) Vendas, Compras, Despesas, pagamentos e recebimentos  homogenamente durante 2001, </t>
  </si>
  <si>
    <t>5) E se os ativos forem vendidos pelo valor corrigido e a empresa liquidada em 01/01/02?</t>
  </si>
  <si>
    <t>Com IR Diferido</t>
  </si>
  <si>
    <t>(a) CMV</t>
  </si>
  <si>
    <t>Nominal</t>
  </si>
  <si>
    <t>Passivo + PL</t>
  </si>
  <si>
    <t>I R Diferido</t>
  </si>
  <si>
    <t>-</t>
  </si>
  <si>
    <t>Cor. Integral</t>
  </si>
  <si>
    <t>Perda no Caixa</t>
  </si>
  <si>
    <t>ILG</t>
  </si>
  <si>
    <t>4) Índices de liquidez,  imobilização do capital próprio e endividamento, margem bruta</t>
  </si>
  <si>
    <t>Imob. Capital Próprio</t>
  </si>
  <si>
    <t>Lucro dos Ativos</t>
  </si>
  <si>
    <t>Margem Bruta</t>
  </si>
  <si>
    <t>Margem Operacional</t>
  </si>
  <si>
    <t>Lucro Operacional</t>
  </si>
  <si>
    <t>Retorno Operacional</t>
  </si>
  <si>
    <t>Retorno dos Ativos</t>
  </si>
  <si>
    <t xml:space="preserve">     e total, custo do passivo e retorno do patrimônio líquido </t>
  </si>
  <si>
    <t>Margem Líquida</t>
  </si>
  <si>
    <t>Custo Empréstimos</t>
  </si>
  <si>
    <t>Retorno Pat. Líquido</t>
  </si>
  <si>
    <t>Indicadores</t>
  </si>
  <si>
    <t>Retorno Ativos Financeiros</t>
  </si>
  <si>
    <t>Nominal 2001</t>
  </si>
  <si>
    <t>Correção Integral 2001</t>
  </si>
  <si>
    <t>P/PL</t>
  </si>
  <si>
    <t>IR sobre lucro efetivo</t>
  </si>
  <si>
    <t>IR sobre CM do PL</t>
  </si>
  <si>
    <t>Com  Ir efetivo</t>
  </si>
  <si>
    <t>a) Empresa formada em 02/01/1999</t>
  </si>
  <si>
    <t>b) Despesas Financeiras e IR só ao final do ano; Receitas Financeiras não recebidas e Empréstimo não amortizado</t>
  </si>
  <si>
    <t>3) Análise das diferenças entre as demonstrações nominais e com correção integral</t>
  </si>
  <si>
    <t xml:space="preserve">          FEA/USP</t>
  </si>
  <si>
    <t>Exercício 4</t>
  </si>
  <si>
    <t>Exercício 4 Solução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</si>
</sst>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\R\$#,##0_);\(\R\$#,##0\)"/>
    <numFmt numFmtId="179" formatCode="_(&quot;R$ &quot;* #,##0_);_(&quot;R$ &quot;* \(#,##0\);_(&quot;R$ &quot;* &quot;-&quot;??_);_(@_)"/>
    <numFmt numFmtId="180" formatCode="_(* #,##0_);_(* \(#,##0\);_(* &quot;-&quot;??_);_(@_)"/>
    <numFmt numFmtId="181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quotePrefix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0" borderId="10" xfId="0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14" fontId="43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9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14" xfId="44" applyNumberFormat="1" applyFont="1" applyFill="1" applyBorder="1" applyAlignment="1">
      <alignment/>
    </xf>
    <xf numFmtId="179" fontId="44" fillId="0" borderId="0" xfId="44" applyNumberFormat="1" applyFont="1" applyFill="1" applyBorder="1" applyAlignment="1">
      <alignment/>
    </xf>
    <xf numFmtId="179" fontId="44" fillId="0" borderId="14" xfId="44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179" fontId="0" fillId="0" borderId="16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7" xfId="44" applyNumberFormat="1" applyFont="1" applyFill="1" applyBorder="1" applyAlignment="1">
      <alignment/>
    </xf>
    <xf numFmtId="179" fontId="0" fillId="0" borderId="0" xfId="44" applyNumberFormat="1" applyFont="1" applyFill="1" applyAlignment="1">
      <alignment/>
    </xf>
    <xf numFmtId="179" fontId="0" fillId="0" borderId="11" xfId="44" applyNumberFormat="1" applyFont="1" applyFill="1" applyBorder="1" applyAlignment="1">
      <alignment/>
    </xf>
    <xf numFmtId="0" fontId="43" fillId="0" borderId="12" xfId="0" applyNumberFormat="1" applyFont="1" applyFill="1" applyBorder="1" applyAlignment="1">
      <alignment horizontal="center"/>
    </xf>
    <xf numFmtId="171" fontId="0" fillId="0" borderId="0" xfId="42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44" fillId="0" borderId="14" xfId="0" applyNumberFormat="1" applyFont="1" applyFill="1" applyBorder="1" applyAlignment="1">
      <alignment/>
    </xf>
    <xf numFmtId="179" fontId="41" fillId="0" borderId="0" xfId="44" applyNumberFormat="1" applyFont="1" applyFill="1" applyBorder="1" applyAlignment="1">
      <alignment/>
    </xf>
    <xf numFmtId="179" fontId="45" fillId="0" borderId="0" xfId="44" applyNumberFormat="1" applyFont="1" applyFill="1" applyBorder="1" applyAlignment="1">
      <alignment/>
    </xf>
    <xf numFmtId="179" fontId="45" fillId="0" borderId="14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44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41" fillId="0" borderId="14" xfId="0" applyNumberFormat="1" applyFont="1" applyFill="1" applyBorder="1" applyAlignment="1">
      <alignment/>
    </xf>
    <xf numFmtId="179" fontId="41" fillId="0" borderId="17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79" fontId="0" fillId="0" borderId="18" xfId="0" applyNumberFormat="1" applyFill="1" applyBorder="1" applyAlignment="1">
      <alignment/>
    </xf>
    <xf numFmtId="179" fontId="44" fillId="0" borderId="18" xfId="0" applyNumberFormat="1" applyFon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79" fontId="41" fillId="0" borderId="14" xfId="44" applyNumberFormat="1" applyFont="1" applyFill="1" applyBorder="1" applyAlignment="1">
      <alignment/>
    </xf>
    <xf numFmtId="179" fontId="45" fillId="0" borderId="14" xfId="44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16" xfId="44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4" fontId="43" fillId="0" borderId="10" xfId="0" applyNumberFormat="1" applyFont="1" applyFill="1" applyBorder="1" applyAlignment="1">
      <alignment horizontal="center"/>
    </xf>
    <xf numFmtId="14" fontId="43" fillId="0" borderId="12" xfId="0" applyNumberFormat="1" applyFont="1" applyFill="1" applyBorder="1" applyAlignment="1">
      <alignment horizontal="left"/>
    </xf>
    <xf numFmtId="179" fontId="0" fillId="0" borderId="13" xfId="44" applyNumberFormat="1" applyFont="1" applyFill="1" applyBorder="1" applyAlignment="1">
      <alignment/>
    </xf>
    <xf numFmtId="179" fontId="44" fillId="0" borderId="13" xfId="44" applyNumberFormat="1" applyFont="1" applyFill="1" applyBorder="1" applyAlignment="1">
      <alignment/>
    </xf>
    <xf numFmtId="179" fontId="0" fillId="0" borderId="15" xfId="44" applyNumberFormat="1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44" fillId="0" borderId="13" xfId="0" applyNumberFormat="1" applyFont="1" applyFill="1" applyBorder="1" applyAlignment="1">
      <alignment/>
    </xf>
    <xf numFmtId="179" fontId="0" fillId="0" borderId="15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9" fontId="0" fillId="0" borderId="0" xfId="57" applyFont="1" applyFill="1" applyBorder="1" applyAlignment="1">
      <alignment/>
    </xf>
    <xf numFmtId="179" fontId="0" fillId="0" borderId="13" xfId="44" applyNumberFormat="1" applyFont="1" applyFill="1" applyBorder="1" applyAlignment="1">
      <alignment/>
    </xf>
    <xf numFmtId="179" fontId="0" fillId="0" borderId="14" xfId="44" applyNumberFormat="1" applyFont="1" applyFill="1" applyBorder="1" applyAlignment="1">
      <alignment/>
    </xf>
    <xf numFmtId="179" fontId="0" fillId="0" borderId="15" xfId="44" applyNumberFormat="1" applyFont="1" applyFill="1" applyBorder="1" applyAlignment="1">
      <alignment/>
    </xf>
    <xf numFmtId="179" fontId="0" fillId="0" borderId="17" xfId="44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179" fontId="4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45" fillId="0" borderId="18" xfId="0" applyNumberFormat="1" applyFont="1" applyFill="1" applyBorder="1" applyAlignment="1">
      <alignment/>
    </xf>
    <xf numFmtId="179" fontId="44" fillId="0" borderId="19" xfId="44" applyNumberFormat="1" applyFont="1" applyFill="1" applyBorder="1" applyAlignment="1">
      <alignment/>
    </xf>
    <xf numFmtId="0" fontId="43" fillId="0" borderId="19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2" fontId="0" fillId="0" borderId="0" xfId="0" applyNumberFormat="1" applyFill="1" applyAlignment="1">
      <alignment/>
    </xf>
    <xf numFmtId="179" fontId="46" fillId="0" borderId="14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81" fontId="41" fillId="0" borderId="0" xfId="57" applyNumberFormat="1" applyFont="1" applyFill="1" applyBorder="1" applyAlignment="1">
      <alignment/>
    </xf>
    <xf numFmtId="181" fontId="0" fillId="0" borderId="0" xfId="57" applyNumberFormat="1" applyFont="1" applyFill="1" applyBorder="1" applyAlignment="1">
      <alignment/>
    </xf>
    <xf numFmtId="181" fontId="0" fillId="0" borderId="0" xfId="57" applyNumberFormat="1" applyFont="1" applyFill="1" applyBorder="1" applyAlignment="1">
      <alignment/>
    </xf>
    <xf numFmtId="181" fontId="41" fillId="0" borderId="16" xfId="57" applyNumberFormat="1" applyFont="1" applyFill="1" applyBorder="1" applyAlignment="1">
      <alignment/>
    </xf>
    <xf numFmtId="181" fontId="0" fillId="0" borderId="16" xfId="57" applyNumberFormat="1" applyFont="1" applyFill="1" applyBorder="1" applyAlignment="1">
      <alignment/>
    </xf>
    <xf numFmtId="179" fontId="0" fillId="0" borderId="20" xfId="0" applyNumberFormat="1" applyFill="1" applyBorder="1" applyAlignment="1">
      <alignment/>
    </xf>
    <xf numFmtId="179" fontId="44" fillId="0" borderId="18" xfId="44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14" fontId="0" fillId="0" borderId="15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9" fontId="0" fillId="0" borderId="19" xfId="57" applyFont="1" applyFill="1" applyBorder="1" applyAlignment="1">
      <alignment/>
    </xf>
    <xf numFmtId="9" fontId="0" fillId="0" borderId="21" xfId="57" applyFont="1" applyFill="1" applyBorder="1" applyAlignment="1">
      <alignment/>
    </xf>
    <xf numFmtId="9" fontId="0" fillId="0" borderId="22" xfId="57" applyFont="1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9" fontId="0" fillId="0" borderId="19" xfId="57" applyFont="1" applyFill="1" applyBorder="1" applyAlignment="1">
      <alignment horizontal="left"/>
    </xf>
    <xf numFmtId="9" fontId="0" fillId="0" borderId="11" xfId="57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9" fontId="0" fillId="0" borderId="16" xfId="57" applyFont="1" applyFill="1" applyBorder="1" applyAlignment="1">
      <alignment/>
    </xf>
    <xf numFmtId="9" fontId="0" fillId="0" borderId="17" xfId="57" applyFon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43" fillId="0" borderId="17" xfId="0" applyNumberFormat="1" applyFont="1" applyFill="1" applyBorder="1" applyAlignment="1">
      <alignment/>
    </xf>
    <xf numFmtId="181" fontId="41" fillId="33" borderId="16" xfId="57" applyNumberFormat="1" applyFont="1" applyFill="1" applyBorder="1" applyAlignment="1">
      <alignment/>
    </xf>
    <xf numFmtId="181" fontId="41" fillId="33" borderId="0" xfId="57" applyNumberFormat="1" applyFont="1" applyFill="1" applyBorder="1" applyAlignment="1">
      <alignment/>
    </xf>
    <xf numFmtId="181" fontId="41" fillId="33" borderId="14" xfId="57" applyNumberFormat="1" applyFont="1" applyFill="1" applyBorder="1" applyAlignment="1">
      <alignment/>
    </xf>
    <xf numFmtId="181" fontId="41" fillId="33" borderId="17" xfId="57" applyNumberFormat="1" applyFont="1" applyFill="1" applyBorder="1" applyAlignment="1">
      <alignment/>
    </xf>
    <xf numFmtId="179" fontId="41" fillId="0" borderId="23" xfId="0" applyNumberFormat="1" applyFont="1" applyFill="1" applyBorder="1" applyAlignment="1">
      <alignment/>
    </xf>
    <xf numFmtId="181" fontId="41" fillId="33" borderId="0" xfId="57" applyNumberFormat="1" applyFont="1" applyFill="1" applyBorder="1" applyAlignment="1">
      <alignment/>
    </xf>
    <xf numFmtId="181" fontId="41" fillId="33" borderId="14" xfId="57" applyNumberFormat="1" applyFont="1" applyFill="1" applyBorder="1" applyAlignment="1">
      <alignment/>
    </xf>
    <xf numFmtId="0" fontId="6" fillId="0" borderId="0" xfId="0" applyFont="1" applyAlignment="1">
      <alignment/>
    </xf>
    <xf numFmtId="171" fontId="0" fillId="0" borderId="0" xfId="42" applyFont="1" applyFill="1" applyBorder="1" applyAlignment="1">
      <alignment/>
    </xf>
    <xf numFmtId="9" fontId="0" fillId="0" borderId="0" xfId="57" applyFont="1" applyFill="1" applyAlignment="1">
      <alignment/>
    </xf>
    <xf numFmtId="1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2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showGridLines="0" tabSelected="1" zoomScale="190" zoomScaleNormal="190" workbookViewId="0" topLeftCell="A22">
      <selection activeCell="E30" sqref="E30"/>
    </sheetView>
  </sheetViews>
  <sheetFormatPr defaultColWidth="9.140625" defaultRowHeight="15"/>
  <cols>
    <col min="1" max="1" width="4.140625" style="15" customWidth="1"/>
    <col min="2" max="2" width="16.8515625" style="15" customWidth="1"/>
    <col min="3" max="3" width="11.00390625" style="15" customWidth="1"/>
    <col min="4" max="4" width="11.28125" style="15" bestFit="1" customWidth="1"/>
    <col min="5" max="5" width="13.421875" style="15" customWidth="1"/>
    <col min="6" max="6" width="13.7109375" style="15" customWidth="1"/>
    <col min="7" max="7" width="14.7109375" style="15" customWidth="1"/>
    <col min="8" max="9" width="11.28125" style="15" bestFit="1" customWidth="1"/>
    <col min="10" max="16384" width="9.140625" style="15" customWidth="1"/>
  </cols>
  <sheetData>
    <row r="1" spans="1:13" ht="15.75">
      <c r="A1" s="1"/>
      <c r="B1" s="2"/>
      <c r="C1" s="3" t="s">
        <v>90</v>
      </c>
      <c r="D1" s="4"/>
      <c r="E1" s="5"/>
      <c r="F1" s="4"/>
      <c r="G1" s="4"/>
      <c r="I1" s="6"/>
      <c r="J1" s="6"/>
      <c r="K1" s="6"/>
      <c r="L1" s="6"/>
      <c r="M1" s="6"/>
    </row>
    <row r="2" spans="1:13" s="13" customFormat="1" ht="13.5">
      <c r="A2" s="7"/>
      <c r="B2" s="8" t="s">
        <v>36</v>
      </c>
      <c r="C2" s="9"/>
      <c r="D2" s="10"/>
      <c r="E2" s="11"/>
      <c r="F2" s="10"/>
      <c r="G2" s="10"/>
      <c r="H2"/>
      <c r="I2" s="12"/>
      <c r="J2" s="12"/>
      <c r="K2" s="12"/>
      <c r="L2" s="12"/>
      <c r="M2" s="12"/>
    </row>
    <row r="3" spans="1:13" ht="13.5">
      <c r="A3" s="1"/>
      <c r="B3" s="14" t="s">
        <v>0</v>
      </c>
      <c r="C3" s="127" t="s">
        <v>91</v>
      </c>
      <c r="D3" s="4"/>
      <c r="E3" s="5" t="s">
        <v>1</v>
      </c>
      <c r="F3" s="4"/>
      <c r="G3" s="4"/>
      <c r="I3" s="6"/>
      <c r="J3" s="6"/>
      <c r="K3" s="6"/>
      <c r="L3" s="6"/>
      <c r="M3" s="6"/>
    </row>
    <row r="4" ht="13.5">
      <c r="B4" s="16"/>
    </row>
    <row r="5" spans="2:7" ht="13.5">
      <c r="B5" s="17"/>
      <c r="C5" s="18">
        <v>36891</v>
      </c>
      <c r="D5" s="18">
        <v>37256</v>
      </c>
      <c r="E5" s="19"/>
      <c r="F5" s="18">
        <v>36891</v>
      </c>
      <c r="G5" s="20">
        <v>37256</v>
      </c>
    </row>
    <row r="6" spans="2:7" ht="13.5">
      <c r="B6" s="21" t="s">
        <v>2</v>
      </c>
      <c r="C6" s="22">
        <v>1000</v>
      </c>
      <c r="D6" s="22">
        <f>+C6+D15+C8-D8+C7-D7+D16-F6+G6+C9-D9+D19+G7-F7+D21+D22+D24</f>
        <v>885</v>
      </c>
      <c r="E6" s="23" t="s">
        <v>3</v>
      </c>
      <c r="F6" s="22">
        <v>0</v>
      </c>
      <c r="G6" s="24">
        <v>0</v>
      </c>
    </row>
    <row r="7" spans="2:7" ht="16.5">
      <c r="B7" s="21" t="s">
        <v>4</v>
      </c>
      <c r="C7" s="22">
        <v>5000</v>
      </c>
      <c r="D7" s="22">
        <f>+C7+D21</f>
        <v>5750</v>
      </c>
      <c r="E7" s="23" t="s">
        <v>5</v>
      </c>
      <c r="F7" s="25">
        <v>10000</v>
      </c>
      <c r="G7" s="26">
        <f>+F7</f>
        <v>10000</v>
      </c>
    </row>
    <row r="8" spans="2:7" ht="13.5">
      <c r="B8" s="21" t="s">
        <v>6</v>
      </c>
      <c r="C8" s="22">
        <v>0</v>
      </c>
      <c r="D8" s="22">
        <v>0</v>
      </c>
      <c r="E8" s="23" t="s">
        <v>7</v>
      </c>
      <c r="F8" s="22">
        <f>+F6+F7</f>
        <v>10000</v>
      </c>
      <c r="G8" s="24">
        <f>+G6+G7</f>
        <v>10000</v>
      </c>
    </row>
    <row r="9" spans="2:7" ht="13.5">
      <c r="B9" s="21" t="s">
        <v>8</v>
      </c>
      <c r="C9" s="22">
        <v>10000</v>
      </c>
      <c r="D9" s="22">
        <v>12000</v>
      </c>
      <c r="E9" s="23" t="s">
        <v>9</v>
      </c>
      <c r="F9" s="22">
        <v>15000</v>
      </c>
      <c r="G9" s="24">
        <f>+F9</f>
        <v>15000</v>
      </c>
    </row>
    <row r="10" spans="2:7" ht="16.5">
      <c r="B10" s="21" t="s">
        <v>10</v>
      </c>
      <c r="C10" s="22">
        <v>12000</v>
      </c>
      <c r="D10" s="22">
        <f>+C10</f>
        <v>12000</v>
      </c>
      <c r="E10" s="23" t="s">
        <v>11</v>
      </c>
      <c r="F10" s="25">
        <f>+C12-F8-F9</f>
        <v>600</v>
      </c>
      <c r="G10" s="26">
        <f>+F10+D25</f>
        <v>2035</v>
      </c>
    </row>
    <row r="11" spans="2:8" ht="16.5">
      <c r="B11" s="21" t="s">
        <v>12</v>
      </c>
      <c r="C11" s="25">
        <f>-0.1*2*C10</f>
        <v>-2400</v>
      </c>
      <c r="D11" s="25">
        <f>+C11+D18</f>
        <v>-3600</v>
      </c>
      <c r="E11" s="23" t="s">
        <v>13</v>
      </c>
      <c r="F11" s="25">
        <f>SUM(F9:F10)</f>
        <v>15600</v>
      </c>
      <c r="G11" s="26">
        <f>SUM(G9:G10)</f>
        <v>17035</v>
      </c>
      <c r="H11" s="27"/>
    </row>
    <row r="12" spans="2:7" ht="13.5">
      <c r="B12" s="28" t="s">
        <v>14</v>
      </c>
      <c r="C12" s="29">
        <f>SUM(C6:C11)</f>
        <v>25600</v>
      </c>
      <c r="D12" s="29">
        <f>SUM(D6:D11)</f>
        <v>27035</v>
      </c>
      <c r="E12" s="30" t="s">
        <v>35</v>
      </c>
      <c r="F12" s="29">
        <f>+F8+F11</f>
        <v>25600</v>
      </c>
      <c r="G12" s="31">
        <f>+G8+G11</f>
        <v>27035</v>
      </c>
    </row>
    <row r="13" spans="3:7" ht="13.5">
      <c r="C13" s="32"/>
      <c r="D13" s="32"/>
      <c r="F13" s="32"/>
      <c r="G13" s="32"/>
    </row>
    <row r="14" spans="2:7" ht="13.5">
      <c r="B14" s="17"/>
      <c r="C14" s="33"/>
      <c r="D14" s="34">
        <v>2001</v>
      </c>
      <c r="F14" s="32"/>
      <c r="G14" s="32"/>
    </row>
    <row r="15" spans="2:7" ht="13.5">
      <c r="B15" s="21" t="s">
        <v>15</v>
      </c>
      <c r="C15" s="22"/>
      <c r="D15" s="24">
        <v>60000</v>
      </c>
      <c r="F15" s="32"/>
      <c r="G15" s="32"/>
    </row>
    <row r="16" spans="2:7" ht="16.5">
      <c r="B16" s="21" t="s">
        <v>16</v>
      </c>
      <c r="C16" s="22"/>
      <c r="D16" s="26">
        <v>-46000</v>
      </c>
      <c r="F16" s="32"/>
      <c r="G16" s="32"/>
    </row>
    <row r="17" spans="2:7" ht="13.5">
      <c r="B17" s="21" t="s">
        <v>17</v>
      </c>
      <c r="C17" s="22"/>
      <c r="D17" s="24">
        <f>SUM(D15:D16)</f>
        <v>14000</v>
      </c>
      <c r="F17" s="32"/>
      <c r="G17" s="32"/>
    </row>
    <row r="18" spans="2:7" ht="13.5">
      <c r="B18" s="21" t="s">
        <v>18</v>
      </c>
      <c r="C18" s="22"/>
      <c r="D18" s="24">
        <f>-0.1*C10</f>
        <v>-1200</v>
      </c>
      <c r="F18" s="35">
        <f>+C12+D12-F12-G12</f>
        <v>0</v>
      </c>
      <c r="G18" s="32"/>
    </row>
    <row r="19" spans="2:7" ht="16.5">
      <c r="B19" s="21" t="s">
        <v>19</v>
      </c>
      <c r="C19" s="22"/>
      <c r="D19" s="26">
        <v>-10000</v>
      </c>
      <c r="F19" s="32"/>
      <c r="G19" s="32"/>
    </row>
    <row r="20" spans="2:7" ht="13.5">
      <c r="B20" s="21" t="s">
        <v>39</v>
      </c>
      <c r="C20" s="22"/>
      <c r="D20" s="22">
        <f>SUM(D17:D19)</f>
        <v>2800</v>
      </c>
      <c r="E20" s="111"/>
      <c r="F20" s="32"/>
      <c r="G20" s="32"/>
    </row>
    <row r="21" spans="2:7" ht="13.5">
      <c r="B21" s="21" t="s">
        <v>20</v>
      </c>
      <c r="C21" s="22"/>
      <c r="D21" s="24">
        <v>750</v>
      </c>
      <c r="F21" s="32"/>
      <c r="G21" s="32"/>
    </row>
    <row r="22" spans="2:7" ht="16.5">
      <c r="B22" s="21" t="s">
        <v>21</v>
      </c>
      <c r="C22" s="22"/>
      <c r="D22" s="26">
        <v>-1500</v>
      </c>
      <c r="F22" s="32"/>
      <c r="G22" s="32"/>
    </row>
    <row r="23" spans="2:7" ht="13.5">
      <c r="B23" s="21" t="s">
        <v>22</v>
      </c>
      <c r="C23" s="22"/>
      <c r="D23" s="24">
        <f>SUM(D20:D22)</f>
        <v>2050</v>
      </c>
      <c r="F23" s="32"/>
      <c r="G23" s="32"/>
    </row>
    <row r="24" spans="2:7" ht="16.5">
      <c r="B24" s="21" t="s">
        <v>23</v>
      </c>
      <c r="C24" s="75">
        <v>0.3</v>
      </c>
      <c r="D24" s="26">
        <f>-C24*D23</f>
        <v>-615</v>
      </c>
      <c r="F24" s="32"/>
      <c r="G24" s="32"/>
    </row>
    <row r="25" spans="2:7" ht="13.5">
      <c r="B25" s="28" t="s">
        <v>24</v>
      </c>
      <c r="C25" s="29"/>
      <c r="D25" s="31">
        <f>SUM(D23:D24)</f>
        <v>1435</v>
      </c>
      <c r="F25" s="32"/>
      <c r="G25" s="32"/>
    </row>
    <row r="27" spans="2:5" ht="13.5">
      <c r="B27" s="17" t="s">
        <v>87</v>
      </c>
      <c r="C27" s="36"/>
      <c r="D27" s="36"/>
      <c r="E27" s="37"/>
    </row>
    <row r="28" spans="2:5" ht="13.5">
      <c r="B28" s="21" t="s">
        <v>25</v>
      </c>
      <c r="C28" s="23"/>
      <c r="D28" s="23"/>
      <c r="E28" s="38"/>
    </row>
    <row r="29" spans="2:5" ht="13.5">
      <c r="B29" s="28" t="s">
        <v>26</v>
      </c>
      <c r="C29" s="30"/>
      <c r="D29" s="30"/>
      <c r="E29" s="132">
        <v>0.1</v>
      </c>
    </row>
    <row r="30" spans="1:5" ht="13.5">
      <c r="A30" s="23"/>
      <c r="B30" s="23"/>
      <c r="C30" s="23"/>
      <c r="D30" s="23"/>
      <c r="E30" s="39"/>
    </row>
    <row r="31" spans="2:7" ht="13.5">
      <c r="B31" s="40" t="s">
        <v>27</v>
      </c>
      <c r="C31" s="36"/>
      <c r="D31" s="36"/>
      <c r="E31" s="36"/>
      <c r="F31" s="36"/>
      <c r="G31" s="37"/>
    </row>
    <row r="32" spans="2:7" ht="13.5">
      <c r="B32" s="40" t="s">
        <v>27</v>
      </c>
      <c r="C32" s="36"/>
      <c r="D32" s="36"/>
      <c r="E32" s="36"/>
      <c r="F32" s="36"/>
      <c r="G32" s="37"/>
    </row>
    <row r="33" spans="2:7" ht="13.5">
      <c r="B33" s="21" t="s">
        <v>37</v>
      </c>
      <c r="C33" s="23"/>
      <c r="D33" s="23"/>
      <c r="E33" s="23"/>
      <c r="F33" s="23"/>
      <c r="G33" s="38"/>
    </row>
    <row r="34" spans="2:10" ht="13.5">
      <c r="B34" s="21" t="s">
        <v>38</v>
      </c>
      <c r="C34" s="23"/>
      <c r="D34" s="23"/>
      <c r="E34" s="23"/>
      <c r="F34" s="23"/>
      <c r="G34" s="38"/>
      <c r="J34" s="41"/>
    </row>
    <row r="35" spans="2:7" ht="13.5">
      <c r="B35" s="21" t="s">
        <v>56</v>
      </c>
      <c r="C35" s="23"/>
      <c r="D35" s="23"/>
      <c r="E35" s="23"/>
      <c r="F35" s="23"/>
      <c r="G35" s="38"/>
    </row>
    <row r="36" spans="2:7" ht="13.5">
      <c r="B36" s="21" t="s">
        <v>28</v>
      </c>
      <c r="C36" s="23"/>
      <c r="D36" s="23"/>
      <c r="E36" s="23"/>
      <c r="F36" s="23"/>
      <c r="G36" s="38"/>
    </row>
    <row r="37" spans="2:7" ht="13.5">
      <c r="B37" s="21" t="s">
        <v>88</v>
      </c>
      <c r="C37" s="23"/>
      <c r="D37" s="23"/>
      <c r="E37" s="23"/>
      <c r="F37" s="23"/>
      <c r="G37" s="38"/>
    </row>
    <row r="38" spans="2:7" ht="13.5">
      <c r="B38" s="21" t="s">
        <v>89</v>
      </c>
      <c r="C38" s="23"/>
      <c r="D38" s="23"/>
      <c r="E38" s="23"/>
      <c r="F38" s="23"/>
      <c r="G38" s="38"/>
    </row>
    <row r="39" spans="2:7" ht="13.5">
      <c r="B39" s="21" t="s">
        <v>67</v>
      </c>
      <c r="C39" s="23"/>
      <c r="D39" s="23"/>
      <c r="E39" s="23"/>
      <c r="F39" s="23"/>
      <c r="G39" s="38"/>
    </row>
    <row r="40" spans="2:7" ht="13.5">
      <c r="B40" s="21" t="s">
        <v>29</v>
      </c>
      <c r="C40" s="23"/>
      <c r="D40" s="23"/>
      <c r="E40" s="23"/>
      <c r="F40" s="23"/>
      <c r="G40" s="38"/>
    </row>
    <row r="41" spans="2:7" ht="13.5">
      <c r="B41" s="21" t="s">
        <v>75</v>
      </c>
      <c r="C41" s="23"/>
      <c r="D41" s="23"/>
      <c r="E41" s="23"/>
      <c r="F41" s="23"/>
      <c r="G41" s="38"/>
    </row>
    <row r="42" spans="2:7" ht="13.5">
      <c r="B42" s="28" t="s">
        <v>57</v>
      </c>
      <c r="C42" s="30"/>
      <c r="D42" s="30"/>
      <c r="E42" s="30"/>
      <c r="F42" s="30"/>
      <c r="G42" s="42"/>
    </row>
    <row r="44" ht="13.5">
      <c r="B44" s="16" t="s">
        <v>92</v>
      </c>
    </row>
    <row r="45" spans="1:2" s="16" customFormat="1" ht="13.5">
      <c r="A45" s="63"/>
      <c r="B45" s="63" t="s">
        <v>40</v>
      </c>
    </row>
    <row r="46" spans="2:7" ht="13.5">
      <c r="B46" s="17"/>
      <c r="C46" s="18">
        <v>36891</v>
      </c>
      <c r="D46" s="18">
        <v>37256</v>
      </c>
      <c r="E46" s="19"/>
      <c r="F46" s="18">
        <v>36891</v>
      </c>
      <c r="G46" s="20">
        <v>37256</v>
      </c>
    </row>
    <row r="47" spans="2:7" ht="13.5">
      <c r="B47" s="21" t="s">
        <v>2</v>
      </c>
      <c r="C47" s="22">
        <f aca="true" t="shared" si="0" ref="C47:G48">+C6</f>
        <v>1000</v>
      </c>
      <c r="D47" s="22">
        <f t="shared" si="0"/>
        <v>885</v>
      </c>
      <c r="E47" s="22" t="str">
        <f t="shared" si="0"/>
        <v>Fornecedores</v>
      </c>
      <c r="F47" s="22">
        <f t="shared" si="0"/>
        <v>0</v>
      </c>
      <c r="G47" s="24">
        <f t="shared" si="0"/>
        <v>0</v>
      </c>
    </row>
    <row r="48" spans="2:7" ht="16.5">
      <c r="B48" s="21" t="s">
        <v>4</v>
      </c>
      <c r="C48" s="22">
        <f t="shared" si="0"/>
        <v>5000</v>
      </c>
      <c r="D48" s="22">
        <f t="shared" si="0"/>
        <v>5750</v>
      </c>
      <c r="E48" s="22" t="str">
        <f t="shared" si="0"/>
        <v>Empréstimos LP</v>
      </c>
      <c r="F48" s="25">
        <f t="shared" si="0"/>
        <v>10000</v>
      </c>
      <c r="G48" s="26">
        <f t="shared" si="0"/>
        <v>10000</v>
      </c>
    </row>
    <row r="49" spans="2:7" ht="13.5">
      <c r="B49" s="21" t="s">
        <v>6</v>
      </c>
      <c r="C49" s="22">
        <f>+C8</f>
        <v>0</v>
      </c>
      <c r="D49" s="22">
        <f>+D8</f>
        <v>0</v>
      </c>
      <c r="E49" s="22" t="str">
        <f>+E8</f>
        <v>Passivo</v>
      </c>
      <c r="F49" s="22">
        <f>+F8</f>
        <v>10000</v>
      </c>
      <c r="G49" s="24">
        <f>SUM(G47:G48)</f>
        <v>10000</v>
      </c>
    </row>
    <row r="50" spans="2:7" ht="13.5">
      <c r="B50" s="21" t="s">
        <v>8</v>
      </c>
      <c r="C50" s="22">
        <f>+C9</f>
        <v>10000</v>
      </c>
      <c r="D50" s="22">
        <f>+D9</f>
        <v>12000</v>
      </c>
      <c r="E50" s="22" t="str">
        <f>+E9</f>
        <v>Capital</v>
      </c>
      <c r="F50" s="45">
        <f>+F9*(1+E29)*(1+E29)</f>
        <v>18150</v>
      </c>
      <c r="G50" s="59">
        <f>+F50*(1+$E$29)</f>
        <v>19965</v>
      </c>
    </row>
    <row r="51" spans="2:7" ht="16.5">
      <c r="B51" s="21" t="s">
        <v>10</v>
      </c>
      <c r="C51" s="45">
        <f>+C10*(1+E29)*(1+E29)</f>
        <v>14520.000000000004</v>
      </c>
      <c r="D51" s="45">
        <f>+C51*(1+$E$29)</f>
        <v>15972.000000000005</v>
      </c>
      <c r="E51" s="22" t="str">
        <f>+E10</f>
        <v>Lucros Acumul.</v>
      </c>
      <c r="F51" s="46">
        <f>+C53-F49-F50</f>
        <v>-533.9999999999964</v>
      </c>
      <c r="G51" s="60">
        <f>+F51*(1+$E$29)+D68</f>
        <v>-149.59999999999673</v>
      </c>
    </row>
    <row r="52" spans="2:8" ht="16.5">
      <c r="B52" s="21" t="s">
        <v>12</v>
      </c>
      <c r="C52" s="46">
        <f>+C11/C10*C51</f>
        <v>-2904.000000000001</v>
      </c>
      <c r="D52" s="46">
        <f>+C52*(1+$E$29)+D60</f>
        <v>-4791.600000000002</v>
      </c>
      <c r="E52" s="22" t="str">
        <f>+E11</f>
        <v>PL</v>
      </c>
      <c r="F52" s="25">
        <f>+F50+F51</f>
        <v>17616.000000000004</v>
      </c>
      <c r="G52" s="26">
        <f>SUM(G50:G51)</f>
        <v>19815.4</v>
      </c>
      <c r="H52" s="27"/>
    </row>
    <row r="53" spans="2:7" ht="13.5">
      <c r="B53" s="28" t="s">
        <v>14</v>
      </c>
      <c r="C53" s="29">
        <f>SUM(C47:C52)</f>
        <v>27616.000000000004</v>
      </c>
      <c r="D53" s="29">
        <f>SUM(D47:D52)</f>
        <v>29815.400000000005</v>
      </c>
      <c r="E53" s="29" t="s">
        <v>35</v>
      </c>
      <c r="F53" s="29">
        <f>+F49+F52</f>
        <v>27616.000000000004</v>
      </c>
      <c r="G53" s="31">
        <f>+G49+G52</f>
        <v>29815.4</v>
      </c>
    </row>
    <row r="54" spans="1:7" ht="13.5">
      <c r="A54" s="23"/>
      <c r="B54" s="23"/>
      <c r="C54" s="22"/>
      <c r="D54" s="22"/>
      <c r="E54" s="22"/>
      <c r="F54" s="22"/>
      <c r="G54" s="22"/>
    </row>
    <row r="55" spans="2:7" ht="13.5">
      <c r="B55" s="17"/>
      <c r="C55" s="33"/>
      <c r="D55" s="34">
        <v>2001</v>
      </c>
      <c r="E55" s="22"/>
      <c r="F55" s="22"/>
      <c r="G55" s="22"/>
    </row>
    <row r="56" spans="2:7" ht="13.5">
      <c r="B56" s="21"/>
      <c r="C56" s="22"/>
      <c r="D56" s="48" t="s">
        <v>31</v>
      </c>
      <c r="E56" s="22"/>
      <c r="F56" s="22"/>
      <c r="G56" s="22"/>
    </row>
    <row r="57" spans="2:7" ht="13.5">
      <c r="B57" s="21" t="s">
        <v>15</v>
      </c>
      <c r="C57" s="23"/>
      <c r="D57" s="43">
        <f>+D15</f>
        <v>60000</v>
      </c>
      <c r="E57" s="22"/>
      <c r="F57" s="22"/>
      <c r="G57" s="22"/>
    </row>
    <row r="58" spans="2:7" ht="16.5">
      <c r="B58" s="21" t="s">
        <v>16</v>
      </c>
      <c r="C58" s="23"/>
      <c r="D58" s="44">
        <f>+D16</f>
        <v>-46000</v>
      </c>
      <c r="E58" s="22"/>
      <c r="F58" s="22"/>
      <c r="G58" s="22"/>
    </row>
    <row r="59" spans="2:7" ht="13.5">
      <c r="B59" s="21" t="s">
        <v>17</v>
      </c>
      <c r="C59" s="23"/>
      <c r="D59" s="43">
        <f>SUM(D57:D58)</f>
        <v>14000</v>
      </c>
      <c r="E59" s="22"/>
      <c r="F59" s="22"/>
      <c r="G59" s="22"/>
    </row>
    <row r="60" spans="2:7" ht="13.5">
      <c r="B60" s="21" t="s">
        <v>18</v>
      </c>
      <c r="C60" s="23"/>
      <c r="D60" s="52">
        <f>-0.1*D51</f>
        <v>-1597.2000000000007</v>
      </c>
      <c r="E60" s="22"/>
      <c r="F60" s="22"/>
      <c r="G60" s="22"/>
    </row>
    <row r="61" spans="2:7" ht="13.5">
      <c r="B61" s="21" t="s">
        <v>19</v>
      </c>
      <c r="C61" s="23"/>
      <c r="D61" s="62">
        <f>+D19</f>
        <v>-10000</v>
      </c>
      <c r="E61" s="22"/>
      <c r="F61" s="22"/>
      <c r="G61" s="22"/>
    </row>
    <row r="62" spans="2:7" ht="13.5">
      <c r="B62" s="21" t="s">
        <v>20</v>
      </c>
      <c r="C62" s="23"/>
      <c r="D62" s="43">
        <f>+D21</f>
        <v>750</v>
      </c>
      <c r="E62" s="22"/>
      <c r="F62" s="22"/>
      <c r="G62" s="22"/>
    </row>
    <row r="63" spans="2:7" ht="16.5">
      <c r="B63" s="21" t="s">
        <v>21</v>
      </c>
      <c r="C63" s="23"/>
      <c r="D63" s="44">
        <f>+D22</f>
        <v>-1500</v>
      </c>
      <c r="E63" s="22"/>
      <c r="F63" s="22"/>
      <c r="G63" s="22"/>
    </row>
    <row r="64" spans="2:7" ht="13.5">
      <c r="B64" s="61" t="s">
        <v>33</v>
      </c>
      <c r="C64" s="63"/>
      <c r="D64" s="52">
        <f>SUM(D59:D63)</f>
        <v>1652.7999999999993</v>
      </c>
      <c r="E64" s="22"/>
      <c r="F64" s="22"/>
      <c r="G64" s="22"/>
    </row>
    <row r="65" spans="2:7" ht="16.5">
      <c r="B65" s="61" t="s">
        <v>34</v>
      </c>
      <c r="C65" s="23"/>
      <c r="D65" s="47">
        <f>+E29*(C51+C52)-E29*(F50+F51)</f>
        <v>-600</v>
      </c>
      <c r="E65" s="22"/>
      <c r="F65" s="22"/>
      <c r="G65" s="22"/>
    </row>
    <row r="66" spans="2:7" ht="13.5">
      <c r="B66" s="21" t="s">
        <v>22</v>
      </c>
      <c r="C66" s="23"/>
      <c r="D66" s="43">
        <f>+D64+D65</f>
        <v>1052.7999999999993</v>
      </c>
      <c r="E66" s="22"/>
      <c r="F66" s="22"/>
      <c r="G66" s="22"/>
    </row>
    <row r="67" spans="2:7" ht="16.5">
      <c r="B67" s="21" t="s">
        <v>23</v>
      </c>
      <c r="C67" s="23"/>
      <c r="D67" s="44">
        <f>+D24</f>
        <v>-615</v>
      </c>
      <c r="E67" s="22"/>
      <c r="F67" s="22"/>
      <c r="G67" s="22"/>
    </row>
    <row r="68" spans="2:7" ht="13.5">
      <c r="B68" s="28" t="s">
        <v>24</v>
      </c>
      <c r="C68" s="30"/>
      <c r="D68" s="65">
        <f>SUM(D66:D67)</f>
        <v>437.7999999999993</v>
      </c>
      <c r="E68" s="128"/>
      <c r="F68" s="22"/>
      <c r="G68" s="22"/>
    </row>
    <row r="69" spans="2:7" ht="13.5">
      <c r="B69" s="23"/>
      <c r="C69" s="23"/>
      <c r="D69" s="51"/>
      <c r="E69" s="22"/>
      <c r="F69" s="22"/>
      <c r="G69" s="22"/>
    </row>
    <row r="70" spans="2:7" ht="13.5">
      <c r="B70" s="63" t="s">
        <v>41</v>
      </c>
      <c r="C70" s="22"/>
      <c r="D70" s="22"/>
      <c r="E70" s="22"/>
      <c r="F70" s="22"/>
      <c r="G70" s="22"/>
    </row>
    <row r="71" spans="2:7" ht="13.5">
      <c r="B71" s="17"/>
      <c r="C71" s="18">
        <v>36891</v>
      </c>
      <c r="D71" s="18">
        <v>37256</v>
      </c>
      <c r="E71" s="19"/>
      <c r="F71" s="18">
        <v>36891</v>
      </c>
      <c r="G71" s="20">
        <v>37256</v>
      </c>
    </row>
    <row r="72" spans="2:7" ht="13.5">
      <c r="B72" s="21" t="s">
        <v>2</v>
      </c>
      <c r="C72" s="45">
        <f aca="true" t="shared" si="1" ref="C72:C77">+C47*(1+$E$29)</f>
        <v>1100</v>
      </c>
      <c r="D72" s="22">
        <f>+D47</f>
        <v>885</v>
      </c>
      <c r="E72" s="22" t="str">
        <f>+E47</f>
        <v>Fornecedores</v>
      </c>
      <c r="F72" s="22">
        <f aca="true" t="shared" si="2" ref="F72:F78">+F47*(1+$E$29)</f>
        <v>0</v>
      </c>
      <c r="G72" s="24">
        <f>+G47</f>
        <v>0</v>
      </c>
    </row>
    <row r="73" spans="2:7" ht="16.5">
      <c r="B73" s="21" t="s">
        <v>4</v>
      </c>
      <c r="C73" s="45">
        <f t="shared" si="1"/>
        <v>5500</v>
      </c>
      <c r="D73" s="22">
        <f aca="true" t="shared" si="3" ref="D73:E77">+D48</f>
        <v>5750</v>
      </c>
      <c r="E73" s="22" t="str">
        <f t="shared" si="3"/>
        <v>Empréstimos LP</v>
      </c>
      <c r="F73" s="25">
        <f t="shared" si="2"/>
        <v>11000</v>
      </c>
      <c r="G73" s="26">
        <f aca="true" t="shared" si="4" ref="G73:G78">+G48</f>
        <v>10000</v>
      </c>
    </row>
    <row r="74" spans="2:7" ht="13.5">
      <c r="B74" s="21" t="s">
        <v>6</v>
      </c>
      <c r="C74" s="45">
        <f t="shared" si="1"/>
        <v>0</v>
      </c>
      <c r="D74" s="22">
        <f t="shared" si="3"/>
        <v>0</v>
      </c>
      <c r="E74" s="22" t="str">
        <f t="shared" si="3"/>
        <v>Passivo</v>
      </c>
      <c r="F74" s="22">
        <f t="shared" si="2"/>
        <v>11000</v>
      </c>
      <c r="G74" s="24">
        <f t="shared" si="4"/>
        <v>10000</v>
      </c>
    </row>
    <row r="75" spans="2:7" ht="13.5">
      <c r="B75" s="21" t="s">
        <v>8</v>
      </c>
      <c r="C75" s="45">
        <f t="shared" si="1"/>
        <v>11000</v>
      </c>
      <c r="D75" s="22">
        <f t="shared" si="3"/>
        <v>12000</v>
      </c>
      <c r="E75" s="22" t="str">
        <f t="shared" si="3"/>
        <v>Capital</v>
      </c>
      <c r="F75" s="45">
        <f t="shared" si="2"/>
        <v>19965</v>
      </c>
      <c r="G75" s="59">
        <f t="shared" si="4"/>
        <v>19965</v>
      </c>
    </row>
    <row r="76" spans="2:7" ht="16.5">
      <c r="B76" s="21" t="s">
        <v>10</v>
      </c>
      <c r="C76" s="45">
        <f t="shared" si="1"/>
        <v>15972.000000000005</v>
      </c>
      <c r="D76" s="22">
        <f t="shared" si="3"/>
        <v>15972.000000000005</v>
      </c>
      <c r="E76" s="22" t="str">
        <f t="shared" si="3"/>
        <v>Lucros Acumul.</v>
      </c>
      <c r="F76" s="46">
        <f t="shared" si="2"/>
        <v>-587.399999999996</v>
      </c>
      <c r="G76" s="60">
        <f t="shared" si="4"/>
        <v>-149.59999999999673</v>
      </c>
    </row>
    <row r="77" spans="2:8" ht="16.5">
      <c r="B77" s="21" t="s">
        <v>12</v>
      </c>
      <c r="C77" s="46">
        <f t="shared" si="1"/>
        <v>-3194.4000000000015</v>
      </c>
      <c r="D77" s="25">
        <f t="shared" si="3"/>
        <v>-4791.600000000002</v>
      </c>
      <c r="E77" s="22" t="str">
        <f t="shared" si="3"/>
        <v>PL</v>
      </c>
      <c r="F77" s="25">
        <f t="shared" si="2"/>
        <v>19377.600000000006</v>
      </c>
      <c r="G77" s="26">
        <f t="shared" si="4"/>
        <v>19815.4</v>
      </c>
      <c r="H77" s="27"/>
    </row>
    <row r="78" spans="2:7" ht="13.5">
      <c r="B78" s="28" t="s">
        <v>14</v>
      </c>
      <c r="C78" s="64">
        <f>SUM(C72:C77)</f>
        <v>30377.600000000006</v>
      </c>
      <c r="D78" s="29">
        <f>SUM(D72:D77)</f>
        <v>29815.400000000005</v>
      </c>
      <c r="E78" s="29" t="s">
        <v>35</v>
      </c>
      <c r="F78" s="29">
        <f t="shared" si="2"/>
        <v>30377.600000000006</v>
      </c>
      <c r="G78" s="31">
        <f t="shared" si="4"/>
        <v>29815.4</v>
      </c>
    </row>
    <row r="79" spans="2:7" ht="13.5">
      <c r="B79" s="23"/>
      <c r="C79" s="22"/>
      <c r="D79" s="22"/>
      <c r="E79" s="22"/>
      <c r="F79" s="22"/>
      <c r="G79" s="22"/>
    </row>
    <row r="80" spans="2:6" ht="13.5">
      <c r="B80" s="17"/>
      <c r="C80" s="33"/>
      <c r="D80" s="34">
        <v>2001</v>
      </c>
      <c r="E80" s="22"/>
      <c r="F80" s="22"/>
    </row>
    <row r="81" spans="2:4" ht="13.5">
      <c r="B81" s="21" t="s">
        <v>15</v>
      </c>
      <c r="C81" s="23"/>
      <c r="D81" s="52">
        <f>+D57*(1+$E$29)^0.5</f>
        <v>62928.5308902091</v>
      </c>
    </row>
    <row r="82" spans="2:4" ht="16.5">
      <c r="B82" s="21" t="s">
        <v>16</v>
      </c>
      <c r="C82" s="23" t="s">
        <v>42</v>
      </c>
      <c r="D82" s="47">
        <f>-D98</f>
        <v>-49342.824712167276</v>
      </c>
    </row>
    <row r="83" spans="2:4" ht="13.5">
      <c r="B83" s="21" t="s">
        <v>17</v>
      </c>
      <c r="C83" s="23"/>
      <c r="D83" s="52">
        <f>SUM(D81:D82)</f>
        <v>13585.706178041823</v>
      </c>
    </row>
    <row r="84" spans="2:4" ht="13.5">
      <c r="B84" s="21" t="s">
        <v>18</v>
      </c>
      <c r="C84" s="23"/>
      <c r="D84" s="62">
        <f>+D60</f>
        <v>-1597.2000000000007</v>
      </c>
    </row>
    <row r="85" spans="2:4" ht="13.5">
      <c r="B85" s="21" t="s">
        <v>19</v>
      </c>
      <c r="C85" s="23"/>
      <c r="D85" s="52">
        <f>+D61*(1+$E$29)^0.5</f>
        <v>-10488.088481701516</v>
      </c>
    </row>
    <row r="86" spans="2:4" ht="16.5">
      <c r="B86" s="21" t="s">
        <v>32</v>
      </c>
      <c r="C86" s="23" t="s">
        <v>52</v>
      </c>
      <c r="D86" s="47">
        <f>+E108</f>
        <v>-197.6176963403031</v>
      </c>
    </row>
    <row r="87" spans="2:4" ht="13.5">
      <c r="B87" s="21" t="s">
        <v>33</v>
      </c>
      <c r="C87" s="23"/>
      <c r="D87" s="52">
        <f>SUM(D83:D86)</f>
        <v>1302.800000000003</v>
      </c>
    </row>
    <row r="88" spans="2:4" ht="13.5">
      <c r="B88" s="21" t="s">
        <v>20</v>
      </c>
      <c r="C88" s="23"/>
      <c r="D88" s="52">
        <f>+D62-E29*C48</f>
        <v>250</v>
      </c>
    </row>
    <row r="89" spans="2:4" ht="16.5">
      <c r="B89" s="21" t="s">
        <v>21</v>
      </c>
      <c r="C89" s="23"/>
      <c r="D89" s="47">
        <f>+D63+E29*F48</f>
        <v>-500</v>
      </c>
    </row>
    <row r="90" spans="2:4" ht="13.5">
      <c r="B90" s="21" t="s">
        <v>22</v>
      </c>
      <c r="C90" s="23"/>
      <c r="D90" s="52">
        <f>SUM(D87:D89)</f>
        <v>1052.800000000003</v>
      </c>
    </row>
    <row r="91" spans="2:4" ht="16.5">
      <c r="B91" s="21" t="s">
        <v>23</v>
      </c>
      <c r="C91" s="23"/>
      <c r="D91" s="44">
        <f>+D67</f>
        <v>-615</v>
      </c>
    </row>
    <row r="92" spans="2:4" ht="13.5">
      <c r="B92" s="28" t="s">
        <v>24</v>
      </c>
      <c r="C92" s="30"/>
      <c r="D92" s="65">
        <f>SUM(D90:D91)</f>
        <v>437.8000000000029</v>
      </c>
    </row>
    <row r="94" spans="2:4" ht="13.5">
      <c r="B94" s="40" t="s">
        <v>59</v>
      </c>
      <c r="C94" s="36"/>
      <c r="D94" s="37"/>
    </row>
    <row r="95" spans="2:4" ht="13.5">
      <c r="B95" s="21" t="s">
        <v>43</v>
      </c>
      <c r="C95" s="22">
        <f>+C50</f>
        <v>10000</v>
      </c>
      <c r="D95" s="24">
        <f>+C95*(1+E29)</f>
        <v>11000</v>
      </c>
    </row>
    <row r="96" spans="2:4" ht="13.5">
      <c r="B96" s="21" t="s">
        <v>44</v>
      </c>
      <c r="C96" s="49">
        <f>-D58+D50-C50</f>
        <v>48000</v>
      </c>
      <c r="D96" s="62">
        <f>C96*(1+$E$29)^0.5</f>
        <v>50342.824712167276</v>
      </c>
    </row>
    <row r="97" spans="2:4" ht="16.5">
      <c r="B97" s="21" t="s">
        <v>45</v>
      </c>
      <c r="C97" s="50">
        <f>-+D50</f>
        <v>-12000</v>
      </c>
      <c r="D97" s="44">
        <f>+C97</f>
        <v>-12000</v>
      </c>
    </row>
    <row r="98" spans="2:4" ht="13.5">
      <c r="B98" s="28"/>
      <c r="C98" s="57">
        <f>SUM(C95:C97)</f>
        <v>46000</v>
      </c>
      <c r="D98" s="58">
        <f>SUM(D95:D97)</f>
        <v>49342.824712167276</v>
      </c>
    </row>
    <row r="99" spans="2:4" ht="13.5">
      <c r="B99" s="21"/>
      <c r="C99" s="49"/>
      <c r="D99" s="49"/>
    </row>
    <row r="100" spans="2:5" ht="13.5">
      <c r="B100" s="40" t="s">
        <v>46</v>
      </c>
      <c r="C100" s="89" t="s">
        <v>53</v>
      </c>
      <c r="D100" s="89" t="s">
        <v>54</v>
      </c>
      <c r="E100" s="90" t="s">
        <v>55</v>
      </c>
    </row>
    <row r="101" spans="2:5" ht="13.5">
      <c r="B101" s="21" t="s">
        <v>47</v>
      </c>
      <c r="C101" s="49">
        <f>+C47</f>
        <v>1000</v>
      </c>
      <c r="D101" s="91">
        <f>+E29</f>
        <v>0.1</v>
      </c>
      <c r="E101" s="43">
        <f>-D101*C101</f>
        <v>-100</v>
      </c>
    </row>
    <row r="102" spans="2:5" ht="13.5">
      <c r="B102" s="21" t="s">
        <v>6</v>
      </c>
      <c r="C102" s="49">
        <f>+D57</f>
        <v>60000</v>
      </c>
      <c r="D102" s="92">
        <f>+SQRT(1+E29)-1</f>
        <v>0.04880884817015163</v>
      </c>
      <c r="E102" s="43">
        <f aca="true" t="shared" si="5" ref="E102:E107">-D102*C102</f>
        <v>-2928.530890209098</v>
      </c>
    </row>
    <row r="103" spans="2:5" ht="13.5">
      <c r="B103" s="21" t="s">
        <v>3</v>
      </c>
      <c r="C103" s="49">
        <f>-C96</f>
        <v>-48000</v>
      </c>
      <c r="D103" s="93">
        <f>+D102</f>
        <v>0.04880884817015163</v>
      </c>
      <c r="E103" s="43">
        <f t="shared" si="5"/>
        <v>2342.8247121672784</v>
      </c>
    </row>
    <row r="104" spans="2:5" ht="13.5">
      <c r="B104" s="21" t="s">
        <v>48</v>
      </c>
      <c r="C104" s="49">
        <f>--D61</f>
        <v>-10000</v>
      </c>
      <c r="D104" s="93">
        <f>+D103</f>
        <v>0.04880884817015163</v>
      </c>
      <c r="E104" s="43">
        <f t="shared" si="5"/>
        <v>488.0884817015163</v>
      </c>
    </row>
    <row r="105" spans="2:5" ht="13.5">
      <c r="B105" s="21" t="s">
        <v>49</v>
      </c>
      <c r="C105" s="49"/>
      <c r="D105" s="23"/>
      <c r="E105" s="43">
        <f t="shared" si="5"/>
        <v>0</v>
      </c>
    </row>
    <row r="106" spans="2:5" ht="13.5">
      <c r="B106" s="21" t="s">
        <v>50</v>
      </c>
      <c r="C106" s="49">
        <f>+D63</f>
        <v>-1500</v>
      </c>
      <c r="D106" s="94">
        <v>0</v>
      </c>
      <c r="E106" s="43">
        <f t="shared" si="5"/>
        <v>0</v>
      </c>
    </row>
    <row r="107" spans="2:5" ht="16.5">
      <c r="B107" s="21" t="s">
        <v>51</v>
      </c>
      <c r="C107" s="50">
        <f>+D67+E67</f>
        <v>-615</v>
      </c>
      <c r="D107" s="94">
        <v>0</v>
      </c>
      <c r="E107" s="44">
        <f t="shared" si="5"/>
        <v>0</v>
      </c>
    </row>
    <row r="108" spans="2:5" ht="13.5">
      <c r="B108" s="28"/>
      <c r="C108" s="57">
        <f>SUM(C101:C107)</f>
        <v>885</v>
      </c>
      <c r="D108" s="30"/>
      <c r="E108" s="53">
        <f>SUM(E101:E107)</f>
        <v>-197.6176963403031</v>
      </c>
    </row>
    <row r="110" ht="13.5">
      <c r="B110" s="16" t="s">
        <v>58</v>
      </c>
    </row>
    <row r="111" spans="2:6" ht="13.5">
      <c r="B111" s="16"/>
      <c r="C111" s="130">
        <v>36891</v>
      </c>
      <c r="D111" s="131"/>
      <c r="E111" s="130">
        <v>37256</v>
      </c>
      <c r="F111" s="131"/>
    </row>
    <row r="112" spans="2:6" ht="13.5">
      <c r="B112" s="17" t="s">
        <v>14</v>
      </c>
      <c r="C112" s="66" t="s">
        <v>60</v>
      </c>
      <c r="D112" s="67" t="s">
        <v>30</v>
      </c>
      <c r="E112" s="66" t="s">
        <v>60</v>
      </c>
      <c r="F112" s="67" t="s">
        <v>30</v>
      </c>
    </row>
    <row r="113" spans="2:6" ht="13.5">
      <c r="B113" s="21" t="s">
        <v>2</v>
      </c>
      <c r="C113" s="68">
        <f aca="true" t="shared" si="6" ref="C113:C118">+C6</f>
        <v>1000</v>
      </c>
      <c r="D113" s="24">
        <f aca="true" t="shared" si="7" ref="D113:D118">+C72</f>
        <v>1100</v>
      </c>
      <c r="E113" s="71">
        <f aca="true" t="shared" si="8" ref="E113:E118">+D6</f>
        <v>885</v>
      </c>
      <c r="F113" s="43">
        <f aca="true" t="shared" si="9" ref="F113:F118">+D72</f>
        <v>885</v>
      </c>
    </row>
    <row r="114" spans="2:6" ht="13.5">
      <c r="B114" s="21" t="s">
        <v>4</v>
      </c>
      <c r="C114" s="68">
        <f t="shared" si="6"/>
        <v>5000</v>
      </c>
      <c r="D114" s="24">
        <f t="shared" si="7"/>
        <v>5500</v>
      </c>
      <c r="E114" s="71">
        <f t="shared" si="8"/>
        <v>5750</v>
      </c>
      <c r="F114" s="43">
        <f t="shared" si="9"/>
        <v>5750</v>
      </c>
    </row>
    <row r="115" spans="2:6" ht="13.5">
      <c r="B115" s="21" t="s">
        <v>6</v>
      </c>
      <c r="C115" s="68">
        <f t="shared" si="6"/>
        <v>0</v>
      </c>
      <c r="D115" s="24">
        <f t="shared" si="7"/>
        <v>0</v>
      </c>
      <c r="E115" s="71">
        <f t="shared" si="8"/>
        <v>0</v>
      </c>
      <c r="F115" s="43">
        <f t="shared" si="9"/>
        <v>0</v>
      </c>
    </row>
    <row r="116" spans="2:6" ht="13.5">
      <c r="B116" s="21" t="s">
        <v>8</v>
      </c>
      <c r="C116" s="68">
        <f t="shared" si="6"/>
        <v>10000</v>
      </c>
      <c r="D116" s="24">
        <f t="shared" si="7"/>
        <v>11000</v>
      </c>
      <c r="E116" s="71">
        <f t="shared" si="8"/>
        <v>12000</v>
      </c>
      <c r="F116" s="43">
        <f t="shared" si="9"/>
        <v>12000</v>
      </c>
    </row>
    <row r="117" spans="2:6" ht="13.5">
      <c r="B117" s="21" t="s">
        <v>10</v>
      </c>
      <c r="C117" s="68">
        <f t="shared" si="6"/>
        <v>12000</v>
      </c>
      <c r="D117" s="24">
        <f t="shared" si="7"/>
        <v>15972.000000000005</v>
      </c>
      <c r="E117" s="71">
        <f t="shared" si="8"/>
        <v>12000</v>
      </c>
      <c r="F117" s="43">
        <f t="shared" si="9"/>
        <v>15972.000000000005</v>
      </c>
    </row>
    <row r="118" spans="2:6" ht="16.5">
      <c r="B118" s="21" t="s">
        <v>12</v>
      </c>
      <c r="C118" s="69">
        <f t="shared" si="6"/>
        <v>-2400</v>
      </c>
      <c r="D118" s="26">
        <f t="shared" si="7"/>
        <v>-3194.4000000000015</v>
      </c>
      <c r="E118" s="72">
        <f t="shared" si="8"/>
        <v>-3600</v>
      </c>
      <c r="F118" s="44">
        <f t="shared" si="9"/>
        <v>-4791.600000000002</v>
      </c>
    </row>
    <row r="119" spans="2:6" ht="13.5">
      <c r="B119" s="28" t="s">
        <v>14</v>
      </c>
      <c r="C119" s="70">
        <f>SUM(C113:C118)</f>
        <v>25600</v>
      </c>
      <c r="D119" s="31">
        <f>SUM(D113:D118)</f>
        <v>30377.600000000006</v>
      </c>
      <c r="E119" s="73">
        <f>SUM(E113:E118)</f>
        <v>27035</v>
      </c>
      <c r="F119" s="58">
        <f>SUM(F113:F118)</f>
        <v>29815.400000000005</v>
      </c>
    </row>
    <row r="121" spans="2:6" ht="13.5">
      <c r="B121" s="16"/>
      <c r="C121" s="130">
        <f>+C111</f>
        <v>36891</v>
      </c>
      <c r="D121" s="131"/>
      <c r="E121" s="130">
        <f>+E111</f>
        <v>37256</v>
      </c>
      <c r="F121" s="131"/>
    </row>
    <row r="122" spans="2:6" ht="13.5">
      <c r="B122" s="17" t="s">
        <v>61</v>
      </c>
      <c r="C122" s="74" t="s">
        <v>60</v>
      </c>
      <c r="D122" s="67" t="s">
        <v>30</v>
      </c>
      <c r="E122" s="66" t="s">
        <v>60</v>
      </c>
      <c r="F122" s="67" t="s">
        <v>30</v>
      </c>
    </row>
    <row r="123" spans="2:6" ht="13.5">
      <c r="B123" s="68" t="str">
        <f>+E47</f>
        <v>Fornecedores</v>
      </c>
      <c r="C123" s="76">
        <f>+F6</f>
        <v>0</v>
      </c>
      <c r="D123" s="24">
        <f>+F72</f>
        <v>0</v>
      </c>
      <c r="E123" s="71">
        <f>+G6</f>
        <v>0</v>
      </c>
      <c r="F123" s="43">
        <f>+G72</f>
        <v>0</v>
      </c>
    </row>
    <row r="124" spans="2:6" ht="13.5">
      <c r="B124" s="68" t="str">
        <f>+E48</f>
        <v>Empréstimos LP</v>
      </c>
      <c r="C124" s="76">
        <f>+F7</f>
        <v>10000</v>
      </c>
      <c r="D124" s="24">
        <f>+F73</f>
        <v>11000</v>
      </c>
      <c r="E124" s="71">
        <f>+G7</f>
        <v>10000</v>
      </c>
      <c r="F124" s="43">
        <f>+G73</f>
        <v>10000</v>
      </c>
    </row>
    <row r="125" spans="2:6" ht="16.5">
      <c r="B125" s="76" t="s">
        <v>62</v>
      </c>
      <c r="C125" s="69" t="s">
        <v>63</v>
      </c>
      <c r="D125" s="26">
        <f>+$C$24*(F77-C129*(1+$E$29))</f>
        <v>665.2800000000017</v>
      </c>
      <c r="E125" s="69" t="s">
        <v>63</v>
      </c>
      <c r="F125" s="26">
        <f>+$C$24*(G77-E129)</f>
        <v>834.1200000000005</v>
      </c>
    </row>
    <row r="126" spans="2:6" ht="13.5">
      <c r="B126" s="68" t="str">
        <f>+E49</f>
        <v>Passivo</v>
      </c>
      <c r="C126" s="76">
        <f>SUM(C123:C125)</f>
        <v>10000</v>
      </c>
      <c r="D126" s="77">
        <f>SUM(D123:D125)</f>
        <v>11665.280000000002</v>
      </c>
      <c r="E126" s="76">
        <f>SUM(E123:E125)</f>
        <v>10000</v>
      </c>
      <c r="F126" s="77">
        <f>SUM(F123:F125)</f>
        <v>10834.12</v>
      </c>
    </row>
    <row r="127" spans="2:6" ht="13.5">
      <c r="B127" s="68" t="str">
        <f>+E50</f>
        <v>Capital</v>
      </c>
      <c r="C127" s="76">
        <f>+F9</f>
        <v>15000</v>
      </c>
      <c r="D127" s="24">
        <f>+F75</f>
        <v>19965</v>
      </c>
      <c r="E127" s="71">
        <f>+G9</f>
        <v>15000</v>
      </c>
      <c r="F127" s="43">
        <f>+G75</f>
        <v>19965</v>
      </c>
    </row>
    <row r="128" spans="2:7" ht="16.5">
      <c r="B128" s="68" t="str">
        <f>+E51</f>
        <v>Lucros Acumul.</v>
      </c>
      <c r="C128" s="69">
        <f>+F10</f>
        <v>600</v>
      </c>
      <c r="D128" s="26">
        <f>+F76-D125</f>
        <v>-1252.6799999999976</v>
      </c>
      <c r="E128" s="72">
        <f>+G10</f>
        <v>2035</v>
      </c>
      <c r="F128" s="44">
        <f>+D128+E147</f>
        <v>-983.7199999999934</v>
      </c>
      <c r="G128" s="27"/>
    </row>
    <row r="129" spans="2:6" ht="16.5">
      <c r="B129" s="68" t="str">
        <f>+E52</f>
        <v>PL</v>
      </c>
      <c r="C129" s="69">
        <f>+C127+C128</f>
        <v>15600</v>
      </c>
      <c r="D129" s="26">
        <f>+D127+D128</f>
        <v>18712.320000000003</v>
      </c>
      <c r="E129" s="69">
        <f>+E127+E128</f>
        <v>17035</v>
      </c>
      <c r="F129" s="26">
        <f>+F127+F128</f>
        <v>18981.280000000006</v>
      </c>
    </row>
    <row r="130" spans="2:6" ht="13.5">
      <c r="B130" s="70" t="str">
        <f>+E53</f>
        <v>P + PL</v>
      </c>
      <c r="C130" s="78">
        <f>+C126+C129</f>
        <v>25600</v>
      </c>
      <c r="D130" s="79">
        <f>+D126+D129</f>
        <v>30377.600000000006</v>
      </c>
      <c r="E130" s="78">
        <f>+E126+E129</f>
        <v>27035</v>
      </c>
      <c r="F130" s="79">
        <f>+F126+F129</f>
        <v>29815.40000000001</v>
      </c>
    </row>
    <row r="132" spans="2:6" ht="13.5">
      <c r="B132" s="17"/>
      <c r="C132" s="33"/>
      <c r="D132" s="36"/>
      <c r="E132" s="34">
        <v>2001</v>
      </c>
      <c r="F132" s="35">
        <f>+C119+D119+E119+F119-F130-E130-D130-C130</f>
        <v>0</v>
      </c>
    </row>
    <row r="133" spans="2:5" ht="16.5">
      <c r="B133" s="21"/>
      <c r="C133" s="84" t="s">
        <v>60</v>
      </c>
      <c r="D133" s="85" t="s">
        <v>31</v>
      </c>
      <c r="E133" s="86" t="s">
        <v>64</v>
      </c>
    </row>
    <row r="134" spans="2:5" ht="13.5">
      <c r="B134" s="21" t="s">
        <v>15</v>
      </c>
      <c r="C134" s="102">
        <f>+D15</f>
        <v>60000</v>
      </c>
      <c r="D134" s="55">
        <f>+D57</f>
        <v>60000</v>
      </c>
      <c r="E134" s="43">
        <f aca="true" t="shared" si="10" ref="E134:E139">+D81</f>
        <v>62928.5308902091</v>
      </c>
    </row>
    <row r="135" spans="2:7" ht="16.5">
      <c r="B135" s="21" t="s">
        <v>16</v>
      </c>
      <c r="C135" s="56">
        <f>+D16</f>
        <v>-46000</v>
      </c>
      <c r="D135" s="56">
        <f>+D58</f>
        <v>-46000</v>
      </c>
      <c r="E135" s="44">
        <f t="shared" si="10"/>
        <v>-49342.824712167276</v>
      </c>
      <c r="G135" s="27"/>
    </row>
    <row r="136" spans="2:5" ht="13.5">
      <c r="B136" s="21" t="s">
        <v>17</v>
      </c>
      <c r="C136" s="55">
        <f>+D17</f>
        <v>14000</v>
      </c>
      <c r="D136" s="55">
        <f>+D59</f>
        <v>14000</v>
      </c>
      <c r="E136" s="43">
        <f t="shared" si="10"/>
        <v>13585.706178041823</v>
      </c>
    </row>
    <row r="137" spans="2:7" ht="13.5">
      <c r="B137" s="21" t="s">
        <v>18</v>
      </c>
      <c r="C137" s="55">
        <f>+D18</f>
        <v>-1200</v>
      </c>
      <c r="D137" s="81">
        <f>+D60</f>
        <v>-1597.2000000000007</v>
      </c>
      <c r="E137" s="43">
        <f t="shared" si="10"/>
        <v>-1597.2000000000007</v>
      </c>
      <c r="G137" s="27"/>
    </row>
    <row r="138" spans="2:5" ht="13.5">
      <c r="B138" s="21" t="s">
        <v>19</v>
      </c>
      <c r="C138" s="55">
        <f>+D19</f>
        <v>-10000</v>
      </c>
      <c r="D138" s="55">
        <f>+D61</f>
        <v>-10000</v>
      </c>
      <c r="E138" s="43">
        <f t="shared" si="10"/>
        <v>-10488.088481701516</v>
      </c>
    </row>
    <row r="139" spans="2:5" ht="16.5">
      <c r="B139" s="61" t="s">
        <v>65</v>
      </c>
      <c r="C139" s="103" t="s">
        <v>63</v>
      </c>
      <c r="D139" s="103" t="s">
        <v>63</v>
      </c>
      <c r="E139" s="88">
        <f t="shared" si="10"/>
        <v>-197.6176963403031</v>
      </c>
    </row>
    <row r="140" spans="2:5" ht="13.5">
      <c r="B140" s="21" t="s">
        <v>72</v>
      </c>
      <c r="C140" s="55">
        <f>SUM(C136:C139)</f>
        <v>2800</v>
      </c>
      <c r="D140" s="55">
        <f>SUM(D136:D139)</f>
        <v>2402.7999999999993</v>
      </c>
      <c r="E140" s="43">
        <f>SUM(E136:E139)</f>
        <v>1302.800000000003</v>
      </c>
    </row>
    <row r="141" spans="2:5" ht="16.5">
      <c r="B141" s="21" t="s">
        <v>20</v>
      </c>
      <c r="C141" s="56">
        <f>+D21</f>
        <v>750</v>
      </c>
      <c r="D141" s="56">
        <f>+D62</f>
        <v>750</v>
      </c>
      <c r="E141" s="47">
        <f>+D88</f>
        <v>250</v>
      </c>
    </row>
    <row r="142" spans="2:5" ht="13.5">
      <c r="B142" s="61" t="s">
        <v>69</v>
      </c>
      <c r="C142" s="55">
        <f>+C140+C141</f>
        <v>3550</v>
      </c>
      <c r="D142" s="55">
        <f>+D140+D141</f>
        <v>3152.7999999999993</v>
      </c>
      <c r="E142" s="43">
        <f>+E140+E141</f>
        <v>1552.800000000003</v>
      </c>
    </row>
    <row r="143" spans="2:5" ht="13.5">
      <c r="B143" s="21" t="s">
        <v>21</v>
      </c>
      <c r="C143" s="82">
        <f>+D22</f>
        <v>-1500</v>
      </c>
      <c r="D143" s="82">
        <f>+D63</f>
        <v>-1500</v>
      </c>
      <c r="E143" s="52">
        <f>+D89</f>
        <v>-500</v>
      </c>
    </row>
    <row r="144" spans="2:7" ht="16.5">
      <c r="B144" s="61" t="s">
        <v>34</v>
      </c>
      <c r="C144" s="56" t="s">
        <v>63</v>
      </c>
      <c r="D144" s="83">
        <f>+D65</f>
        <v>-600</v>
      </c>
      <c r="E144" s="80" t="s">
        <v>63</v>
      </c>
      <c r="G144" s="27"/>
    </row>
    <row r="145" spans="2:5" ht="13.5">
      <c r="B145" s="21" t="s">
        <v>22</v>
      </c>
      <c r="C145" s="55">
        <f>SUM(C142:C144)</f>
        <v>2050</v>
      </c>
      <c r="D145" s="55">
        <f>SUM(D142:D144)</f>
        <v>1052.7999999999993</v>
      </c>
      <c r="E145" s="43">
        <f>SUM(E142:E144)</f>
        <v>1052.800000000003</v>
      </c>
    </row>
    <row r="146" spans="2:6" ht="16.5">
      <c r="B146" s="21" t="s">
        <v>23</v>
      </c>
      <c r="C146" s="56">
        <f>+D24</f>
        <v>-615</v>
      </c>
      <c r="D146" s="56">
        <f>+D67</f>
        <v>-615</v>
      </c>
      <c r="E146" s="47">
        <f>+D146+D125-F125</f>
        <v>-783.8399999999988</v>
      </c>
      <c r="F146" s="112">
        <f>+-E146/E145</f>
        <v>0.744528875379936</v>
      </c>
    </row>
    <row r="147" spans="2:5" ht="13.5">
      <c r="B147" s="28" t="s">
        <v>24</v>
      </c>
      <c r="C147" s="81">
        <f>+C145+C146</f>
        <v>1435</v>
      </c>
      <c r="D147" s="124">
        <f>+D145+D146</f>
        <v>437.7999999999993</v>
      </c>
      <c r="E147" s="52">
        <f>+E145+E146</f>
        <v>268.96000000000413</v>
      </c>
    </row>
    <row r="148" spans="3:5" ht="13.5">
      <c r="C148" s="17"/>
      <c r="D148" s="89" t="s">
        <v>84</v>
      </c>
      <c r="E148" s="118">
        <f>+-C24*E145</f>
        <v>-315.8400000000009</v>
      </c>
    </row>
    <row r="149" spans="3:5" ht="16.5">
      <c r="C149" s="21"/>
      <c r="D149" s="54" t="s">
        <v>85</v>
      </c>
      <c r="E149" s="44">
        <f>+-C24*E29*F11</f>
        <v>-468</v>
      </c>
    </row>
    <row r="150" spans="3:5" ht="13.5">
      <c r="C150" s="28"/>
      <c r="D150" s="30"/>
      <c r="E150" s="119">
        <f>+E148+E149</f>
        <v>-783.8400000000008</v>
      </c>
    </row>
    <row r="151" spans="2:6" ht="13.5">
      <c r="B151" s="63" t="s">
        <v>79</v>
      </c>
      <c r="F151" s="87"/>
    </row>
    <row r="152" spans="2:6" ht="13.5">
      <c r="B152" s="63"/>
      <c r="C152" s="104" t="s">
        <v>60</v>
      </c>
      <c r="D152" s="105" t="s">
        <v>30</v>
      </c>
      <c r="E152" s="104" t="s">
        <v>60</v>
      </c>
      <c r="F152" s="105" t="s">
        <v>30</v>
      </c>
    </row>
    <row r="153" spans="2:6" ht="13.5">
      <c r="B153" s="63"/>
      <c r="C153" s="106">
        <v>36891</v>
      </c>
      <c r="D153" s="107">
        <v>36891</v>
      </c>
      <c r="E153" s="106">
        <v>37256</v>
      </c>
      <c r="F153" s="107">
        <v>37256</v>
      </c>
    </row>
    <row r="154" spans="2:6" ht="13.5">
      <c r="B154" s="17" t="s">
        <v>66</v>
      </c>
      <c r="C154" s="95">
        <f>+(C113+C114+C115+C116)/(C126)</f>
        <v>1.6</v>
      </c>
      <c r="D154" s="95">
        <f>+(D113+D114+D115+D116)/(D126)</f>
        <v>1.5087507543753769</v>
      </c>
      <c r="E154" s="95">
        <f>+(E113+E114+E115+E116)/(E126)</f>
        <v>1.8635</v>
      </c>
      <c r="F154" s="96">
        <f>+(F113+F114+F115+F116)/(F126)</f>
        <v>1.7200289455904123</v>
      </c>
    </row>
    <row r="155" spans="2:6" ht="13.5">
      <c r="B155" s="21" t="s">
        <v>83</v>
      </c>
      <c r="C155" s="114">
        <f>+C126/C129</f>
        <v>0.6410256410256411</v>
      </c>
      <c r="D155" s="114">
        <f>+D126/D129</f>
        <v>0.6234010534236268</v>
      </c>
      <c r="E155" s="114">
        <f>+E126/E129</f>
        <v>0.587026709715292</v>
      </c>
      <c r="F155" s="115">
        <f>+F126/F129</f>
        <v>0.5707792098320028</v>
      </c>
    </row>
    <row r="156" spans="2:6" ht="13.5">
      <c r="B156" s="28" t="s">
        <v>68</v>
      </c>
      <c r="C156" s="116">
        <f>+(C117+C118)/C129</f>
        <v>0.6153846153846154</v>
      </c>
      <c r="D156" s="116">
        <f>+(D117+D118)/D129</f>
        <v>0.6828442437923251</v>
      </c>
      <c r="E156" s="116">
        <f>+(E117+E118)/E129</f>
        <v>0.4931024361608453</v>
      </c>
      <c r="F156" s="117">
        <f>+(F117+F118)/F129</f>
        <v>0.5890224473797341</v>
      </c>
    </row>
    <row r="157" spans="2:6" ht="13.5">
      <c r="B157" s="17"/>
      <c r="C157" s="108" t="s">
        <v>81</v>
      </c>
      <c r="D157" s="113"/>
      <c r="E157" s="109" t="s">
        <v>82</v>
      </c>
      <c r="F157" s="110"/>
    </row>
    <row r="158" spans="2:6" ht="13.5">
      <c r="B158" s="21" t="s">
        <v>70</v>
      </c>
      <c r="C158" s="94">
        <f>+C136/C134</f>
        <v>0.23333333333333334</v>
      </c>
      <c r="D158" s="94"/>
      <c r="E158" s="94">
        <f>+E136/E134</f>
        <v>0.21589104315409324</v>
      </c>
      <c r="F158" s="38"/>
    </row>
    <row r="159" spans="2:6" ht="13.5">
      <c r="B159" s="21" t="s">
        <v>71</v>
      </c>
      <c r="C159" s="97">
        <f>+C140/C134</f>
        <v>0.04666666666666667</v>
      </c>
      <c r="D159" s="97"/>
      <c r="E159" s="97">
        <f>+E140/E134</f>
        <v>0.02070285102115267</v>
      </c>
      <c r="F159" s="38"/>
    </row>
    <row r="160" spans="2:6" ht="13.5">
      <c r="B160" s="21" t="s">
        <v>76</v>
      </c>
      <c r="C160" s="97">
        <f>+C147/C134</f>
        <v>0.023916666666666666</v>
      </c>
      <c r="D160" s="97"/>
      <c r="E160" s="97">
        <f>+E147/E134</f>
        <v>0.004274054966724974</v>
      </c>
      <c r="F160" s="38" t="s">
        <v>86</v>
      </c>
    </row>
    <row r="161" spans="2:6" ht="13.5">
      <c r="B161" s="21" t="s">
        <v>73</v>
      </c>
      <c r="C161" s="97">
        <f>+C140*(1-$C$24)/(C119-C114)</f>
        <v>0.09514563106796116</v>
      </c>
      <c r="D161" s="97"/>
      <c r="E161" s="125">
        <f>+E140*(1-$C$24)/(D119-D114)</f>
        <v>0.03665787696562377</v>
      </c>
      <c r="F161" s="126">
        <f>+E140*(1-F146)/(D119-D114)</f>
        <v>0.013378612935131207</v>
      </c>
    </row>
    <row r="162" spans="2:6" ht="13.5">
      <c r="B162" s="21" t="s">
        <v>80</v>
      </c>
      <c r="C162" s="97">
        <f>+C141*(1-$C$24)/C114</f>
        <v>0.105</v>
      </c>
      <c r="D162" s="99"/>
      <c r="E162" s="125">
        <f>+E141*(1-C24)/D114</f>
        <v>0.031818181818181815</v>
      </c>
      <c r="F162" s="126">
        <f>+E141*(1-F146)/(E119-E114)</f>
        <v>0.003000600477097299</v>
      </c>
    </row>
    <row r="163" spans="2:6" ht="13.5">
      <c r="B163" s="21" t="s">
        <v>74</v>
      </c>
      <c r="C163" s="97">
        <f>+C142*(1-C24)/C119</f>
        <v>0.0970703125</v>
      </c>
      <c r="D163" s="98"/>
      <c r="E163" s="121">
        <f>+E142*(1-C24)/D119</f>
        <v>0.03578162856841889</v>
      </c>
      <c r="F163" s="122">
        <f>+E142*(1-F146)/D119</f>
        <v>0.013058818415873412</v>
      </c>
    </row>
    <row r="164" spans="2:6" ht="13.5">
      <c r="B164" s="21" t="s">
        <v>77</v>
      </c>
      <c r="C164" s="97">
        <f>-C143*(1-C24)/C124</f>
        <v>0.105</v>
      </c>
      <c r="D164" s="98"/>
      <c r="E164" s="121">
        <f>-E143*(1-C24)/D124</f>
        <v>0.031818181818181815</v>
      </c>
      <c r="F164" s="122">
        <f>-E143*(1-F146)/D124</f>
        <v>0.011612323846366547</v>
      </c>
    </row>
    <row r="165" spans="2:6" ht="13.5">
      <c r="B165" s="28" t="s">
        <v>78</v>
      </c>
      <c r="C165" s="100">
        <f>+C147/C129</f>
        <v>0.0919871794871795</v>
      </c>
      <c r="D165" s="101"/>
      <c r="E165" s="120">
        <f>+E147/D129</f>
        <v>0.014373418154456747</v>
      </c>
      <c r="F165" s="123">
        <f>+E147/D129</f>
        <v>0.014373418154456747</v>
      </c>
    </row>
    <row r="168" spans="6:8" ht="13.5">
      <c r="F168" s="129"/>
      <c r="G168" s="129"/>
      <c r="H168" s="129"/>
    </row>
    <row r="169" spans="6:8" ht="13.5">
      <c r="F169" s="129"/>
      <c r="G169" s="129"/>
      <c r="H169" s="129"/>
    </row>
    <row r="170" spans="4:8" ht="13.5">
      <c r="D170" s="27"/>
      <c r="F170" s="129"/>
      <c r="G170" s="129"/>
      <c r="H170" s="129"/>
    </row>
    <row r="171" spans="4:8" ht="13.5">
      <c r="D171" s="27"/>
      <c r="E171" s="27"/>
      <c r="F171" s="129"/>
      <c r="G171" s="129"/>
      <c r="H171" s="129"/>
    </row>
    <row r="172" spans="6:8" ht="13.5">
      <c r="F172" s="129"/>
      <c r="G172" s="129"/>
      <c r="H172" s="129"/>
    </row>
    <row r="173" spans="6:8" ht="13.5">
      <c r="F173" s="129"/>
      <c r="G173" s="129"/>
      <c r="H173" s="129"/>
    </row>
    <row r="174" spans="6:8" ht="13.5">
      <c r="F174" s="129"/>
      <c r="G174" s="129"/>
      <c r="H174" s="129"/>
    </row>
    <row r="175" spans="6:8" ht="13.5">
      <c r="F175" s="129"/>
      <c r="G175" s="129"/>
      <c r="H175" s="129"/>
    </row>
    <row r="176" spans="6:8" ht="13.5">
      <c r="F176" s="129"/>
      <c r="G176" s="129"/>
      <c r="H176" s="129"/>
    </row>
    <row r="177" spans="7:8" ht="13.5">
      <c r="G177" s="129"/>
      <c r="H177" s="129"/>
    </row>
    <row r="178" spans="7:8" ht="13.5">
      <c r="G178" s="129"/>
      <c r="H178" s="129"/>
    </row>
  </sheetData>
  <sheetProtection/>
  <mergeCells count="4">
    <mergeCell ref="C111:D111"/>
    <mergeCell ref="E111:F111"/>
    <mergeCell ref="C121:D121"/>
    <mergeCell ref="E121:F12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Eliseu Martins</dc:creator>
  <cp:keywords/>
  <dc:description/>
  <cp:lastModifiedBy>Eliseu Martins</cp:lastModifiedBy>
  <dcterms:created xsi:type="dcterms:W3CDTF">2010-06-28T13:04:10Z</dcterms:created>
  <dcterms:modified xsi:type="dcterms:W3CDTF">2019-05-03T02:26:31Z</dcterms:modified>
  <cp:category/>
  <cp:version/>
  <cp:contentType/>
  <cp:contentStatus/>
</cp:coreProperties>
</file>