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9280" windowHeight="1554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<sst xmlns="http://schemas.openxmlformats.org/spreadsheetml/2006/main" count="148" uniqueCount="90">
  <si>
    <t>Prof. Eliseu Martins</t>
  </si>
  <si>
    <t>1) Balanços Patrimoniais</t>
  </si>
  <si>
    <t>(Em R$ mil)</t>
  </si>
  <si>
    <t>Inicial</t>
  </si>
  <si>
    <t>Final</t>
  </si>
  <si>
    <t>Caixa</t>
  </si>
  <si>
    <t>Operações de Crédito</t>
  </si>
  <si>
    <t>Empréstimos</t>
  </si>
  <si>
    <t>Capital</t>
  </si>
  <si>
    <t>Lucros Ac.</t>
  </si>
  <si>
    <t>2) Demonstração do Resultado</t>
  </si>
  <si>
    <t>Receitas Financeiras</t>
  </si>
  <si>
    <t>Despesas Financeiras</t>
  </si>
  <si>
    <t>Despesas Operacionais</t>
  </si>
  <si>
    <t>LAIR</t>
  </si>
  <si>
    <t>IR</t>
  </si>
  <si>
    <t>LL/PL</t>
  </si>
  <si>
    <t>LL</t>
  </si>
  <si>
    <t>3) Comente a Afirmação de um "Contador":</t>
  </si>
  <si>
    <t>"É uma pena que, com a redução da inflação neste ano para apenas</t>
  </si>
  <si>
    <t>, nossos</t>
  </si>
  <si>
    <t xml:space="preserve">acionistas não tenham conseguido ganhar mais do que </t>
  </si>
  <si>
    <t>.</t>
  </si>
  <si>
    <t>4) Balanços Patrimoniais</t>
  </si>
  <si>
    <t>Terrenos</t>
  </si>
  <si>
    <t>Empréstimos LP</t>
  </si>
  <si>
    <t>5) Demonstração do Resultado</t>
  </si>
  <si>
    <t>Receitas Operacionais</t>
  </si>
  <si>
    <t>6) Comente a Afirmação de um "Contador":</t>
  </si>
  <si>
    <t xml:space="preserve">"Que maluquice se ainda existisse a correção monetária. Com inflação de </t>
  </si>
  <si>
    <t>essa empresa teria que distribuir dividendos;ela só daria Resultado por causa daquela</t>
  </si>
  <si>
    <t>correção monetária maluca que existia. Teria o tal do "lucro inflacionário".</t>
  </si>
  <si>
    <t>Coitada, ainda teria que pagar imposto de renda."</t>
  </si>
  <si>
    <t>7) Informação Adicional</t>
  </si>
  <si>
    <t>O empréstimo começará a ser pago no fim do próximo ano; o prazo para a</t>
  </si>
  <si>
    <t>amortização é de 5 anos em 5 prestações iguais, incluindo os juros. Comente.</t>
  </si>
  <si>
    <t>1) Balanços Patrimoniais Gerenciais</t>
  </si>
  <si>
    <t>2) Demonstração do Resultado Gerencial</t>
  </si>
  <si>
    <t>Correção Monetária</t>
  </si>
  <si>
    <t>do anterior</t>
  </si>
  <si>
    <t>4) Balanços Patrimoniais "De Antigamente"</t>
  </si>
  <si>
    <t>Prov. Imp. Renda</t>
  </si>
  <si>
    <t>Permanente</t>
  </si>
  <si>
    <t xml:space="preserve">    Acréscimo Nominal do Pat. Líquido</t>
  </si>
  <si>
    <t>Pat. Líquido</t>
  </si>
  <si>
    <r>
      <t xml:space="preserve">LAIR = </t>
    </r>
    <r>
      <rPr>
        <i/>
        <sz val="10"/>
        <rFont val="MS Sans Serif"/>
        <family val="2"/>
      </rPr>
      <t xml:space="preserve">Acréscimo Real do Pat. Líquido </t>
    </r>
  </si>
  <si>
    <t>Imp. Renda Diferido</t>
  </si>
  <si>
    <t>Geração de Caixa de</t>
  </si>
  <si>
    <t>sobre o ativo</t>
  </si>
  <si>
    <t>Amortização da Dívida em 5 anos, com juros reais de</t>
  </si>
  <si>
    <t>!!!</t>
  </si>
  <si>
    <t xml:space="preserve">          FEARP/USP</t>
  </si>
  <si>
    <t xml:space="preserve">              DEPTO. CONTABILIDADE</t>
  </si>
  <si>
    <t>(a)</t>
  </si>
  <si>
    <t>(a) Perda no Caixa</t>
  </si>
  <si>
    <t>ANÁLISE DE BALANÇOS</t>
  </si>
  <si>
    <t>Cor. Integral v1</t>
  </si>
  <si>
    <t>Cor. Integral v2</t>
  </si>
  <si>
    <t>Lei Soc à Inglesa</t>
  </si>
  <si>
    <t>Cor. Integral</t>
  </si>
  <si>
    <t>IR Diferido</t>
  </si>
  <si>
    <t>LL/PL =</t>
  </si>
  <si>
    <t>?</t>
  </si>
  <si>
    <t>Análise do IR</t>
  </si>
  <si>
    <t>Lucro correto</t>
  </si>
  <si>
    <t>Capital x infl.</t>
  </si>
  <si>
    <t>5) Demonstração do Resultado "De Antigamente" com IR da época</t>
  </si>
  <si>
    <t>Bal. Inicial CI</t>
  </si>
  <si>
    <t xml:space="preserve">, ou seja, retorno real Antes IR de </t>
  </si>
  <si>
    <t xml:space="preserve">Amortização Anual Possível =  </t>
  </si>
  <si>
    <t>IR de hoje</t>
  </si>
  <si>
    <t>IR Antigo</t>
  </si>
  <si>
    <t>E… o IR na venda do Terreno?</t>
  </si>
  <si>
    <t xml:space="preserve">Logo, o IR correto = </t>
  </si>
  <si>
    <t>no Passivo</t>
  </si>
  <si>
    <t>Logo….</t>
  </si>
  <si>
    <t>Perdas no Caixa</t>
  </si>
  <si>
    <t>Lucro Antes do IR</t>
  </si>
  <si>
    <t>Ger. CI</t>
  </si>
  <si>
    <t>Caixa após pagamento dos juros e IR =</t>
  </si>
  <si>
    <t>Lei Soc. Antiga</t>
  </si>
  <si>
    <t>LL/PL  =</t>
  </si>
  <si>
    <t>6) Demonstração Gerencial do Resultado de Hoje (IR de hoje)</t>
  </si>
  <si>
    <t>7) Demonstrações Gerenciais em Correção Integral</t>
  </si>
  <si>
    <t>Exercício 2</t>
  </si>
  <si>
    <t>Exercício 3</t>
  </si>
  <si>
    <t>Exercício 2 Solução</t>
  </si>
  <si>
    <t>Exercício 3 Solução</t>
  </si>
  <si>
    <t>Perda no Caixa</t>
  </si>
  <si>
    <t>(só alterar taxa de inflação em f30)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</si>
</sst>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\R\$#,##0_);\(\R\$#,##0\)"/>
    <numFmt numFmtId="179" formatCode="0.0000"/>
    <numFmt numFmtId="180" formatCode="&quot;Cr$&quot;#,##0_);\(&quot;Cr$&quot;#,##0\)"/>
    <numFmt numFmtId="181" formatCode="\R\$#,##0.0000_);\(\R\$#,##0\)"/>
    <numFmt numFmtId="182" formatCode="0.0%"/>
    <numFmt numFmtId="183" formatCode="0.000%"/>
    <numFmt numFmtId="184" formatCode="0.0000%"/>
    <numFmt numFmtId="185" formatCode="0.00000%"/>
    <numFmt numFmtId="186" formatCode="&quot;R$&quot;#,##0.0_);\(&quot;R$&quot;#,##0.0\)"/>
    <numFmt numFmtId="187" formatCode="&quot;R$&quot;#,##0.000_);\(&quot;R$&quot;#,##0.000\)"/>
    <numFmt numFmtId="188" formatCode="&quot;R$&quot;#,##0.0000_);\(&quot;R$&quot;#,##0.0000\)"/>
    <numFmt numFmtId="189" formatCode="_(&quot;R$&quot;* #,##0.0_);_(&quot;R$&quot;* \(#,##0.0\);_(&quot;R$&quot;* &quot;-&quot;??_);_(@_)"/>
    <numFmt numFmtId="190" formatCode="_(&quot;R$&quot;* #,##0_);_(&quot;R$&quot;* \(#,##0\);_(&quot;R$&quot;* &quot;-&quot;??_);_(@_)"/>
    <numFmt numFmtId="191" formatCode="0.000000%"/>
    <numFmt numFmtId="192" formatCode="&quot;R$&quot;#,##0.0_);[Red]\(&quot;R$&quot;#,##0.0\)"/>
    <numFmt numFmtId="193" formatCode=";;;"/>
    <numFmt numFmtId="194" formatCode="_-[$$-409]* #,##0.00_ ;_-[$$-409]* \-#,##0.00\ ;_-[$$-409]* &quot;-&quot;??_ ;_-@_ 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MS Sans Serif"/>
      <family val="2"/>
    </font>
    <font>
      <b/>
      <sz val="14"/>
      <name val="MS Sans Serif"/>
      <family val="2"/>
    </font>
    <font>
      <i/>
      <sz val="10"/>
      <name val="MS Sans Serif"/>
      <family val="2"/>
    </font>
    <font>
      <sz val="16"/>
      <name val="MS Sans Serif"/>
      <family val="2"/>
    </font>
    <font>
      <sz val="8"/>
      <name val="Arial"/>
      <family val="2"/>
    </font>
    <font>
      <sz val="10"/>
      <name val="Braggadocio"/>
      <family val="0"/>
    </font>
    <font>
      <b/>
      <u val="single"/>
      <sz val="10"/>
      <name val="Arial"/>
      <family val="2"/>
    </font>
    <font>
      <b/>
      <u val="singleAccounting"/>
      <sz val="10"/>
      <name val="MS Sans Serif"/>
      <family val="2"/>
    </font>
    <font>
      <u val="singleAccounting"/>
      <sz val="10"/>
      <name val="MS Sans Serif"/>
      <family val="0"/>
    </font>
    <font>
      <b/>
      <u val="single"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Border="1" applyAlignment="1" quotePrefix="1">
      <alignment horizontal="centerContinuous"/>
    </xf>
    <xf numFmtId="0" fontId="4" fillId="0" borderId="0" xfId="0" applyFont="1" applyFill="1" applyBorder="1" applyAlignment="1" quotePrefix="1">
      <alignment horizontal="centerContinuous"/>
    </xf>
    <xf numFmtId="0" fontId="5" fillId="0" borderId="0" xfId="0" applyFont="1" applyFill="1" applyBorder="1" applyAlignment="1" quotePrefix="1">
      <alignment horizontal="centerContinuous"/>
    </xf>
    <xf numFmtId="178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9" fontId="5" fillId="0" borderId="0" xfId="57" applyFont="1" applyAlignment="1">
      <alignment/>
    </xf>
    <xf numFmtId="9" fontId="5" fillId="0" borderId="0" xfId="57" applyFont="1" applyAlignment="1">
      <alignment horizontal="center"/>
    </xf>
    <xf numFmtId="178" fontId="11" fillId="0" borderId="0" xfId="0" applyNumberFormat="1" applyFont="1" applyAlignment="1">
      <alignment horizontal="left"/>
    </xf>
    <xf numFmtId="164" fontId="6" fillId="0" borderId="10" xfId="0" applyNumberFormat="1" applyFont="1" applyBorder="1" applyAlignment="1">
      <alignment horizontal="right"/>
    </xf>
    <xf numFmtId="178" fontId="1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2" fontId="5" fillId="0" borderId="0" xfId="57" applyNumberFormat="1" applyFont="1" applyAlignment="1">
      <alignment/>
    </xf>
    <xf numFmtId="164" fontId="5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78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164" fontId="6" fillId="0" borderId="15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right"/>
    </xf>
    <xf numFmtId="182" fontId="5" fillId="0" borderId="0" xfId="57" applyNumberFormat="1" applyFont="1" applyBorder="1" applyAlignment="1">
      <alignment/>
    </xf>
    <xf numFmtId="182" fontId="5" fillId="0" borderId="18" xfId="57" applyNumberFormat="1" applyFont="1" applyBorder="1" applyAlignment="1">
      <alignment horizontal="right"/>
    </xf>
    <xf numFmtId="182" fontId="5" fillId="0" borderId="19" xfId="57" applyNumberFormat="1" applyFont="1" applyBorder="1" applyAlignment="1">
      <alignment/>
    </xf>
    <xf numFmtId="182" fontId="5" fillId="0" borderId="18" xfId="57" applyNumberFormat="1" applyFont="1" applyBorder="1" applyAlignment="1">
      <alignment/>
    </xf>
    <xf numFmtId="182" fontId="5" fillId="0" borderId="20" xfId="57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0" fontId="5" fillId="0" borderId="22" xfId="57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0" fontId="5" fillId="0" borderId="0" xfId="57" applyNumberFormat="1" applyFont="1" applyBorder="1" applyAlignment="1">
      <alignment/>
    </xf>
    <xf numFmtId="10" fontId="0" fillId="0" borderId="0" xfId="57" applyNumberFormat="1" applyFont="1" applyBorder="1" applyAlignment="1">
      <alignment/>
    </xf>
    <xf numFmtId="190" fontId="5" fillId="0" borderId="18" xfId="0" applyNumberFormat="1" applyFont="1" applyBorder="1" applyAlignment="1">
      <alignment/>
    </xf>
    <xf numFmtId="190" fontId="5" fillId="0" borderId="20" xfId="0" applyNumberFormat="1" applyFont="1" applyBorder="1" applyAlignment="1">
      <alignment/>
    </xf>
    <xf numFmtId="190" fontId="14" fillId="0" borderId="20" xfId="0" applyNumberFormat="1" applyFont="1" applyBorder="1" applyAlignment="1">
      <alignment/>
    </xf>
    <xf numFmtId="190" fontId="5" fillId="0" borderId="19" xfId="0" applyNumberFormat="1" applyFont="1" applyBorder="1" applyAlignment="1">
      <alignment/>
    </xf>
    <xf numFmtId="184" fontId="5" fillId="0" borderId="0" xfId="57" applyNumberFormat="1" applyFont="1" applyAlignment="1">
      <alignment/>
    </xf>
    <xf numFmtId="164" fontId="0" fillId="0" borderId="10" xfId="0" applyNumberForma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64" fontId="5" fillId="0" borderId="16" xfId="0" applyNumberFormat="1" applyFont="1" applyBorder="1" applyAlignment="1">
      <alignment/>
    </xf>
    <xf numFmtId="9" fontId="5" fillId="0" borderId="13" xfId="57" applyNumberFormat="1" applyFont="1" applyBorder="1" applyAlignment="1">
      <alignment/>
    </xf>
    <xf numFmtId="9" fontId="5" fillId="0" borderId="15" xfId="57" applyNumberFormat="1" applyFont="1" applyBorder="1" applyAlignment="1">
      <alignment/>
    </xf>
    <xf numFmtId="182" fontId="5" fillId="0" borderId="15" xfId="57" applyNumberFormat="1" applyFont="1" applyBorder="1" applyAlignment="1">
      <alignment/>
    </xf>
    <xf numFmtId="182" fontId="6" fillId="0" borderId="15" xfId="57" applyNumberFormat="1" applyFont="1" applyBorder="1" applyAlignment="1">
      <alignment/>
    </xf>
    <xf numFmtId="182" fontId="5" fillId="0" borderId="17" xfId="57" applyNumberFormat="1" applyFont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182" fontId="5" fillId="0" borderId="23" xfId="57" applyNumberFormat="1" applyFont="1" applyBorder="1" applyAlignment="1">
      <alignment/>
    </xf>
    <xf numFmtId="0" fontId="5" fillId="0" borderId="23" xfId="0" applyFont="1" applyBorder="1" applyAlignment="1">
      <alignment/>
    </xf>
    <xf numFmtId="182" fontId="5" fillId="0" borderId="0" xfId="57" applyNumberFormat="1" applyFont="1" applyAlignment="1">
      <alignment horizontal="left"/>
    </xf>
    <xf numFmtId="9" fontId="4" fillId="0" borderId="0" xfId="57" applyFont="1" applyBorder="1" applyAlignment="1">
      <alignment horizontal="center"/>
    </xf>
    <xf numFmtId="164" fontId="5" fillId="0" borderId="18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5" fillId="0" borderId="20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11" xfId="57" applyFont="1" applyBorder="1" applyAlignment="1">
      <alignment/>
    </xf>
    <xf numFmtId="164" fontId="5" fillId="0" borderId="12" xfId="0" applyNumberFormat="1" applyFont="1" applyBorder="1" applyAlignment="1">
      <alignment horizontal="right"/>
    </xf>
    <xf numFmtId="9" fontId="5" fillId="0" borderId="14" xfId="57" applyFont="1" applyBorder="1" applyAlignment="1">
      <alignment/>
    </xf>
    <xf numFmtId="9" fontId="5" fillId="0" borderId="16" xfId="57" applyFont="1" applyBorder="1" applyAlignment="1">
      <alignment horizontal="left"/>
    </xf>
    <xf numFmtId="182" fontId="5" fillId="0" borderId="10" xfId="57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/>
    </xf>
    <xf numFmtId="9" fontId="1" fillId="0" borderId="12" xfId="57" applyNumberFormat="1" applyFont="1" applyBorder="1" applyAlignment="1">
      <alignment horizontal="center"/>
    </xf>
    <xf numFmtId="182" fontId="5" fillId="0" borderId="13" xfId="57" applyNumberFormat="1" applyFont="1" applyBorder="1" applyAlignment="1">
      <alignment/>
    </xf>
    <xf numFmtId="182" fontId="1" fillId="0" borderId="0" xfId="57" applyNumberFormat="1" applyFont="1" applyBorder="1" applyAlignment="1">
      <alignment horizontal="center"/>
    </xf>
    <xf numFmtId="0" fontId="0" fillId="0" borderId="16" xfId="0" applyBorder="1" applyAlignment="1">
      <alignment/>
    </xf>
    <xf numFmtId="165" fontId="0" fillId="0" borderId="10" xfId="0" applyNumberFormat="1" applyBorder="1" applyAlignment="1">
      <alignment horizontal="center"/>
    </xf>
    <xf numFmtId="190" fontId="0" fillId="0" borderId="10" xfId="44" applyNumberFormat="1" applyFont="1" applyBorder="1" applyAlignment="1">
      <alignment/>
    </xf>
    <xf numFmtId="164" fontId="5" fillId="0" borderId="20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178" fontId="15" fillId="0" borderId="13" xfId="0" applyNumberFormat="1" applyFont="1" applyBorder="1" applyAlignment="1">
      <alignment horizontal="center"/>
    </xf>
    <xf numFmtId="178" fontId="1" fillId="0" borderId="0" xfId="0" applyNumberFormat="1" applyFont="1" applyAlignment="1">
      <alignment/>
    </xf>
    <xf numFmtId="182" fontId="4" fillId="0" borderId="0" xfId="57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9" fontId="4" fillId="0" borderId="13" xfId="57" applyNumberFormat="1" applyFont="1" applyBorder="1" applyAlignment="1">
      <alignment/>
    </xf>
    <xf numFmtId="0" fontId="1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9" fontId="4" fillId="0" borderId="15" xfId="57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182" fontId="4" fillId="0" borderId="15" xfId="57" applyNumberFormat="1" applyFont="1" applyBorder="1" applyAlignment="1">
      <alignment/>
    </xf>
    <xf numFmtId="0" fontId="16" fillId="0" borderId="14" xfId="0" applyFont="1" applyBorder="1" applyAlignment="1">
      <alignment horizontal="right"/>
    </xf>
    <xf numFmtId="164" fontId="16" fillId="0" borderId="0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182" fontId="15" fillId="0" borderId="15" xfId="57" applyNumberFormat="1" applyFont="1" applyBorder="1" applyAlignment="1">
      <alignment/>
    </xf>
    <xf numFmtId="0" fontId="16" fillId="0" borderId="16" xfId="0" applyFont="1" applyBorder="1" applyAlignment="1">
      <alignment horizontal="right"/>
    </xf>
    <xf numFmtId="0" fontId="1" fillId="0" borderId="10" xfId="0" applyFont="1" applyBorder="1" applyAlignment="1">
      <alignment/>
    </xf>
    <xf numFmtId="164" fontId="4" fillId="0" borderId="16" xfId="0" applyNumberFormat="1" applyFont="1" applyBorder="1" applyAlignment="1">
      <alignment/>
    </xf>
    <xf numFmtId="182" fontId="4" fillId="0" borderId="17" xfId="57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22" xfId="0" applyNumberFormat="1" applyFont="1" applyBorder="1" applyAlignment="1">
      <alignment/>
    </xf>
    <xf numFmtId="182" fontId="1" fillId="0" borderId="0" xfId="57" applyNumberFormat="1" applyFont="1" applyAlignment="1">
      <alignment/>
    </xf>
    <xf numFmtId="190" fontId="4" fillId="0" borderId="18" xfId="44" applyNumberFormat="1" applyFont="1" applyBorder="1" applyAlignment="1">
      <alignment/>
    </xf>
    <xf numFmtId="190" fontId="4" fillId="0" borderId="20" xfId="44" applyNumberFormat="1" applyFont="1" applyBorder="1" applyAlignment="1">
      <alignment/>
    </xf>
    <xf numFmtId="190" fontId="13" fillId="0" borderId="20" xfId="44" applyNumberFormat="1" applyFont="1" applyBorder="1" applyAlignment="1">
      <alignment/>
    </xf>
    <xf numFmtId="190" fontId="4" fillId="0" borderId="19" xfId="44" applyNumberFormat="1" applyFont="1" applyBorder="1" applyAlignment="1">
      <alignment/>
    </xf>
    <xf numFmtId="0" fontId="17" fillId="0" borderId="0" xfId="0" applyFont="1" applyAlignment="1">
      <alignment/>
    </xf>
    <xf numFmtId="194" fontId="5" fillId="0" borderId="0" xfId="57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44" applyNumberFormat="1" applyFont="1" applyAlignment="1">
      <alignment/>
    </xf>
    <xf numFmtId="194" fontId="0" fillId="0" borderId="0" xfId="0" applyNumberFormat="1" applyBorder="1" applyAlignment="1">
      <alignment/>
    </xf>
    <xf numFmtId="194" fontId="0" fillId="0" borderId="0" xfId="44" applyNumberFormat="1" applyFont="1" applyAlignment="1">
      <alignment/>
    </xf>
    <xf numFmtId="164" fontId="5" fillId="0" borderId="0" xfId="0" applyNumberFormat="1" applyFont="1" applyBorder="1" applyAlignment="1">
      <alignment horizontal="center"/>
    </xf>
    <xf numFmtId="182" fontId="5" fillId="0" borderId="0" xfId="57" applyNumberFormat="1" applyFont="1" applyBorder="1" applyAlignment="1">
      <alignment horizontal="center"/>
    </xf>
    <xf numFmtId="182" fontId="5" fillId="0" borderId="21" xfId="57" applyNumberFormat="1" applyFont="1" applyBorder="1" applyAlignment="1">
      <alignment horizontal="center"/>
    </xf>
    <xf numFmtId="182" fontId="5" fillId="0" borderId="22" xfId="57" applyNumberFormat="1" applyFont="1" applyBorder="1" applyAlignment="1">
      <alignment horizontal="center"/>
    </xf>
    <xf numFmtId="182" fontId="4" fillId="0" borderId="21" xfId="57" applyNumberFormat="1" applyFont="1" applyBorder="1" applyAlignment="1">
      <alignment horizontal="center"/>
    </xf>
    <xf numFmtId="182" fontId="4" fillId="0" borderId="22" xfId="57" applyNumberFormat="1" applyFont="1" applyBorder="1" applyAlignment="1">
      <alignment horizontal="center"/>
    </xf>
    <xf numFmtId="9" fontId="52" fillId="33" borderId="0" xfId="57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91"/>
  <sheetViews>
    <sheetView showGridLines="0" tabSelected="1" zoomScale="190" zoomScaleNormal="190" workbookViewId="0" topLeftCell="B102">
      <selection activeCell="E183" sqref="E183"/>
    </sheetView>
  </sheetViews>
  <sheetFormatPr defaultColWidth="12.7109375" defaultRowHeight="12.75"/>
  <cols>
    <col min="1" max="1" width="1.8515625" style="0" customWidth="1"/>
    <col min="2" max="2" width="26.7109375" style="0" customWidth="1"/>
    <col min="3" max="3" width="12.7109375" style="0" customWidth="1"/>
    <col min="4" max="4" width="13.421875" style="0" customWidth="1"/>
    <col min="5" max="5" width="13.28125" style="0" customWidth="1"/>
    <col min="6" max="6" width="5.8515625" style="0" customWidth="1"/>
    <col min="7" max="7" width="13.7109375" style="37" customWidth="1"/>
    <col min="8" max="8" width="12.140625" style="0" bestFit="1" customWidth="1"/>
  </cols>
  <sheetData>
    <row r="1" spans="2:8" ht="36" customHeight="1">
      <c r="B1" s="18"/>
      <c r="C1" s="25" t="s">
        <v>51</v>
      </c>
      <c r="E1" s="20"/>
      <c r="F1" s="21"/>
      <c r="H1" s="22"/>
    </row>
    <row r="2" spans="2:8" ht="21">
      <c r="B2" s="18"/>
      <c r="C2" s="26" t="s">
        <v>52</v>
      </c>
      <c r="D2" s="23"/>
      <c r="E2" s="20"/>
      <c r="F2" s="21"/>
      <c r="H2" s="22"/>
    </row>
    <row r="3" spans="2:8" ht="12.75">
      <c r="B3" s="18"/>
      <c r="C3" s="96" t="s">
        <v>55</v>
      </c>
      <c r="D3" s="19"/>
      <c r="E3" s="20"/>
      <c r="F3" s="21"/>
      <c r="H3" s="22"/>
    </row>
    <row r="4" spans="2:8" ht="12.75">
      <c r="B4" s="18"/>
      <c r="C4" s="29"/>
      <c r="D4" s="19"/>
      <c r="E4" s="28" t="s">
        <v>0</v>
      </c>
      <c r="H4" s="22"/>
    </row>
    <row r="5" spans="2:10" ht="12.75">
      <c r="B5" s="1"/>
      <c r="C5" s="170" t="s">
        <v>84</v>
      </c>
      <c r="E5" s="34"/>
      <c r="F5" s="2"/>
      <c r="H5" s="3"/>
      <c r="I5" s="3"/>
      <c r="J5" s="3"/>
    </row>
    <row r="6" spans="2:10" ht="12.75">
      <c r="B6" s="1" t="s">
        <v>1</v>
      </c>
      <c r="E6" s="2"/>
      <c r="F6" s="2"/>
      <c r="H6" s="3"/>
      <c r="I6" s="3"/>
      <c r="J6" s="3"/>
    </row>
    <row r="7" spans="2:10" ht="12.75">
      <c r="B7" s="1"/>
      <c r="E7" s="39" t="s">
        <v>2</v>
      </c>
      <c r="F7" s="2"/>
      <c r="H7" s="3"/>
      <c r="I7" s="3"/>
      <c r="J7" s="3"/>
    </row>
    <row r="8" spans="2:10" ht="18" customHeight="1">
      <c r="B8" s="5"/>
      <c r="C8" s="6" t="s">
        <v>3</v>
      </c>
      <c r="E8" s="7" t="s">
        <v>4</v>
      </c>
      <c r="F8" s="2"/>
      <c r="H8" s="3"/>
      <c r="I8" s="3"/>
      <c r="J8" s="3"/>
    </row>
    <row r="9" spans="2:10" s="10" customFormat="1" ht="12.75">
      <c r="B9" s="5" t="s">
        <v>5</v>
      </c>
      <c r="C9" s="8">
        <v>1000</v>
      </c>
      <c r="D9" s="8"/>
      <c r="E9" s="8">
        <f>+C9+(D21+D22)/2--D23--D25+600</f>
        <v>800</v>
      </c>
      <c r="F9" s="8"/>
      <c r="G9" s="37"/>
      <c r="H9" s="9"/>
      <c r="I9" s="9"/>
      <c r="J9" s="9"/>
    </row>
    <row r="10" spans="2:10" s="10" customFormat="1" ht="12.75">
      <c r="B10" s="5" t="s">
        <v>6</v>
      </c>
      <c r="C10" s="11">
        <v>50000</v>
      </c>
      <c r="D10" s="8"/>
      <c r="E10" s="11">
        <f>+C10+D21/2</f>
        <v>55000</v>
      </c>
      <c r="F10" s="8"/>
      <c r="G10" s="37"/>
      <c r="H10" s="9"/>
      <c r="I10" s="9"/>
      <c r="J10" s="9"/>
    </row>
    <row r="11" spans="2:10" s="10" customFormat="1" ht="12.75">
      <c r="B11" s="5"/>
      <c r="C11" s="8">
        <f>SUM(C9:C10)</f>
        <v>51000</v>
      </c>
      <c r="D11" s="8"/>
      <c r="E11" s="8">
        <f>SUM(E9:E10)</f>
        <v>55800</v>
      </c>
      <c r="F11" s="8"/>
      <c r="G11" s="37"/>
      <c r="H11" s="9"/>
      <c r="I11" s="9"/>
      <c r="J11" s="9"/>
    </row>
    <row r="12" spans="2:10" s="10" customFormat="1" ht="12.75">
      <c r="B12" s="5"/>
      <c r="C12" s="8"/>
      <c r="D12" s="8"/>
      <c r="E12" s="8"/>
      <c r="F12" s="8"/>
      <c r="G12" s="37"/>
      <c r="H12" s="9"/>
      <c r="I12" s="9"/>
      <c r="J12" s="9"/>
    </row>
    <row r="13" spans="2:10" s="10" customFormat="1" ht="12.75">
      <c r="B13" s="5" t="s">
        <v>7</v>
      </c>
      <c r="C13" s="8">
        <v>46000</v>
      </c>
      <c r="D13" s="8"/>
      <c r="E13" s="38">
        <f>+C13-D22/2+600</f>
        <v>50100</v>
      </c>
      <c r="F13" s="8"/>
      <c r="G13" s="37"/>
      <c r="H13" s="9"/>
      <c r="I13" s="46"/>
      <c r="J13" s="9"/>
    </row>
    <row r="14" spans="2:10" s="10" customFormat="1" ht="12.75">
      <c r="B14" s="5" t="s">
        <v>8</v>
      </c>
      <c r="C14" s="8">
        <v>5000</v>
      </c>
      <c r="D14" s="8"/>
      <c r="E14" s="8">
        <f>+C14</f>
        <v>5000</v>
      </c>
      <c r="F14" s="8"/>
      <c r="H14" s="171"/>
      <c r="I14" s="46"/>
      <c r="J14" s="9"/>
    </row>
    <row r="15" spans="2:10" s="10" customFormat="1" ht="12.75">
      <c r="B15" s="5" t="s">
        <v>9</v>
      </c>
      <c r="C15" s="14">
        <v>0</v>
      </c>
      <c r="D15" s="8"/>
      <c r="E15" s="11">
        <f>+C15+D26</f>
        <v>700</v>
      </c>
      <c r="F15" s="8"/>
      <c r="G15" s="171"/>
      <c r="H15" s="9"/>
      <c r="I15" s="46"/>
      <c r="J15" s="9"/>
    </row>
    <row r="16" spans="2:10" s="10" customFormat="1" ht="12.75">
      <c r="B16" s="5"/>
      <c r="C16" s="8">
        <f>SUM(C13:C15)</f>
        <v>51000</v>
      </c>
      <c r="D16" s="8"/>
      <c r="E16" s="8">
        <f>SUM(E13:E15)</f>
        <v>55800</v>
      </c>
      <c r="F16" s="8"/>
      <c r="G16" s="171"/>
      <c r="H16" s="9"/>
      <c r="I16" s="172"/>
      <c r="J16" s="9"/>
    </row>
    <row r="17" spans="2:10" s="10" customFormat="1" ht="12.75">
      <c r="B17" s="5"/>
      <c r="C17" s="8"/>
      <c r="D17" s="8"/>
      <c r="E17" s="8"/>
      <c r="F17" s="8"/>
      <c r="G17" s="171"/>
      <c r="H17" s="9"/>
      <c r="I17" s="172"/>
      <c r="J17" s="9"/>
    </row>
    <row r="18" spans="2:10" s="10" customFormat="1" ht="12.75">
      <c r="B18" s="5"/>
      <c r="C18" s="8"/>
      <c r="D18" s="8"/>
      <c r="E18" s="8"/>
      <c r="F18" s="8"/>
      <c r="G18" s="37"/>
      <c r="H18" s="9"/>
      <c r="I18" s="172"/>
      <c r="J18" s="9"/>
    </row>
    <row r="19" spans="2:10" ht="12.75">
      <c r="B19" s="4" t="s">
        <v>10</v>
      </c>
      <c r="C19" s="12"/>
      <c r="D19" s="12"/>
      <c r="E19" s="12"/>
      <c r="F19" s="12"/>
      <c r="H19" s="3"/>
      <c r="I19" s="3"/>
      <c r="J19" s="3"/>
    </row>
    <row r="20" spans="2:10" s="10" customFormat="1" ht="12.75">
      <c r="B20" s="5"/>
      <c r="C20" s="8"/>
      <c r="D20" s="39" t="s">
        <v>2</v>
      </c>
      <c r="E20" s="8"/>
      <c r="F20" s="8"/>
      <c r="G20" s="37"/>
      <c r="H20" s="9"/>
      <c r="I20" s="172"/>
      <c r="J20" s="9"/>
    </row>
    <row r="21" spans="2:10" s="10" customFormat="1" ht="12.75">
      <c r="B21" s="5" t="s">
        <v>11</v>
      </c>
      <c r="C21" s="8"/>
      <c r="D21" s="13">
        <f>0.2*C10</f>
        <v>10000</v>
      </c>
      <c r="E21" s="37">
        <f aca="true" t="shared" si="0" ref="E21:E26">+D21/$D$21</f>
        <v>1</v>
      </c>
      <c r="F21" s="8"/>
      <c r="G21" s="37"/>
      <c r="H21" s="9"/>
      <c r="I21" s="172"/>
      <c r="J21" s="9"/>
    </row>
    <row r="22" spans="2:10" s="10" customFormat="1" ht="12.75">
      <c r="B22" s="5" t="s">
        <v>12</v>
      </c>
      <c r="C22" s="8"/>
      <c r="D22" s="13">
        <v>-7000</v>
      </c>
      <c r="E22" s="37">
        <f t="shared" si="0"/>
        <v>-0.7</v>
      </c>
      <c r="F22" s="8"/>
      <c r="G22" s="37"/>
      <c r="H22" s="9"/>
      <c r="I22" s="9"/>
      <c r="J22" s="9"/>
    </row>
    <row r="23" spans="2:10" s="10" customFormat="1" ht="12.75">
      <c r="B23" s="5" t="s">
        <v>13</v>
      </c>
      <c r="C23" s="8"/>
      <c r="D23" s="14">
        <v>-2000</v>
      </c>
      <c r="E23" s="37">
        <f t="shared" si="0"/>
        <v>-0.2</v>
      </c>
      <c r="F23" s="8"/>
      <c r="G23" s="37"/>
      <c r="H23" s="9"/>
      <c r="I23" s="9"/>
      <c r="J23" s="9"/>
    </row>
    <row r="24" spans="2:10" s="10" customFormat="1" ht="12.75">
      <c r="B24" s="15" t="s">
        <v>14</v>
      </c>
      <c r="C24" s="8"/>
      <c r="D24" s="13">
        <f>SUM(D21:D23)</f>
        <v>1000</v>
      </c>
      <c r="E24" s="37">
        <f t="shared" si="0"/>
        <v>0.1</v>
      </c>
      <c r="F24" s="8"/>
      <c r="G24" s="37"/>
      <c r="H24" s="9"/>
      <c r="I24" s="9"/>
      <c r="J24" s="9"/>
    </row>
    <row r="25" spans="2:10" s="10" customFormat="1" ht="12.75">
      <c r="B25" s="15" t="s">
        <v>15</v>
      </c>
      <c r="C25" s="30">
        <v>0.3</v>
      </c>
      <c r="D25" s="14">
        <f>-C25*D24</f>
        <v>-300</v>
      </c>
      <c r="E25" s="37">
        <f t="shared" si="0"/>
        <v>-0.03</v>
      </c>
      <c r="F25" s="8"/>
      <c r="G25" s="69" t="s">
        <v>16</v>
      </c>
      <c r="H25" s="9"/>
      <c r="I25" s="9"/>
      <c r="J25" s="9"/>
    </row>
    <row r="26" spans="2:10" s="10" customFormat="1" ht="12.75">
      <c r="B26" s="15" t="s">
        <v>17</v>
      </c>
      <c r="C26" s="8"/>
      <c r="D26" s="14">
        <f>SUM(D24:D25)</f>
        <v>700</v>
      </c>
      <c r="E26" s="37">
        <f t="shared" si="0"/>
        <v>0.07</v>
      </c>
      <c r="F26" s="8"/>
      <c r="G26" s="70">
        <f>+D26/C14</f>
        <v>0.14</v>
      </c>
      <c r="H26" s="9"/>
      <c r="I26" s="9"/>
      <c r="J26" s="9"/>
    </row>
    <row r="27" spans="2:10" s="10" customFormat="1" ht="12.75">
      <c r="B27" s="5"/>
      <c r="C27" s="8"/>
      <c r="D27" s="8"/>
      <c r="E27" s="8"/>
      <c r="F27" s="8"/>
      <c r="G27" s="37"/>
      <c r="H27" s="9"/>
      <c r="I27" s="9"/>
      <c r="J27" s="9"/>
    </row>
    <row r="28" spans="2:10" s="10" customFormat="1" ht="12.75">
      <c r="B28" s="1" t="s">
        <v>18</v>
      </c>
      <c r="C28" s="8"/>
      <c r="D28" s="8"/>
      <c r="E28" s="8"/>
      <c r="F28" s="8"/>
      <c r="G28" s="37"/>
      <c r="H28" s="9"/>
      <c r="I28" s="9"/>
      <c r="J28" s="9"/>
    </row>
    <row r="29" spans="2:10" s="10" customFormat="1" ht="12.75">
      <c r="B29" s="5"/>
      <c r="C29" s="8"/>
      <c r="D29" s="8"/>
      <c r="E29" s="8"/>
      <c r="F29" s="8"/>
      <c r="G29" s="37"/>
      <c r="H29" s="9"/>
      <c r="I29" s="9"/>
      <c r="J29" s="9"/>
    </row>
    <row r="30" spans="2:10" s="10" customFormat="1" ht="12.75">
      <c r="B30" s="5" t="s">
        <v>19</v>
      </c>
      <c r="C30" s="8"/>
      <c r="D30" s="8"/>
      <c r="E30" s="8"/>
      <c r="F30" s="182">
        <v>0.04</v>
      </c>
      <c r="G30" s="37" t="s">
        <v>20</v>
      </c>
      <c r="H30" s="9" t="s">
        <v>89</v>
      </c>
      <c r="I30" s="9"/>
      <c r="J30" s="9"/>
    </row>
    <row r="31" spans="2:10" s="10" customFormat="1" ht="12.75">
      <c r="B31" s="5" t="s">
        <v>21</v>
      </c>
      <c r="C31" s="8"/>
      <c r="D31" s="8"/>
      <c r="E31" s="31">
        <f>+D26/C14</f>
        <v>0.14</v>
      </c>
      <c r="F31" s="32" t="s">
        <v>22</v>
      </c>
      <c r="G31" s="37"/>
      <c r="H31" s="9"/>
      <c r="I31" s="9"/>
      <c r="J31" s="9"/>
    </row>
    <row r="32" spans="2:10" s="10" customFormat="1" ht="12.75">
      <c r="B32" s="5"/>
      <c r="C32" s="8"/>
      <c r="D32" s="8"/>
      <c r="E32" s="8"/>
      <c r="F32" s="8"/>
      <c r="G32" s="37"/>
      <c r="H32" s="9"/>
      <c r="I32" s="9"/>
      <c r="J32" s="9"/>
    </row>
    <row r="33" spans="2:10" s="10" customFormat="1" ht="12.75">
      <c r="B33" s="5"/>
      <c r="C33" s="8"/>
      <c r="D33" s="8"/>
      <c r="E33" s="8"/>
      <c r="F33" s="8"/>
      <c r="G33" s="37"/>
      <c r="H33" s="9"/>
      <c r="I33" s="9"/>
      <c r="J33" s="9"/>
    </row>
    <row r="34" spans="2:8" ht="18">
      <c r="B34" s="18"/>
      <c r="C34" s="25" t="s">
        <v>51</v>
      </c>
      <c r="E34" s="20"/>
      <c r="F34" s="21"/>
      <c r="H34" s="22"/>
    </row>
    <row r="35" spans="2:8" ht="21">
      <c r="B35" s="18"/>
      <c r="C35" s="26" t="s">
        <v>52</v>
      </c>
      <c r="D35" s="23"/>
      <c r="E35" s="20"/>
      <c r="F35" s="21"/>
      <c r="H35" s="22"/>
    </row>
    <row r="36" spans="2:8" ht="12.75">
      <c r="B36" s="18"/>
      <c r="C36" s="5" t="s">
        <v>55</v>
      </c>
      <c r="D36" s="19"/>
      <c r="E36" s="20"/>
      <c r="F36" s="21"/>
      <c r="H36" s="22"/>
    </row>
    <row r="37" spans="2:8" ht="12.75">
      <c r="B37" s="18"/>
      <c r="C37" s="29"/>
      <c r="D37" s="19"/>
      <c r="E37" s="28" t="s">
        <v>0</v>
      </c>
      <c r="H37" s="22"/>
    </row>
    <row r="38" spans="2:10" ht="12.75">
      <c r="B38" s="1"/>
      <c r="C38" s="170" t="s">
        <v>86</v>
      </c>
      <c r="D38" s="36"/>
      <c r="E38" s="34"/>
      <c r="F38" s="2"/>
      <c r="H38" s="3"/>
      <c r="I38" s="3"/>
      <c r="J38" s="3"/>
    </row>
    <row r="39" spans="2:10" ht="12.75">
      <c r="B39" s="1" t="s">
        <v>36</v>
      </c>
      <c r="E39" s="2"/>
      <c r="F39" s="2"/>
      <c r="H39" s="3"/>
      <c r="I39" s="3"/>
      <c r="J39" s="3"/>
    </row>
    <row r="40" spans="2:10" ht="12.75">
      <c r="B40" s="1"/>
      <c r="E40" s="39" t="s">
        <v>2</v>
      </c>
      <c r="F40" s="2"/>
      <c r="H40" s="3"/>
      <c r="I40" s="3"/>
      <c r="J40" s="3"/>
    </row>
    <row r="41" spans="2:10" s="10" customFormat="1" ht="12.75">
      <c r="B41" s="41"/>
      <c r="C41" s="42" t="s">
        <v>3</v>
      </c>
      <c r="D41" s="43"/>
      <c r="E41" s="44" t="s">
        <v>4</v>
      </c>
      <c r="F41" s="2"/>
      <c r="G41" s="37"/>
      <c r="H41" s="9"/>
      <c r="I41" s="9"/>
      <c r="J41" s="9"/>
    </row>
    <row r="42" spans="2:10" s="10" customFormat="1" ht="12.75">
      <c r="B42" s="45" t="s">
        <v>5</v>
      </c>
      <c r="C42" s="46">
        <f>+C9*(1+$G$100)</f>
        <v>1040</v>
      </c>
      <c r="D42" s="46"/>
      <c r="E42" s="47">
        <f>+E9</f>
        <v>800</v>
      </c>
      <c r="F42" s="8"/>
      <c r="G42" s="37"/>
      <c r="H42" s="9"/>
      <c r="I42" s="9"/>
      <c r="J42" s="9"/>
    </row>
    <row r="43" spans="2:10" s="10" customFormat="1" ht="12.75">
      <c r="B43" s="45" t="s">
        <v>6</v>
      </c>
      <c r="C43" s="48">
        <f>+C10*(1+$G$100)</f>
        <v>52000</v>
      </c>
      <c r="D43" s="46"/>
      <c r="E43" s="49">
        <f>+E10</f>
        <v>55000</v>
      </c>
      <c r="F43" s="8"/>
      <c r="G43" s="37"/>
      <c r="H43" s="9"/>
      <c r="I43" s="9"/>
      <c r="J43" s="9"/>
    </row>
    <row r="44" spans="2:10" s="10" customFormat="1" ht="12.75">
      <c r="B44" s="45"/>
      <c r="C44" s="46">
        <f>SUM(C42:C43)</f>
        <v>53040</v>
      </c>
      <c r="D44" s="46"/>
      <c r="E44" s="47">
        <f>SUM(E42:E43)</f>
        <v>55800</v>
      </c>
      <c r="F44" s="8"/>
      <c r="G44" s="37"/>
      <c r="H44" s="9"/>
      <c r="I44" s="9"/>
      <c r="J44" s="9"/>
    </row>
    <row r="45" spans="2:10" s="10" customFormat="1" ht="12.75">
      <c r="B45" s="45"/>
      <c r="C45" s="46"/>
      <c r="D45" s="46"/>
      <c r="E45" s="47"/>
      <c r="F45" s="8"/>
      <c r="G45" s="37"/>
      <c r="H45" s="9"/>
      <c r="I45" s="9"/>
      <c r="J45" s="9"/>
    </row>
    <row r="46" spans="2:10" s="10" customFormat="1" ht="12.75">
      <c r="B46" s="45" t="s">
        <v>7</v>
      </c>
      <c r="C46" s="46">
        <f>+C13*(1+$G$100)</f>
        <v>47840</v>
      </c>
      <c r="D46" s="46"/>
      <c r="E46" s="47">
        <f>+E13</f>
        <v>50100</v>
      </c>
      <c r="F46" s="46"/>
      <c r="G46" s="68"/>
      <c r="H46" s="9"/>
      <c r="I46" s="9"/>
      <c r="J46" s="9"/>
    </row>
    <row r="47" spans="2:10" s="10" customFormat="1" ht="12.75">
      <c r="B47" s="45" t="s">
        <v>8</v>
      </c>
      <c r="C47" s="46">
        <f>+C14*(1+$G$100)</f>
        <v>5200</v>
      </c>
      <c r="D47" s="46"/>
      <c r="E47" s="47">
        <f>+C47</f>
        <v>5200</v>
      </c>
      <c r="F47" s="46"/>
      <c r="G47" s="68"/>
      <c r="H47" s="177"/>
      <c r="I47" s="177"/>
      <c r="J47" s="9"/>
    </row>
    <row r="48" spans="2:10" s="10" customFormat="1" ht="12.75">
      <c r="B48" s="45" t="s">
        <v>9</v>
      </c>
      <c r="C48" s="50">
        <v>0</v>
      </c>
      <c r="D48" s="46"/>
      <c r="E48" s="49">
        <f>+C48+D61</f>
        <v>500</v>
      </c>
      <c r="F48" s="46"/>
      <c r="G48" s="68"/>
      <c r="H48" s="9"/>
      <c r="I48" s="9"/>
      <c r="J48" s="9"/>
    </row>
    <row r="49" spans="2:10" s="10" customFormat="1" ht="12.75">
      <c r="B49" s="51"/>
      <c r="C49" s="52">
        <f>SUM(C46:C48)</f>
        <v>53040</v>
      </c>
      <c r="D49" s="52"/>
      <c r="E49" s="53">
        <f>SUM(E46:E48)</f>
        <v>55800</v>
      </c>
      <c r="F49" s="46"/>
      <c r="G49" s="68"/>
      <c r="H49" s="177"/>
      <c r="I49" s="177"/>
      <c r="J49" s="9"/>
    </row>
    <row r="50" spans="2:10" s="10" customFormat="1" ht="12.75">
      <c r="B50" s="5"/>
      <c r="C50" s="8"/>
      <c r="D50" s="8"/>
      <c r="E50" s="8"/>
      <c r="F50" s="46"/>
      <c r="G50" s="176"/>
      <c r="H50" s="176"/>
      <c r="I50" s="9"/>
      <c r="J50" s="9"/>
    </row>
    <row r="51" spans="2:10" ht="12.75">
      <c r="B51" s="5"/>
      <c r="C51" s="8"/>
      <c r="D51" s="8"/>
      <c r="E51" s="8"/>
      <c r="F51" s="8"/>
      <c r="H51" s="3"/>
      <c r="I51" s="77"/>
      <c r="J51" s="3"/>
    </row>
    <row r="52" spans="2:10" s="10" customFormat="1" ht="12.75">
      <c r="B52" s="4" t="s">
        <v>37</v>
      </c>
      <c r="C52" s="12"/>
      <c r="D52" s="12"/>
      <c r="E52" s="12"/>
      <c r="F52" s="12"/>
      <c r="G52" s="37"/>
      <c r="H52" s="9"/>
      <c r="I52" s="9"/>
      <c r="J52" s="9"/>
    </row>
    <row r="53" spans="2:10" s="10" customFormat="1" ht="12.75">
      <c r="B53" s="5"/>
      <c r="C53" s="8"/>
      <c r="D53" s="98" t="s">
        <v>80</v>
      </c>
      <c r="E53" s="98" t="s">
        <v>56</v>
      </c>
      <c r="G53" s="98" t="s">
        <v>57</v>
      </c>
      <c r="J53" s="9"/>
    </row>
    <row r="54" spans="2:7" s="10" customFormat="1" ht="12.75">
      <c r="B54" s="41" t="s">
        <v>11</v>
      </c>
      <c r="C54" s="54"/>
      <c r="D54" s="101">
        <f>+D21</f>
        <v>10000</v>
      </c>
      <c r="E54" s="78">
        <f>+D54-F30*C10</f>
        <v>8000</v>
      </c>
      <c r="G54" s="166">
        <f>+D54*(SQRT(1+$G$100))-C10*$G$100-(E43-C10)*(SQRT(1+$G$100)-1)</f>
        <v>8099.019513592785</v>
      </c>
    </row>
    <row r="55" spans="2:7" s="10" customFormat="1" ht="12.75">
      <c r="B55" s="45" t="s">
        <v>12</v>
      </c>
      <c r="C55" s="46"/>
      <c r="D55" s="102">
        <f>+D22</f>
        <v>-7000</v>
      </c>
      <c r="E55" s="79">
        <f>+D55+F30*C13</f>
        <v>-5160</v>
      </c>
      <c r="G55" s="167">
        <f>+D55*(SQRT(1+$G$100))--C13*$G$100--(E46-C13)*(SQRT(1+$G$100)-1)</f>
        <v>-5217.431317883815</v>
      </c>
    </row>
    <row r="56" spans="2:7" s="10" customFormat="1" ht="12.75">
      <c r="B56" s="45" t="s">
        <v>13</v>
      </c>
      <c r="C56" s="46"/>
      <c r="D56" s="103">
        <f>+D23</f>
        <v>-2000</v>
      </c>
      <c r="E56" s="79">
        <f>+D56</f>
        <v>-2000</v>
      </c>
      <c r="G56" s="167">
        <f>+D56*(SQRT(1+$G$100))</f>
        <v>-2039.6078054371142</v>
      </c>
    </row>
    <row r="57" spans="2:7" s="10" customFormat="1" ht="15.75">
      <c r="B57" s="45"/>
      <c r="C57" s="46"/>
      <c r="D57" s="104">
        <f>SUM(D54:D56)</f>
        <v>1000</v>
      </c>
      <c r="E57" s="80">
        <f>-F30*C9</f>
        <v>-40</v>
      </c>
      <c r="F57" s="10" t="s">
        <v>53</v>
      </c>
      <c r="G57" s="168">
        <f>-C9*G100-(E9+-C9)*(SQRT(1+G100)-1)</f>
        <v>-36.03921945628859</v>
      </c>
    </row>
    <row r="58" spans="2:7" s="10" customFormat="1" ht="12.75">
      <c r="B58" s="57" t="s">
        <v>38</v>
      </c>
      <c r="C58" s="46"/>
      <c r="D58" s="105">
        <f>-F30*C14</f>
        <v>-200</v>
      </c>
      <c r="E58" s="79"/>
      <c r="G58" s="167"/>
    </row>
    <row r="59" spans="2:7" s="10" customFormat="1" ht="12.75">
      <c r="B59" s="59" t="s">
        <v>14</v>
      </c>
      <c r="C59" s="46"/>
      <c r="D59" s="104">
        <f>SUM(D57:D58)</f>
        <v>800</v>
      </c>
      <c r="E59" s="79">
        <f>SUM(E54:E57)</f>
        <v>800</v>
      </c>
      <c r="G59" s="167">
        <f>SUM(G54:G58)</f>
        <v>805.9411708155677</v>
      </c>
    </row>
    <row r="60" spans="2:7" s="10" customFormat="1" ht="15.75">
      <c r="B60" s="59" t="s">
        <v>15</v>
      </c>
      <c r="C60" s="100" t="s">
        <v>62</v>
      </c>
      <c r="D60" s="106">
        <f>+D25</f>
        <v>-300</v>
      </c>
      <c r="E60" s="80">
        <f>+D60</f>
        <v>-300</v>
      </c>
      <c r="G60" s="168">
        <f>+D60*(SQRT(1+$G$100))</f>
        <v>-305.9411708155671</v>
      </c>
    </row>
    <row r="61" spans="2:7" s="10" customFormat="1" ht="12.75">
      <c r="B61" s="61" t="s">
        <v>17</v>
      </c>
      <c r="C61" s="52"/>
      <c r="D61" s="107">
        <f>SUM(D59:D60)</f>
        <v>500</v>
      </c>
      <c r="E61" s="81">
        <f>+D61</f>
        <v>500</v>
      </c>
      <c r="G61" s="169">
        <f>SUM(G59:G60)</f>
        <v>500.0000000000006</v>
      </c>
    </row>
    <row r="62" spans="2:10" s="10" customFormat="1" ht="12.75">
      <c r="B62" s="5"/>
      <c r="C62" s="8"/>
      <c r="D62" s="8"/>
      <c r="E62" s="8" t="s">
        <v>54</v>
      </c>
      <c r="F62" s="8"/>
      <c r="G62" s="37"/>
      <c r="H62" s="9"/>
      <c r="I62" s="9"/>
      <c r="J62" s="9"/>
    </row>
    <row r="63" spans="2:11" s="10" customFormat="1" ht="12.75">
      <c r="B63" s="1"/>
      <c r="C63" s="13" t="s">
        <v>61</v>
      </c>
      <c r="D63" s="99">
        <f>+D61/E47</f>
        <v>0.09615384615384616</v>
      </c>
      <c r="F63" s="109">
        <f>+C25</f>
        <v>0.3</v>
      </c>
      <c r="G63" s="110">
        <f>+D59</f>
        <v>800</v>
      </c>
      <c r="H63" s="55">
        <f>+F63*G63</f>
        <v>240</v>
      </c>
      <c r="I63" s="114" t="s">
        <v>64</v>
      </c>
      <c r="J63" s="9"/>
      <c r="K63" s="82"/>
    </row>
    <row r="64" spans="2:10" s="10" customFormat="1" ht="12.75">
      <c r="B64" s="5"/>
      <c r="C64" s="30">
        <f>+D61/D26</f>
        <v>0.7142857142857143</v>
      </c>
      <c r="D64" s="8" t="s">
        <v>39</v>
      </c>
      <c r="F64" s="111">
        <f>+F63</f>
        <v>0.3</v>
      </c>
      <c r="G64" s="108">
        <f>+F30*C14</f>
        <v>200</v>
      </c>
      <c r="H64" s="53">
        <f>+F64*G64</f>
        <v>60</v>
      </c>
      <c r="I64" s="115" t="s">
        <v>65</v>
      </c>
      <c r="J64" s="9"/>
    </row>
    <row r="65" spans="2:10" s="10" customFormat="1" ht="12.75">
      <c r="B65" s="5"/>
      <c r="C65" s="8"/>
      <c r="D65" s="8"/>
      <c r="F65" s="112" t="s">
        <v>63</v>
      </c>
      <c r="G65" s="113"/>
      <c r="H65" s="53">
        <f>+H63+H64</f>
        <v>300</v>
      </c>
      <c r="I65" s="116"/>
      <c r="J65" s="9"/>
    </row>
    <row r="66" spans="2:10" s="10" customFormat="1" ht="12.75">
      <c r="B66" s="5"/>
      <c r="C66" s="8"/>
      <c r="D66" s="8"/>
      <c r="E66" s="31"/>
      <c r="F66" s="32"/>
      <c r="G66" s="37"/>
      <c r="H66" s="9"/>
      <c r="I66" s="9"/>
      <c r="J66" s="9"/>
    </row>
    <row r="67" spans="2:10" s="10" customFormat="1" ht="12.75">
      <c r="B67" s="5"/>
      <c r="C67" s="8"/>
      <c r="D67" s="8"/>
      <c r="E67" s="8"/>
      <c r="F67" s="8"/>
      <c r="G67" s="37"/>
      <c r="H67" s="9"/>
      <c r="I67" s="9"/>
      <c r="J67" s="9"/>
    </row>
    <row r="68" spans="2:10" s="10" customFormat="1" ht="12.75">
      <c r="B68" s="1"/>
      <c r="C68" s="8"/>
      <c r="D68" s="8"/>
      <c r="E68" s="8"/>
      <c r="F68" s="8"/>
      <c r="G68" s="37"/>
      <c r="H68" s="9"/>
      <c r="I68" s="9"/>
      <c r="J68" s="9"/>
    </row>
    <row r="69" spans="2:10" s="10" customFormat="1" ht="12.75">
      <c r="B69" s="1"/>
      <c r="C69" s="8"/>
      <c r="D69" s="8"/>
      <c r="E69" s="8"/>
      <c r="F69" s="8"/>
      <c r="G69" s="37"/>
      <c r="H69" s="9"/>
      <c r="I69" s="9"/>
      <c r="J69" s="9"/>
    </row>
    <row r="70" spans="2:10" s="10" customFormat="1" ht="12.75">
      <c r="B70" s="1"/>
      <c r="C70" s="8"/>
      <c r="D70" s="8"/>
      <c r="E70" s="8"/>
      <c r="F70" s="8"/>
      <c r="G70" s="37"/>
      <c r="H70" s="9"/>
      <c r="I70" s="9"/>
      <c r="J70" s="9"/>
    </row>
    <row r="71" spans="2:8" ht="12.75">
      <c r="B71" s="18"/>
      <c r="C71" s="96" t="s">
        <v>55</v>
      </c>
      <c r="D71" s="19"/>
      <c r="E71" s="20"/>
      <c r="F71" s="21"/>
      <c r="H71" s="22"/>
    </row>
    <row r="72" spans="2:8" ht="12.75">
      <c r="B72" s="18"/>
      <c r="C72" s="29"/>
      <c r="D72" s="19"/>
      <c r="E72" s="28" t="s">
        <v>0</v>
      </c>
      <c r="H72" s="22"/>
    </row>
    <row r="73" spans="2:8" ht="12.75">
      <c r="B73" s="18"/>
      <c r="C73" s="29"/>
      <c r="D73" s="19"/>
      <c r="E73" s="28"/>
      <c r="H73" s="22"/>
    </row>
    <row r="74" spans="2:10" ht="12.75">
      <c r="B74" s="1"/>
      <c r="C74" s="170" t="s">
        <v>85</v>
      </c>
      <c r="E74" s="34"/>
      <c r="F74" s="2"/>
      <c r="H74" s="3"/>
      <c r="I74" s="3"/>
      <c r="J74" s="3"/>
    </row>
    <row r="75" spans="2:10" ht="12.75">
      <c r="B75" s="1" t="s">
        <v>23</v>
      </c>
      <c r="E75" s="2"/>
      <c r="F75" s="2"/>
      <c r="H75" s="3"/>
      <c r="I75" s="3"/>
      <c r="J75" s="3"/>
    </row>
    <row r="76" spans="2:10" ht="12.75">
      <c r="B76" s="1"/>
      <c r="E76" s="39" t="s">
        <v>2</v>
      </c>
      <c r="F76" s="2"/>
      <c r="H76" s="3"/>
      <c r="I76" s="3"/>
      <c r="J76" s="3"/>
    </row>
    <row r="77" spans="2:10" ht="12.75">
      <c r="B77" s="5"/>
      <c r="C77" s="6" t="s">
        <v>3</v>
      </c>
      <c r="E77" s="7" t="s">
        <v>4</v>
      </c>
      <c r="F77" s="2"/>
      <c r="H77" s="3"/>
      <c r="I77" s="3"/>
      <c r="J77" s="3"/>
    </row>
    <row r="78" spans="2:10" s="10" customFormat="1" ht="12.75">
      <c r="B78" s="5" t="s">
        <v>5</v>
      </c>
      <c r="C78" s="8">
        <v>0</v>
      </c>
      <c r="D78" s="8"/>
      <c r="E78" s="8">
        <f>+C78+D91+D92</f>
        <v>3000</v>
      </c>
      <c r="F78" s="8"/>
      <c r="G78" s="37"/>
      <c r="H78" s="9"/>
      <c r="I78" s="9"/>
      <c r="J78" s="9"/>
    </row>
    <row r="79" spans="2:10" s="10" customFormat="1" ht="12.75">
      <c r="B79" s="5" t="s">
        <v>60</v>
      </c>
      <c r="C79" s="8"/>
      <c r="D79" s="8"/>
      <c r="E79" s="8">
        <f>+D95</f>
        <v>600</v>
      </c>
      <c r="F79" s="8"/>
      <c r="G79" s="37"/>
      <c r="H79" s="9"/>
      <c r="I79" s="9"/>
      <c r="J79" s="9"/>
    </row>
    <row r="80" spans="2:10" s="10" customFormat="1" ht="12.75">
      <c r="B80" s="5" t="s">
        <v>24</v>
      </c>
      <c r="C80" s="11">
        <v>50000</v>
      </c>
      <c r="D80" s="8"/>
      <c r="E80" s="11">
        <f>+C80</f>
        <v>50000</v>
      </c>
      <c r="F80" s="8"/>
      <c r="G80" s="37"/>
      <c r="H80" s="9"/>
      <c r="I80" s="9"/>
      <c r="J80" s="9"/>
    </row>
    <row r="81" spans="2:10" s="10" customFormat="1" ht="12.75">
      <c r="B81" s="5"/>
      <c r="C81" s="8">
        <f>SUM(C78:C80)</f>
        <v>50000</v>
      </c>
      <c r="D81" s="8"/>
      <c r="E81" s="8">
        <f>SUM(E78:E80)</f>
        <v>53600</v>
      </c>
      <c r="F81" s="8"/>
      <c r="G81" s="37"/>
      <c r="H81" s="9"/>
      <c r="I81" s="9"/>
      <c r="J81" s="9"/>
    </row>
    <row r="82" spans="2:10" s="10" customFormat="1" ht="12.75">
      <c r="B82" s="5"/>
      <c r="C82" s="8"/>
      <c r="D82" s="8"/>
      <c r="E82" s="8"/>
      <c r="F82" s="8"/>
      <c r="G82" s="37"/>
      <c r="H82" s="9"/>
      <c r="I82" s="9"/>
      <c r="J82" s="9"/>
    </row>
    <row r="83" spans="2:10" s="10" customFormat="1" ht="12.75">
      <c r="B83" s="5" t="s">
        <v>25</v>
      </c>
      <c r="C83" s="8">
        <v>30000</v>
      </c>
      <c r="D83" s="8"/>
      <c r="E83" s="8">
        <f>+C83+-D93</f>
        <v>35000</v>
      </c>
      <c r="F83" s="8"/>
      <c r="G83" s="37"/>
      <c r="H83" s="9"/>
      <c r="I83" s="9"/>
      <c r="J83" s="9"/>
    </row>
    <row r="84" spans="2:10" s="10" customFormat="1" ht="12.75">
      <c r="B84" s="5" t="s">
        <v>8</v>
      </c>
      <c r="C84" s="8">
        <v>20000</v>
      </c>
      <c r="D84" s="8"/>
      <c r="E84" s="8">
        <f>+C84</f>
        <v>20000</v>
      </c>
      <c r="F84" s="8"/>
      <c r="G84" s="173"/>
      <c r="H84" s="46"/>
      <c r="I84" s="46"/>
      <c r="J84" s="46"/>
    </row>
    <row r="85" spans="2:10" s="10" customFormat="1" ht="12.75">
      <c r="B85" s="5" t="s">
        <v>9</v>
      </c>
      <c r="C85" s="11">
        <v>0</v>
      </c>
      <c r="D85" s="8"/>
      <c r="E85" s="11">
        <f>+D96</f>
        <v>-1400</v>
      </c>
      <c r="F85" s="8"/>
      <c r="G85" s="173"/>
      <c r="H85" s="46"/>
      <c r="I85" s="9"/>
      <c r="J85" s="9"/>
    </row>
    <row r="86" spans="2:10" s="10" customFormat="1" ht="12.75">
      <c r="B86" s="5"/>
      <c r="C86" s="8">
        <f>SUM(C83:C85)</f>
        <v>50000</v>
      </c>
      <c r="D86" s="8"/>
      <c r="E86" s="8">
        <f>SUM(E83:E85)</f>
        <v>53600</v>
      </c>
      <c r="F86" s="8"/>
      <c r="G86" s="37"/>
      <c r="H86" s="46"/>
      <c r="I86" s="9"/>
      <c r="J86" s="9"/>
    </row>
    <row r="87" spans="2:10" s="10" customFormat="1" ht="12.75">
      <c r="B87" s="5"/>
      <c r="C87" s="8"/>
      <c r="D87" s="8"/>
      <c r="E87" s="8"/>
      <c r="F87" s="8"/>
      <c r="G87" s="37"/>
      <c r="H87" s="9"/>
      <c r="I87" s="9"/>
      <c r="J87" s="9"/>
    </row>
    <row r="88" spans="2:10" s="10" customFormat="1" ht="12.75">
      <c r="B88" s="5"/>
      <c r="C88" s="8"/>
      <c r="D88" s="8"/>
      <c r="E88" s="8"/>
      <c r="F88" s="8"/>
      <c r="G88" s="37"/>
      <c r="H88" s="173"/>
      <c r="I88" s="9"/>
      <c r="J88" s="9"/>
    </row>
    <row r="89" spans="2:10" ht="12.75">
      <c r="B89" s="4" t="s">
        <v>26</v>
      </c>
      <c r="C89" s="12"/>
      <c r="D89" s="12"/>
      <c r="E89" s="12"/>
      <c r="F89" s="12"/>
      <c r="H89" s="174"/>
      <c r="I89" s="3"/>
      <c r="J89" s="3"/>
    </row>
    <row r="90" spans="2:10" s="10" customFormat="1" ht="12.75">
      <c r="B90" s="5"/>
      <c r="C90" s="8"/>
      <c r="D90" s="8"/>
      <c r="E90" s="8"/>
      <c r="F90" s="8"/>
      <c r="G90" s="37"/>
      <c r="H90" s="9"/>
      <c r="I90" s="9"/>
      <c r="J90" s="9"/>
    </row>
    <row r="91" spans="2:10" s="10" customFormat="1" ht="12.75">
      <c r="B91" s="5" t="s">
        <v>27</v>
      </c>
      <c r="C91" s="8"/>
      <c r="D91" s="13">
        <v>32000</v>
      </c>
      <c r="E91" s="37">
        <f>+D91/$D$91</f>
        <v>1</v>
      </c>
      <c r="F91" s="8"/>
      <c r="G91" s="37"/>
      <c r="H91" s="9"/>
      <c r="I91" s="9"/>
      <c r="J91" s="9"/>
    </row>
    <row r="92" spans="2:10" s="10" customFormat="1" ht="12.75">
      <c r="B92" s="5" t="s">
        <v>13</v>
      </c>
      <c r="C92" s="8"/>
      <c r="D92" s="13">
        <v>-29000</v>
      </c>
      <c r="E92" s="37">
        <f>+D92/$D$91</f>
        <v>-0.90625</v>
      </c>
      <c r="F92" s="8"/>
      <c r="G92" s="37"/>
      <c r="H92" s="9"/>
      <c r="I92" s="9"/>
      <c r="J92" s="9"/>
    </row>
    <row r="93" spans="2:10" s="10" customFormat="1" ht="12.75">
      <c r="B93" s="5" t="s">
        <v>12</v>
      </c>
      <c r="C93" s="8"/>
      <c r="D93" s="14">
        <v>-5000</v>
      </c>
      <c r="E93" s="37">
        <f>+D93/$D$91</f>
        <v>-0.15625</v>
      </c>
      <c r="F93" s="8"/>
      <c r="G93" s="37"/>
      <c r="H93" s="9"/>
      <c r="I93" s="9"/>
      <c r="J93" s="9"/>
    </row>
    <row r="94" spans="2:10" s="10" customFormat="1" ht="12.75">
      <c r="B94" s="15" t="s">
        <v>14</v>
      </c>
      <c r="C94" s="8"/>
      <c r="D94" s="13">
        <f>SUM(D91:D93)</f>
        <v>-2000</v>
      </c>
      <c r="E94" s="37">
        <f>+D94/$D$91</f>
        <v>-0.0625</v>
      </c>
      <c r="F94" s="8"/>
      <c r="G94" s="37"/>
      <c r="H94" s="9"/>
      <c r="I94" s="9"/>
      <c r="J94" s="9"/>
    </row>
    <row r="95" spans="2:10" s="10" customFormat="1" ht="12.75">
      <c r="B95" s="15" t="s">
        <v>15</v>
      </c>
      <c r="C95" s="8"/>
      <c r="D95" s="33">
        <f>-30%*D94</f>
        <v>600</v>
      </c>
      <c r="E95" s="37"/>
      <c r="F95" s="8"/>
      <c r="G95" s="69" t="s">
        <v>16</v>
      </c>
      <c r="H95" s="9"/>
      <c r="I95" s="9"/>
      <c r="J95" s="9"/>
    </row>
    <row r="96" spans="2:10" s="10" customFormat="1" ht="12.75">
      <c r="B96" s="15" t="s">
        <v>17</v>
      </c>
      <c r="C96" s="8"/>
      <c r="D96" s="14">
        <f>SUM(D94:D95)</f>
        <v>-1400</v>
      </c>
      <c r="E96" s="37">
        <f>+D96/$D$91</f>
        <v>-0.04375</v>
      </c>
      <c r="F96" s="8"/>
      <c r="G96" s="70">
        <f>+D96/C84</f>
        <v>-0.07</v>
      </c>
      <c r="H96" s="9"/>
      <c r="I96" s="9"/>
      <c r="J96" s="9"/>
    </row>
    <row r="97" spans="2:10" s="10" customFormat="1" ht="12.75">
      <c r="B97" s="5"/>
      <c r="C97" s="8"/>
      <c r="D97" s="8"/>
      <c r="E97" s="8"/>
      <c r="F97" s="8"/>
      <c r="G97" s="37"/>
      <c r="H97" s="9"/>
      <c r="I97" s="9"/>
      <c r="J97" s="9"/>
    </row>
    <row r="98" spans="2:10" s="10" customFormat="1" ht="12.75">
      <c r="B98" s="1" t="s">
        <v>28</v>
      </c>
      <c r="C98" s="8"/>
      <c r="D98" s="8"/>
      <c r="E98" s="8"/>
      <c r="F98" s="8"/>
      <c r="G98" s="37"/>
      <c r="H98" s="9"/>
      <c r="I98" s="9"/>
      <c r="J98" s="9"/>
    </row>
    <row r="99" spans="2:10" s="10" customFormat="1" ht="12.75">
      <c r="B99" s="5"/>
      <c r="C99" s="8"/>
      <c r="D99" s="8"/>
      <c r="E99" s="8"/>
      <c r="F99" s="8"/>
      <c r="G99" s="37"/>
      <c r="H99" s="9"/>
      <c r="I99" s="9"/>
      <c r="J99" s="9"/>
    </row>
    <row r="100" spans="2:10" s="10" customFormat="1" ht="12.75">
      <c r="B100" s="5" t="s">
        <v>29</v>
      </c>
      <c r="C100" s="8"/>
      <c r="D100" s="8"/>
      <c r="E100" s="8"/>
      <c r="F100" s="8"/>
      <c r="G100" s="37">
        <f>F30</f>
        <v>0.04</v>
      </c>
      <c r="H100" s="9"/>
      <c r="I100" s="9"/>
      <c r="J100" s="9"/>
    </row>
    <row r="101" spans="2:10" s="10" customFormat="1" ht="12.75">
      <c r="B101" s="5" t="s">
        <v>30</v>
      </c>
      <c r="C101" s="8"/>
      <c r="D101" s="8"/>
      <c r="E101" s="8"/>
      <c r="F101" s="8"/>
      <c r="G101" s="37"/>
      <c r="H101" s="9"/>
      <c r="I101" s="9"/>
      <c r="J101" s="9"/>
    </row>
    <row r="102" spans="2:10" s="10" customFormat="1" ht="12.75">
      <c r="B102" s="5" t="s">
        <v>31</v>
      </c>
      <c r="C102" s="8"/>
      <c r="D102" s="8"/>
      <c r="E102" s="8"/>
      <c r="F102" s="8"/>
      <c r="G102" s="37"/>
      <c r="H102" s="9"/>
      <c r="I102" s="9"/>
      <c r="J102" s="9"/>
    </row>
    <row r="103" spans="2:10" s="10" customFormat="1" ht="12.75">
      <c r="B103" s="5" t="s">
        <v>32</v>
      </c>
      <c r="C103" s="8"/>
      <c r="D103" s="8"/>
      <c r="E103" s="8"/>
      <c r="F103" s="8"/>
      <c r="G103" s="37"/>
      <c r="H103" s="9"/>
      <c r="I103" s="9"/>
      <c r="J103" s="9"/>
    </row>
    <row r="104" spans="2:10" s="10" customFormat="1" ht="12.75">
      <c r="B104" s="5"/>
      <c r="C104" s="8"/>
      <c r="D104" s="8"/>
      <c r="E104" s="8"/>
      <c r="F104" s="8"/>
      <c r="G104" s="37"/>
      <c r="H104" s="9"/>
      <c r="I104" s="9"/>
      <c r="J104" s="9"/>
    </row>
    <row r="105" spans="2:10" s="10" customFormat="1" ht="12.75">
      <c r="B105" s="1" t="s">
        <v>33</v>
      </c>
      <c r="C105" s="8"/>
      <c r="D105" s="8"/>
      <c r="E105" s="8"/>
      <c r="F105" s="8"/>
      <c r="G105" s="37"/>
      <c r="H105" s="9"/>
      <c r="I105" s="9"/>
      <c r="J105" s="9"/>
    </row>
    <row r="106" spans="2:10" s="10" customFormat="1" ht="12.75">
      <c r="B106" s="1"/>
      <c r="C106" s="8"/>
      <c r="D106" s="8"/>
      <c r="E106" s="8"/>
      <c r="F106" s="8"/>
      <c r="G106" s="37"/>
      <c r="H106" s="9"/>
      <c r="I106" s="9"/>
      <c r="J106" s="9"/>
    </row>
    <row r="107" spans="2:10" s="10" customFormat="1" ht="12.75">
      <c r="B107" s="5" t="s">
        <v>34</v>
      </c>
      <c r="C107" s="8"/>
      <c r="D107" s="8"/>
      <c r="E107" s="8"/>
      <c r="F107" s="8"/>
      <c r="G107" s="37"/>
      <c r="H107" s="9"/>
      <c r="I107" s="9"/>
      <c r="J107" s="9"/>
    </row>
    <row r="108" spans="2:10" s="10" customFormat="1" ht="12.75">
      <c r="B108" s="5" t="s">
        <v>35</v>
      </c>
      <c r="C108" s="8"/>
      <c r="D108" s="8"/>
      <c r="E108" s="8"/>
      <c r="F108" s="8"/>
      <c r="G108" s="37"/>
      <c r="H108" s="9"/>
      <c r="I108" s="9"/>
      <c r="J108" s="9"/>
    </row>
    <row r="109" spans="2:10" s="10" customFormat="1" ht="12.75">
      <c r="B109" s="5"/>
      <c r="E109" s="17"/>
      <c r="F109" s="17"/>
      <c r="G109" s="37"/>
      <c r="H109" s="9"/>
      <c r="I109" s="9"/>
      <c r="J109" s="9"/>
    </row>
    <row r="112" spans="2:8" ht="18" customHeight="1">
      <c r="B112" s="18"/>
      <c r="C112" s="27" t="str">
        <f>+C36</f>
        <v>ANÁLISE DE BALANÇOS</v>
      </c>
      <c r="D112" s="19"/>
      <c r="E112" s="20"/>
      <c r="F112" s="21"/>
      <c r="H112" s="22"/>
    </row>
    <row r="113" spans="2:10" ht="12.75">
      <c r="B113" s="18"/>
      <c r="C113" s="27"/>
      <c r="D113" s="19"/>
      <c r="E113" s="28" t="s">
        <v>0</v>
      </c>
      <c r="H113" s="3"/>
      <c r="I113" s="3"/>
      <c r="J113" s="3"/>
    </row>
    <row r="114" spans="2:10" s="10" customFormat="1" ht="12.75">
      <c r="B114" s="1"/>
      <c r="C114" s="16"/>
      <c r="D114" s="36"/>
      <c r="E114" s="34"/>
      <c r="F114" s="16"/>
      <c r="G114" s="37"/>
      <c r="H114" s="9"/>
      <c r="I114" s="9"/>
      <c r="J114" s="9"/>
    </row>
    <row r="115" spans="2:10" ht="12.75">
      <c r="B115" s="1"/>
      <c r="C115" s="170" t="s">
        <v>87</v>
      </c>
      <c r="E115" s="2"/>
      <c r="F115" s="2"/>
      <c r="H115" s="3"/>
      <c r="I115" s="3"/>
      <c r="J115" s="3"/>
    </row>
    <row r="116" spans="2:10" ht="12.75">
      <c r="B116" s="1" t="s">
        <v>40</v>
      </c>
      <c r="E116" s="2"/>
      <c r="F116" s="2"/>
      <c r="H116" s="3"/>
      <c r="I116" s="3"/>
      <c r="J116" s="3"/>
    </row>
    <row r="117" spans="2:10" ht="12.75">
      <c r="B117" s="1"/>
      <c r="E117" s="39" t="s">
        <v>2</v>
      </c>
      <c r="F117" s="2"/>
      <c r="H117" s="3"/>
      <c r="I117" s="3"/>
      <c r="J117" s="3"/>
    </row>
    <row r="118" spans="2:10" s="10" customFormat="1" ht="12.75">
      <c r="B118" s="41"/>
      <c r="C118" s="42" t="s">
        <v>3</v>
      </c>
      <c r="D118" s="43"/>
      <c r="E118" s="44" t="s">
        <v>4</v>
      </c>
      <c r="F118" s="2"/>
      <c r="G118" s="97" t="s">
        <v>67</v>
      </c>
      <c r="H118" s="9"/>
      <c r="I118" s="9"/>
      <c r="J118" s="9"/>
    </row>
    <row r="119" spans="2:10" s="10" customFormat="1" ht="12.75">
      <c r="B119" s="45" t="s">
        <v>5</v>
      </c>
      <c r="C119" s="46">
        <f>+C78</f>
        <v>0</v>
      </c>
      <c r="D119" s="46"/>
      <c r="E119" s="47">
        <f>+E78</f>
        <v>3000</v>
      </c>
      <c r="F119" s="8"/>
      <c r="G119" s="102">
        <f>+C119</f>
        <v>0</v>
      </c>
      <c r="H119" s="9"/>
      <c r="I119" s="9"/>
      <c r="J119" s="9"/>
    </row>
    <row r="120" spans="2:10" s="10" customFormat="1" ht="12.75">
      <c r="B120" s="45" t="s">
        <v>24</v>
      </c>
      <c r="C120" s="48">
        <f>+C80</f>
        <v>50000</v>
      </c>
      <c r="D120" s="48"/>
      <c r="E120" s="49">
        <f>+E80*(1+G100)</f>
        <v>52000</v>
      </c>
      <c r="F120" s="8"/>
      <c r="G120" s="103">
        <f>+C120*(1+$G$100)</f>
        <v>52000</v>
      </c>
      <c r="H120" s="9"/>
      <c r="I120" s="9"/>
      <c r="J120" s="9"/>
    </row>
    <row r="121" spans="2:10" s="10" customFormat="1" ht="12.75">
      <c r="B121" s="45"/>
      <c r="C121" s="46">
        <f>SUM(C119:C120)</f>
        <v>50000</v>
      </c>
      <c r="D121" s="46"/>
      <c r="E121" s="47">
        <f>SUM(E119:E120)</f>
        <v>55000</v>
      </c>
      <c r="F121" s="8"/>
      <c r="G121" s="102">
        <f>SUM(G119:G120)</f>
        <v>52000</v>
      </c>
      <c r="H121" s="9"/>
      <c r="I121" s="9"/>
      <c r="J121" s="9"/>
    </row>
    <row r="122" spans="2:10" s="10" customFormat="1" ht="12.75">
      <c r="B122" s="45"/>
      <c r="C122" s="46"/>
      <c r="D122" s="46"/>
      <c r="E122" s="47"/>
      <c r="F122" s="8"/>
      <c r="G122" s="102"/>
      <c r="H122" s="9"/>
      <c r="I122" s="9"/>
      <c r="J122" s="9"/>
    </row>
    <row r="123" spans="2:10" s="10" customFormat="1" ht="12.75">
      <c r="B123" s="45" t="s">
        <v>7</v>
      </c>
      <c r="C123" s="46">
        <f>+C83</f>
        <v>30000</v>
      </c>
      <c r="D123" s="46"/>
      <c r="E123" s="47">
        <f>+E83</f>
        <v>35000</v>
      </c>
      <c r="F123" s="8"/>
      <c r="G123" s="102">
        <f>+C123*(1+$G$100)</f>
        <v>31200</v>
      </c>
      <c r="H123" s="9"/>
      <c r="I123" s="9"/>
      <c r="J123" s="9"/>
    </row>
    <row r="124" spans="2:10" s="10" customFormat="1" ht="12.75">
      <c r="B124" s="57" t="s">
        <v>41</v>
      </c>
      <c r="C124" s="46"/>
      <c r="D124" s="46"/>
      <c r="E124" s="47">
        <f>-D137</f>
        <v>-240</v>
      </c>
      <c r="F124" s="8"/>
      <c r="G124" s="102"/>
      <c r="H124" s="9"/>
      <c r="I124" s="9"/>
      <c r="J124" s="9"/>
    </row>
    <row r="125" spans="2:10" s="10" customFormat="1" ht="12.75">
      <c r="B125" s="45" t="s">
        <v>8</v>
      </c>
      <c r="C125" s="46">
        <f>+C84</f>
        <v>20000</v>
      </c>
      <c r="D125" s="46"/>
      <c r="E125" s="63">
        <f>+C125*(1+G100)</f>
        <v>20800</v>
      </c>
      <c r="F125" s="8"/>
      <c r="G125" s="102">
        <f>+C125*(1+$G$100)</f>
        <v>20800</v>
      </c>
      <c r="H125" s="9"/>
      <c r="I125" s="9"/>
      <c r="J125" s="9"/>
    </row>
    <row r="126" spans="2:10" s="10" customFormat="1" ht="12.75">
      <c r="B126" s="45" t="s">
        <v>9</v>
      </c>
      <c r="C126" s="48">
        <f>+C85</f>
        <v>0</v>
      </c>
      <c r="D126" s="46"/>
      <c r="E126" s="49">
        <f>+D138</f>
        <v>-560</v>
      </c>
      <c r="F126" s="8"/>
      <c r="G126" s="103">
        <f>+C126*(1+$G$100)</f>
        <v>0</v>
      </c>
      <c r="H126" s="9"/>
      <c r="I126" s="9"/>
      <c r="J126" s="9"/>
    </row>
    <row r="127" spans="2:10" s="10" customFormat="1" ht="12.75">
      <c r="B127" s="51"/>
      <c r="C127" s="52">
        <f>SUM(C123:C126)</f>
        <v>50000</v>
      </c>
      <c r="D127" s="52"/>
      <c r="E127" s="53">
        <f>SUM(E123:E126)</f>
        <v>55000</v>
      </c>
      <c r="F127" s="8"/>
      <c r="G127" s="117">
        <f>+G123+G125+G126</f>
        <v>52000</v>
      </c>
      <c r="H127" s="9"/>
      <c r="I127" s="9"/>
      <c r="J127" s="9"/>
    </row>
    <row r="128" spans="2:10" s="10" customFormat="1" ht="12.75">
      <c r="B128" s="5"/>
      <c r="C128" s="8"/>
      <c r="D128" s="8"/>
      <c r="E128" s="8"/>
      <c r="F128" s="8"/>
      <c r="G128" s="37"/>
      <c r="H128" s="9"/>
      <c r="I128" s="9"/>
      <c r="J128" s="9"/>
    </row>
    <row r="129" spans="2:10" s="10" customFormat="1" ht="12.75">
      <c r="B129" s="4" t="s">
        <v>66</v>
      </c>
      <c r="C129" s="12"/>
      <c r="D129" s="12"/>
      <c r="E129" s="12"/>
      <c r="F129" s="12"/>
      <c r="G129" s="37"/>
      <c r="H129" s="9"/>
      <c r="I129" s="9"/>
      <c r="J129" s="9"/>
    </row>
    <row r="130" spans="2:10" s="10" customFormat="1" ht="12.75">
      <c r="B130" s="5"/>
      <c r="C130" s="8"/>
      <c r="D130" s="39"/>
      <c r="E130" s="8"/>
      <c r="F130" s="8"/>
      <c r="G130" s="37"/>
      <c r="H130" s="9"/>
      <c r="I130" s="9"/>
      <c r="J130" s="9"/>
    </row>
    <row r="131" spans="2:10" s="10" customFormat="1" ht="12.75">
      <c r="B131" s="41" t="s">
        <v>27</v>
      </c>
      <c r="C131" s="54"/>
      <c r="D131" s="55">
        <f>+D91</f>
        <v>32000</v>
      </c>
      <c r="E131" s="71">
        <f aca="true" t="shared" si="1" ref="E131:E138">+D131/$D$131</f>
        <v>1</v>
      </c>
      <c r="F131" s="8"/>
      <c r="G131" s="37"/>
      <c r="H131" s="9"/>
      <c r="I131" s="9"/>
      <c r="J131" s="9"/>
    </row>
    <row r="132" spans="2:10" s="10" customFormat="1" ht="12.75">
      <c r="B132" s="45" t="s">
        <v>13</v>
      </c>
      <c r="C132" s="46"/>
      <c r="D132" s="47">
        <f>+D92</f>
        <v>-29000</v>
      </c>
      <c r="E132" s="72">
        <f t="shared" si="1"/>
        <v>-0.90625</v>
      </c>
      <c r="F132" s="8"/>
      <c r="G132" s="37"/>
      <c r="H132" s="9"/>
      <c r="I132" s="9"/>
      <c r="J132" s="9"/>
    </row>
    <row r="133" spans="2:10" s="10" customFormat="1" ht="12.75">
      <c r="B133" s="45" t="s">
        <v>12</v>
      </c>
      <c r="C133" s="46"/>
      <c r="D133" s="49">
        <f>+D93</f>
        <v>-5000</v>
      </c>
      <c r="E133" s="72">
        <f t="shared" si="1"/>
        <v>-0.15625</v>
      </c>
      <c r="F133" s="8"/>
      <c r="G133" s="37"/>
      <c r="H133" s="9"/>
      <c r="I133" s="9"/>
      <c r="J133" s="9"/>
    </row>
    <row r="134" spans="2:10" s="10" customFormat="1" ht="12.75">
      <c r="B134" s="45"/>
      <c r="C134" s="46"/>
      <c r="D134" s="56">
        <f>SUM(D131:D133)</f>
        <v>-2000</v>
      </c>
      <c r="E134" s="72">
        <f t="shared" si="1"/>
        <v>-0.0625</v>
      </c>
      <c r="F134" s="8"/>
      <c r="G134" s="37"/>
      <c r="H134" s="9"/>
      <c r="I134" s="9"/>
      <c r="J134" s="9"/>
    </row>
    <row r="135" spans="2:10" s="10" customFormat="1" ht="12.75">
      <c r="B135" s="45" t="s">
        <v>38</v>
      </c>
      <c r="C135" s="46"/>
      <c r="D135" s="58">
        <f>+G100*(C120-C125)</f>
        <v>1200</v>
      </c>
      <c r="E135" s="72">
        <f t="shared" si="1"/>
        <v>0.0375</v>
      </c>
      <c r="F135" s="8"/>
      <c r="G135" s="37"/>
      <c r="H135" s="9"/>
      <c r="I135" s="9"/>
      <c r="J135" s="9"/>
    </row>
    <row r="136" spans="2:10" s="10" customFormat="1" ht="12.75">
      <c r="B136" s="59" t="s">
        <v>14</v>
      </c>
      <c r="C136" s="46"/>
      <c r="D136" s="56">
        <f>SUM(D134:D135)</f>
        <v>-800</v>
      </c>
      <c r="E136" s="72">
        <f t="shared" si="1"/>
        <v>-0.025</v>
      </c>
      <c r="F136" s="8"/>
      <c r="G136" s="37"/>
      <c r="H136" s="9"/>
      <c r="I136" s="9"/>
      <c r="J136" s="9"/>
    </row>
    <row r="137" spans="2:10" s="10" customFormat="1" ht="12.75">
      <c r="B137" s="59" t="s">
        <v>71</v>
      </c>
      <c r="C137" s="46"/>
      <c r="D137" s="60">
        <f>-0.3*D136</f>
        <v>240</v>
      </c>
      <c r="E137" s="72">
        <f t="shared" si="1"/>
        <v>0.0075</v>
      </c>
      <c r="F137" s="8"/>
      <c r="G137" s="37"/>
      <c r="H137" s="9"/>
      <c r="I137" s="9"/>
      <c r="J137" s="9"/>
    </row>
    <row r="138" spans="2:10" s="10" customFormat="1" ht="12.75">
      <c r="B138" s="61" t="s">
        <v>17</v>
      </c>
      <c r="C138" s="52"/>
      <c r="D138" s="62">
        <f>SUM(D136:D137)</f>
        <v>-560</v>
      </c>
      <c r="E138" s="70">
        <f t="shared" si="1"/>
        <v>-0.0175</v>
      </c>
      <c r="F138" s="8"/>
      <c r="G138" s="37"/>
      <c r="H138" s="9"/>
      <c r="I138" s="9"/>
      <c r="J138" s="9"/>
    </row>
    <row r="139" spans="2:10" s="10" customFormat="1" ht="12.75">
      <c r="B139" s="5"/>
      <c r="C139" s="8"/>
      <c r="D139" s="8"/>
      <c r="E139" s="8"/>
      <c r="F139" s="8"/>
      <c r="G139" s="37"/>
      <c r="H139" s="9"/>
      <c r="I139" s="9"/>
      <c r="J139" s="9"/>
    </row>
    <row r="140" spans="2:10" s="10" customFormat="1" ht="12.75">
      <c r="B140" s="5" t="s">
        <v>81</v>
      </c>
      <c r="C140" s="37">
        <f>+D138/C125</f>
        <v>-0.028</v>
      </c>
      <c r="D140" s="8"/>
      <c r="E140" s="8"/>
      <c r="F140" s="8"/>
      <c r="G140" s="37"/>
      <c r="H140" s="9"/>
      <c r="I140" s="9"/>
      <c r="J140" s="9"/>
    </row>
    <row r="141" spans="2:10" s="10" customFormat="1" ht="12.75">
      <c r="B141" s="5"/>
      <c r="C141" s="8"/>
      <c r="D141" s="8"/>
      <c r="E141" s="8"/>
      <c r="F141" s="8"/>
      <c r="G141" s="37"/>
      <c r="H141" s="9"/>
      <c r="I141" s="9"/>
      <c r="J141" s="9"/>
    </row>
    <row r="142" spans="2:10" s="10" customFormat="1" ht="12.75">
      <c r="B142" s="1" t="s">
        <v>82</v>
      </c>
      <c r="C142" s="8"/>
      <c r="D142" s="8"/>
      <c r="E142" s="8"/>
      <c r="F142" s="8"/>
      <c r="G142" s="37"/>
      <c r="H142" s="9"/>
      <c r="I142" s="9"/>
      <c r="J142" s="9"/>
    </row>
    <row r="143" spans="2:10" s="10" customFormat="1" ht="12.75">
      <c r="B143" s="5"/>
      <c r="C143" s="8"/>
      <c r="D143" s="8"/>
      <c r="E143" s="178" t="s">
        <v>58</v>
      </c>
      <c r="F143" s="179"/>
      <c r="G143" s="114" t="s">
        <v>59</v>
      </c>
      <c r="I143" s="9"/>
      <c r="J143" s="9"/>
    </row>
    <row r="144" spans="2:8" s="10" customFormat="1" ht="12.75">
      <c r="B144" s="41" t="str">
        <f>+B131</f>
        <v>Receitas Operacionais</v>
      </c>
      <c r="C144" s="54"/>
      <c r="D144" s="43"/>
      <c r="E144" s="84">
        <f>+D131</f>
        <v>32000</v>
      </c>
      <c r="F144" s="91"/>
      <c r="G144" s="101">
        <f>+E144*SQRT(1+$G$100)</f>
        <v>32633.724886993827</v>
      </c>
      <c r="H144" s="9"/>
    </row>
    <row r="145" spans="2:9" s="10" customFormat="1" ht="12.75">
      <c r="B145" s="45" t="str">
        <f>+B132</f>
        <v>Despesas Operacionais</v>
      </c>
      <c r="C145" s="46"/>
      <c r="D145" s="3"/>
      <c r="E145" s="85">
        <f>+D132</f>
        <v>-29000</v>
      </c>
      <c r="F145" s="92"/>
      <c r="G145" s="102">
        <f>+E145*SQRT(1+$G$100)</f>
        <v>-29574.313178838154</v>
      </c>
      <c r="H145" s="9"/>
      <c r="I145" s="9"/>
    </row>
    <row r="146" spans="2:9" s="10" customFormat="1" ht="12.75">
      <c r="B146" s="45" t="str">
        <f>+B133</f>
        <v>Despesas Financeiras</v>
      </c>
      <c r="C146" s="46"/>
      <c r="D146" s="3"/>
      <c r="E146" s="86">
        <f>+D133</f>
        <v>-5000</v>
      </c>
      <c r="F146" s="92"/>
      <c r="G146" s="102">
        <f>+E146*SQRT(1+$G$100)--C123*G100--(E123-C123)*(SQRT(1+G100)-1)</f>
        <v>-3800</v>
      </c>
      <c r="H146" s="9"/>
      <c r="I146" s="9"/>
    </row>
    <row r="147" spans="2:9" s="10" customFormat="1" ht="12.75">
      <c r="B147" s="45" t="s">
        <v>88</v>
      </c>
      <c r="C147" s="46"/>
      <c r="D147" s="3"/>
      <c r="E147" s="85">
        <f>SUM(E144:E146)</f>
        <v>-2000</v>
      </c>
      <c r="F147" s="93"/>
      <c r="G147" s="103">
        <f>-(SQRT(1+G100)-1)*E119</f>
        <v>-59.41170815567109</v>
      </c>
      <c r="H147" s="9"/>
      <c r="I147" s="46"/>
    </row>
    <row r="148" spans="2:9" s="10" customFormat="1" ht="12.75">
      <c r="B148" s="64" t="str">
        <f>+B135</f>
        <v>Correção Monetária</v>
      </c>
      <c r="C148" s="65" t="s">
        <v>42</v>
      </c>
      <c r="D148" s="3"/>
      <c r="E148" s="87">
        <f>+G100*C120</f>
        <v>2000</v>
      </c>
      <c r="F148" s="93"/>
      <c r="G148" s="115"/>
      <c r="H148" s="75"/>
      <c r="I148" s="9"/>
    </row>
    <row r="149" spans="2:9" s="10" customFormat="1" ht="12.75">
      <c r="B149" s="57" t="s">
        <v>43</v>
      </c>
      <c r="C149" s="65"/>
      <c r="D149" s="3"/>
      <c r="E149" s="88">
        <f>SUM(E147:E148)</f>
        <v>0</v>
      </c>
      <c r="F149" s="93"/>
      <c r="G149" s="126"/>
      <c r="H149" s="9"/>
      <c r="I149" s="9"/>
    </row>
    <row r="150" spans="2:9" s="10" customFormat="1" ht="12.75">
      <c r="B150" s="64" t="str">
        <f>+B135</f>
        <v>Correção Monetária</v>
      </c>
      <c r="C150" s="65" t="s">
        <v>44</v>
      </c>
      <c r="D150" s="3"/>
      <c r="E150" s="87">
        <f>-G100*C125</f>
        <v>-800</v>
      </c>
      <c r="F150" s="94"/>
      <c r="G150" s="106"/>
      <c r="H150" s="9"/>
      <c r="I150" s="9"/>
    </row>
    <row r="151" spans="2:9" s="10" customFormat="1" ht="12.75">
      <c r="B151" s="45" t="s">
        <v>45</v>
      </c>
      <c r="C151" s="46"/>
      <c r="D151" s="3"/>
      <c r="E151" s="85">
        <f>SUM(E149:E150)</f>
        <v>-800</v>
      </c>
      <c r="F151" s="93"/>
      <c r="G151" s="104">
        <f>SUM(G144:G147)</f>
        <v>-799.9999999999987</v>
      </c>
      <c r="H151" s="9"/>
      <c r="I151" s="9"/>
    </row>
    <row r="152" spans="2:9" s="10" customFormat="1" ht="12.75">
      <c r="B152" s="45"/>
      <c r="C152" s="46"/>
      <c r="D152" s="46" t="s">
        <v>70</v>
      </c>
      <c r="E152" s="86">
        <f>+D137</f>
        <v>240</v>
      </c>
      <c r="F152" s="94"/>
      <c r="G152" s="103">
        <f>+E152</f>
        <v>240</v>
      </c>
      <c r="H152" s="9"/>
      <c r="I152" s="9"/>
    </row>
    <row r="153" spans="2:9" s="10" customFormat="1" ht="12.75">
      <c r="B153" s="67" t="str">
        <f>+B138</f>
        <v>LL</v>
      </c>
      <c r="C153" s="52"/>
      <c r="D153" s="40"/>
      <c r="E153" s="90">
        <f>SUM(E151:E152)</f>
        <v>-560</v>
      </c>
      <c r="F153" s="95"/>
      <c r="G153" s="117">
        <f>SUM(G149:G152)</f>
        <v>-559.9999999999987</v>
      </c>
      <c r="H153" s="9"/>
      <c r="I153" s="9"/>
    </row>
    <row r="154" spans="2:10" s="10" customFormat="1" ht="12.75">
      <c r="B154" s="24"/>
      <c r="C154" s="24"/>
      <c r="D154" s="24"/>
      <c r="E154" s="73" t="s">
        <v>16</v>
      </c>
      <c r="F154" s="127"/>
      <c r="G154" s="74">
        <f>+G153/E125</f>
        <v>-0.026923076923076862</v>
      </c>
      <c r="H154" s="9"/>
      <c r="I154" s="9"/>
      <c r="J154" s="9"/>
    </row>
    <row r="155" spans="2:10" s="10" customFormat="1" ht="12.75">
      <c r="B155" s="24"/>
      <c r="C155" s="24"/>
      <c r="D155" s="24"/>
      <c r="E155" s="46"/>
      <c r="F155" s="76"/>
      <c r="G155" s="37"/>
      <c r="H155" s="9"/>
      <c r="I155" s="9"/>
      <c r="J155" s="9"/>
    </row>
    <row r="157" spans="2:7" ht="12.75">
      <c r="B157" s="118" t="s">
        <v>47</v>
      </c>
      <c r="C157" s="119">
        <f>+G144+G145+G147</f>
        <v>3000.0000000000014</v>
      </c>
      <c r="D157" s="43" t="s">
        <v>68</v>
      </c>
      <c r="E157" s="43"/>
      <c r="F157" s="120">
        <f>+C157/C121</f>
        <v>0.060000000000000026</v>
      </c>
      <c r="G157" s="121" t="s">
        <v>48</v>
      </c>
    </row>
    <row r="158" spans="2:7" ht="12.75">
      <c r="B158" s="89" t="s">
        <v>49</v>
      </c>
      <c r="C158" s="3"/>
      <c r="D158" s="3"/>
      <c r="E158" s="122">
        <f>-G146/G123</f>
        <v>0.12179487179487179</v>
      </c>
      <c r="F158" s="3" t="s">
        <v>50</v>
      </c>
      <c r="G158" s="93"/>
    </row>
    <row r="159" spans="2:7" ht="12.75">
      <c r="B159" s="123" t="s">
        <v>69</v>
      </c>
      <c r="C159" s="124">
        <f>+C157</f>
        <v>3000.0000000000014</v>
      </c>
      <c r="D159" s="83">
        <f>+G146</f>
        <v>-3800</v>
      </c>
      <c r="E159" s="125">
        <f>+C159+D159</f>
        <v>-799.9999999999986</v>
      </c>
      <c r="F159" s="40"/>
      <c r="G159" s="95"/>
    </row>
    <row r="160" ht="12">
      <c r="G160"/>
    </row>
    <row r="161" ht="12">
      <c r="G161"/>
    </row>
    <row r="162" spans="2:7" ht="12">
      <c r="B162" s="118" t="s">
        <v>72</v>
      </c>
      <c r="C162" s="128">
        <f>-C25*(E120-C120)</f>
        <v>-600</v>
      </c>
      <c r="D162" s="129"/>
      <c r="G162"/>
    </row>
    <row r="163" spans="2:7" ht="12">
      <c r="B163" s="89"/>
      <c r="C163" s="3"/>
      <c r="D163" s="66"/>
      <c r="G163"/>
    </row>
    <row r="164" spans="2:7" ht="12">
      <c r="B164" s="123" t="s">
        <v>73</v>
      </c>
      <c r="C164" s="83">
        <f>+C162+G152</f>
        <v>-360</v>
      </c>
      <c r="D164" s="130" t="s">
        <v>74</v>
      </c>
      <c r="G164"/>
    </row>
    <row r="167" spans="2:7" ht="12.75">
      <c r="B167" t="s">
        <v>75</v>
      </c>
      <c r="G167" s="68"/>
    </row>
    <row r="168" spans="2:7" ht="12.75">
      <c r="B168" s="1" t="s">
        <v>83</v>
      </c>
      <c r="C168" s="35"/>
      <c r="D168" s="35"/>
      <c r="E168" s="35"/>
      <c r="F168" s="35"/>
      <c r="G168" s="68"/>
    </row>
    <row r="169" spans="2:7" ht="12.75">
      <c r="B169" s="131"/>
      <c r="C169" s="132" t="s">
        <v>3</v>
      </c>
      <c r="D169" s="133" t="s">
        <v>4</v>
      </c>
      <c r="E169" s="134"/>
      <c r="F169" s="135"/>
      <c r="G169"/>
    </row>
    <row r="170" spans="2:7" ht="12.75">
      <c r="B170" s="136" t="s">
        <v>5</v>
      </c>
      <c r="C170" s="137">
        <f>+G119</f>
        <v>0</v>
      </c>
      <c r="D170" s="138">
        <f>+E119</f>
        <v>3000</v>
      </c>
      <c r="E170" s="16"/>
      <c r="F170" s="137"/>
      <c r="G170"/>
    </row>
    <row r="171" spans="2:7" ht="12.75">
      <c r="B171" s="136" t="s">
        <v>24</v>
      </c>
      <c r="C171" s="139">
        <f>+G120</f>
        <v>52000</v>
      </c>
      <c r="D171" s="140">
        <f>+E120</f>
        <v>52000</v>
      </c>
      <c r="E171" s="16"/>
      <c r="F171" s="139"/>
      <c r="G171"/>
    </row>
    <row r="172" spans="2:7" ht="12.75">
      <c r="B172" s="136"/>
      <c r="C172" s="137">
        <f>SUM(C170:C171)</f>
        <v>52000</v>
      </c>
      <c r="D172" s="138">
        <f>SUM(D170:D171)</f>
        <v>55000</v>
      </c>
      <c r="E172" s="16"/>
      <c r="F172" s="137"/>
      <c r="G172"/>
    </row>
    <row r="173" spans="2:7" ht="12.75">
      <c r="B173" s="136"/>
      <c r="C173" s="137"/>
      <c r="D173" s="138"/>
      <c r="E173" s="16"/>
      <c r="F173" s="137"/>
      <c r="G173"/>
    </row>
    <row r="174" spans="2:7" ht="12.75">
      <c r="B174" s="136" t="s">
        <v>7</v>
      </c>
      <c r="C174" s="137">
        <f>+G123</f>
        <v>31200</v>
      </c>
      <c r="D174" s="138">
        <f>+E123</f>
        <v>35000</v>
      </c>
      <c r="E174" s="16"/>
      <c r="F174" s="137"/>
      <c r="G174"/>
    </row>
    <row r="175" spans="2:7" ht="12.75">
      <c r="B175" s="141" t="s">
        <v>46</v>
      </c>
      <c r="C175" s="137"/>
      <c r="D175" s="138">
        <f>-C164</f>
        <v>360</v>
      </c>
      <c r="E175" s="16"/>
      <c r="F175" s="137"/>
      <c r="G175"/>
    </row>
    <row r="176" spans="2:7" ht="12.75">
      <c r="B176" s="136" t="s">
        <v>8</v>
      </c>
      <c r="C176" s="137">
        <f>+G125</f>
        <v>20800</v>
      </c>
      <c r="D176" s="138">
        <f>+C176</f>
        <v>20800</v>
      </c>
      <c r="E176" s="16"/>
      <c r="F176" s="137"/>
      <c r="G176"/>
    </row>
    <row r="177" spans="2:7" ht="12.75">
      <c r="B177" s="136" t="s">
        <v>9</v>
      </c>
      <c r="C177" s="139">
        <f>+G126</f>
        <v>0</v>
      </c>
      <c r="D177" s="140">
        <f>+E187</f>
        <v>-1159.9999999999986</v>
      </c>
      <c r="E177" s="16"/>
      <c r="F177" s="139"/>
      <c r="G177"/>
    </row>
    <row r="178" spans="2:7" ht="12.75">
      <c r="B178" s="142"/>
      <c r="C178" s="143">
        <f>SUM(C174:C177)</f>
        <v>52000</v>
      </c>
      <c r="D178" s="144">
        <f>SUM(D174:D177)</f>
        <v>55000</v>
      </c>
      <c r="E178" s="16"/>
      <c r="F178" s="137"/>
      <c r="G178"/>
    </row>
    <row r="179" spans="2:7" ht="12">
      <c r="B179" s="35"/>
      <c r="C179" s="35"/>
      <c r="D179" s="35"/>
      <c r="E179" s="35"/>
      <c r="F179" s="35"/>
      <c r="G179"/>
    </row>
    <row r="180" spans="2:7" ht="12.75">
      <c r="B180" s="1"/>
      <c r="C180" s="16"/>
      <c r="D180" s="16"/>
      <c r="E180" s="180" t="s">
        <v>78</v>
      </c>
      <c r="F180" s="181"/>
      <c r="G180"/>
    </row>
    <row r="181" spans="2:7" ht="12.75">
      <c r="B181" s="131" t="str">
        <f>+B144</f>
        <v>Receitas Operacionais</v>
      </c>
      <c r="C181" s="145"/>
      <c r="D181" s="146"/>
      <c r="E181" s="147">
        <f>+G144</f>
        <v>32633.724886993827</v>
      </c>
      <c r="F181" s="148"/>
      <c r="G181"/>
    </row>
    <row r="182" spans="2:8" ht="12.75">
      <c r="B182" s="136" t="str">
        <f>+B145</f>
        <v>Despesas Operacionais</v>
      </c>
      <c r="C182" s="137"/>
      <c r="D182" s="149"/>
      <c r="E182" s="150">
        <f>+G145</f>
        <v>-29574.313178838154</v>
      </c>
      <c r="F182" s="151"/>
      <c r="G182"/>
      <c r="H182" s="175"/>
    </row>
    <row r="183" spans="2:8" ht="12.75">
      <c r="B183" s="136" t="str">
        <f>+B146</f>
        <v>Despesas Financeiras</v>
      </c>
      <c r="C183" s="137"/>
      <c r="D183" s="149"/>
      <c r="E183" s="150">
        <f>+G146</f>
        <v>-3800</v>
      </c>
      <c r="F183" s="151"/>
      <c r="G183"/>
      <c r="H183" s="175"/>
    </row>
    <row r="184" spans="2:8" ht="12.75">
      <c r="B184" s="136" t="s">
        <v>76</v>
      </c>
      <c r="C184" s="137"/>
      <c r="D184" s="149"/>
      <c r="E184" s="152">
        <f>+G147</f>
        <v>-59.41170815567109</v>
      </c>
      <c r="F184" s="153"/>
      <c r="G184"/>
      <c r="H184" s="175"/>
    </row>
    <row r="185" spans="2:8" ht="12.75">
      <c r="B185" s="154" t="s">
        <v>77</v>
      </c>
      <c r="C185" s="155"/>
      <c r="D185" s="149"/>
      <c r="E185" s="156">
        <f>SUM(E181:E184)</f>
        <v>-799.9999999999987</v>
      </c>
      <c r="F185" s="153"/>
      <c r="G185"/>
      <c r="H185" s="175"/>
    </row>
    <row r="186" spans="2:8" ht="12.75">
      <c r="B186" s="136"/>
      <c r="C186" s="137"/>
      <c r="D186" s="137" t="s">
        <v>70</v>
      </c>
      <c r="E186" s="152">
        <f>+C164</f>
        <v>-360</v>
      </c>
      <c r="F186" s="157"/>
      <c r="G186"/>
      <c r="H186" s="175"/>
    </row>
    <row r="187" spans="2:7" ht="12.75">
      <c r="B187" s="158" t="str">
        <f>+B177</f>
        <v>Lucros Ac.</v>
      </c>
      <c r="C187" s="143"/>
      <c r="D187" s="159"/>
      <c r="E187" s="160">
        <f>+E185+E186</f>
        <v>-1159.9999999999986</v>
      </c>
      <c r="F187" s="161"/>
      <c r="G187"/>
    </row>
    <row r="188" ht="12">
      <c r="G188"/>
    </row>
    <row r="189" spans="2:7" ht="12">
      <c r="B189" s="162" t="s">
        <v>79</v>
      </c>
      <c r="C189" s="163"/>
      <c r="D189" s="164">
        <f>+E181+E182+E183+E184+E186</f>
        <v>-1159.9999999999986</v>
      </c>
      <c r="G189"/>
    </row>
    <row r="190" ht="12">
      <c r="G190"/>
    </row>
    <row r="191" spans="2:7" ht="12">
      <c r="B191" s="35" t="s">
        <v>61</v>
      </c>
      <c r="C191" s="165">
        <f>+E187/C176</f>
        <v>-0.0557692307692307</v>
      </c>
      <c r="G191"/>
    </row>
  </sheetData>
  <sheetProtection/>
  <mergeCells count="5">
    <mergeCell ref="G50:H50"/>
    <mergeCell ref="H47:I47"/>
    <mergeCell ref="H49:I49"/>
    <mergeCell ref="E143:F143"/>
    <mergeCell ref="E180:F180"/>
  </mergeCells>
  <printOptions/>
  <pageMargins left="0.787401575" right="0.787401575" top="0.984251969" bottom="0.984251969" header="0.492125985" footer="0.492125985"/>
  <pageSetup horizontalDpi="300" verticalDpi="300" orientation="portrait" paperSize="9"/>
  <headerFooter alignWithMargins="0">
    <oddHeader>&amp;CTeoAvPatEx1.xls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B23" sqref="B23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/>
  <headerFooter alignWithMargins="0">
    <oddFooter>&amp;CTeoAvPatEx1.xls&amp;RPágina &amp;P</oddFooter>
  </headerFooter>
  <rowBreaks count="3" manualBreakCount="3">
    <brk id="35" max="65535" man="1"/>
    <brk id="82" max="65535" man="1"/>
    <brk id="11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Eliseu Martins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 portador</dc:creator>
  <cp:keywords/>
  <dc:description/>
  <cp:lastModifiedBy>Eliseu Martins</cp:lastModifiedBy>
  <cp:lastPrinted>2004-07-28T20:19:21Z</cp:lastPrinted>
  <dcterms:created xsi:type="dcterms:W3CDTF">1998-01-30T20:58:38Z</dcterms:created>
  <dcterms:modified xsi:type="dcterms:W3CDTF">2019-05-03T02:22:55Z</dcterms:modified>
  <cp:category/>
  <cp:version/>
  <cp:contentType/>
  <cp:contentStatus/>
</cp:coreProperties>
</file>