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 Mendonca\Documents\ESALQ\Ensino\Disciplinas\Graduação\LEB1440 - Hidrologia e Drenagem\Aulas\Aula 4\"/>
    </mc:Choice>
  </mc:AlternateContent>
  <bookViews>
    <workbookView xWindow="0" yWindow="0" windowWidth="11220" windowHeight="4410"/>
  </bookViews>
  <sheets>
    <sheet name="Plan1" sheetId="1" r:id="rId1"/>
  </sheets>
  <calcPr calcId="152511" iterate="1" iterateCount="32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M29" i="1"/>
  <c r="J35" i="1"/>
  <c r="J32" i="1"/>
  <c r="K29" i="1"/>
  <c r="I15" i="1"/>
  <c r="I12" i="1"/>
  <c r="H9" i="1" l="1"/>
  <c r="H10" i="1"/>
  <c r="M56" i="1"/>
  <c r="M71" i="1"/>
  <c r="N70" i="1" l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H59" i="1"/>
  <c r="G59" i="1"/>
  <c r="F59" i="1"/>
  <c r="J59" i="1" s="1"/>
  <c r="L59" i="1" s="1"/>
  <c r="M59" i="1" s="1"/>
  <c r="H70" i="1"/>
  <c r="G70" i="1"/>
  <c r="F70" i="1"/>
  <c r="J70" i="1" s="1"/>
  <c r="L70" i="1" s="1"/>
  <c r="M70" i="1" s="1"/>
  <c r="H69" i="1"/>
  <c r="G69" i="1"/>
  <c r="F69" i="1"/>
  <c r="J69" i="1" s="1"/>
  <c r="L69" i="1" s="1"/>
  <c r="M69" i="1" s="1"/>
  <c r="H68" i="1"/>
  <c r="G68" i="1"/>
  <c r="F68" i="1"/>
  <c r="J68" i="1" s="1"/>
  <c r="L68" i="1" s="1"/>
  <c r="M68" i="1" s="1"/>
  <c r="H67" i="1"/>
  <c r="G67" i="1"/>
  <c r="F67" i="1"/>
  <c r="J67" i="1" s="1"/>
  <c r="L67" i="1" s="1"/>
  <c r="M67" i="1" s="1"/>
  <c r="H66" i="1"/>
  <c r="G66" i="1"/>
  <c r="F66" i="1"/>
  <c r="J66" i="1" s="1"/>
  <c r="L66" i="1" s="1"/>
  <c r="M66" i="1" s="1"/>
  <c r="H65" i="1"/>
  <c r="G65" i="1"/>
  <c r="F65" i="1"/>
  <c r="J65" i="1" s="1"/>
  <c r="L65" i="1" s="1"/>
  <c r="M65" i="1" s="1"/>
  <c r="H64" i="1"/>
  <c r="G64" i="1"/>
  <c r="F64" i="1"/>
  <c r="J64" i="1" s="1"/>
  <c r="L64" i="1" s="1"/>
  <c r="M64" i="1" s="1"/>
  <c r="H63" i="1"/>
  <c r="G63" i="1"/>
  <c r="F63" i="1"/>
  <c r="J63" i="1" s="1"/>
  <c r="L63" i="1" s="1"/>
  <c r="M63" i="1" s="1"/>
  <c r="H62" i="1"/>
  <c r="G62" i="1"/>
  <c r="F62" i="1"/>
  <c r="J62" i="1" s="1"/>
  <c r="L62" i="1" s="1"/>
  <c r="M62" i="1" s="1"/>
  <c r="H61" i="1"/>
  <c r="G61" i="1"/>
  <c r="F61" i="1"/>
  <c r="J61" i="1" s="1"/>
  <c r="L61" i="1" s="1"/>
  <c r="M61" i="1" s="1"/>
  <c r="H60" i="1"/>
  <c r="G60" i="1"/>
  <c r="F60" i="1"/>
  <c r="J60" i="1" s="1"/>
  <c r="L60" i="1" s="1"/>
  <c r="M60" i="1" s="1"/>
  <c r="H58" i="1"/>
  <c r="G58" i="1"/>
  <c r="F58" i="1"/>
  <c r="J58" i="1" s="1"/>
  <c r="L58" i="1" s="1"/>
  <c r="M58" i="1" s="1"/>
  <c r="H57" i="1"/>
  <c r="H56" i="1"/>
  <c r="G57" i="1"/>
  <c r="G56" i="1"/>
  <c r="F56" i="1"/>
  <c r="J56" i="1" s="1"/>
  <c r="L56" i="1" s="1"/>
  <c r="F57" i="1"/>
  <c r="J57" i="1" s="1"/>
  <c r="L57" i="1" s="1"/>
  <c r="M57" i="1" s="1"/>
  <c r="I56" i="1" l="1"/>
  <c r="C56" i="1" s="1"/>
  <c r="I69" i="1"/>
  <c r="C69" i="1" s="1"/>
  <c r="I70" i="1"/>
  <c r="C70" i="1" s="1"/>
  <c r="I68" i="1"/>
  <c r="C68" i="1" s="1"/>
  <c r="I67" i="1"/>
  <c r="C67" i="1" s="1"/>
  <c r="I66" i="1"/>
  <c r="C66" i="1" s="1"/>
  <c r="I65" i="1"/>
  <c r="C65" i="1" s="1"/>
  <c r="I64" i="1"/>
  <c r="C64" i="1" s="1"/>
  <c r="I63" i="1"/>
  <c r="C63" i="1" s="1"/>
  <c r="I62" i="1"/>
  <c r="C62" i="1" s="1"/>
  <c r="I61" i="1"/>
  <c r="C61" i="1" s="1"/>
  <c r="I60" i="1"/>
  <c r="C60" i="1" s="1"/>
  <c r="I59" i="1"/>
  <c r="C59" i="1" s="1"/>
  <c r="I58" i="1"/>
  <c r="C58" i="1" s="1"/>
  <c r="I57" i="1"/>
  <c r="C57" i="1" s="1"/>
  <c r="G10" i="1"/>
  <c r="G39" i="1" l="1"/>
  <c r="H39" i="1" s="1"/>
  <c r="I39" i="1" s="1"/>
  <c r="G42" i="1"/>
  <c r="H42" i="1" s="1"/>
  <c r="I42" i="1" s="1"/>
  <c r="G36" i="1"/>
  <c r="H36" i="1" s="1"/>
  <c r="I36" i="1" s="1"/>
  <c r="G33" i="1"/>
  <c r="H33" i="1" s="1"/>
  <c r="I33" i="1" s="1"/>
  <c r="G30" i="1"/>
  <c r="H30" i="1" s="1"/>
  <c r="I30" i="1" s="1"/>
  <c r="G29" i="1"/>
  <c r="H29" i="1" s="1"/>
  <c r="I29" i="1" s="1"/>
  <c r="G22" i="1"/>
  <c r="H22" i="1" s="1"/>
  <c r="I22" i="1" s="1"/>
  <c r="G21" i="1"/>
  <c r="H21" i="1" s="1"/>
  <c r="I21" i="1" s="1"/>
  <c r="G19" i="1"/>
  <c r="H19" i="1" s="1"/>
  <c r="I19" i="1" s="1"/>
  <c r="G18" i="1"/>
  <c r="H18" i="1" s="1"/>
  <c r="I18" i="1" s="1"/>
  <c r="G16" i="1"/>
  <c r="H16" i="1" s="1"/>
  <c r="I16" i="1" s="1"/>
  <c r="G15" i="1"/>
  <c r="H15" i="1" s="1"/>
  <c r="G13" i="1"/>
  <c r="H13" i="1" s="1"/>
  <c r="I13" i="1" s="1"/>
  <c r="G12" i="1"/>
  <c r="H12" i="1" s="1"/>
  <c r="I10" i="1"/>
  <c r="G9" i="1"/>
  <c r="I9" i="1" s="1"/>
  <c r="L32" i="1"/>
  <c r="L35" i="1" s="1"/>
  <c r="L38" i="1" s="1"/>
  <c r="L41" i="1" s="1"/>
  <c r="J41" i="1"/>
  <c r="J38" i="1"/>
  <c r="J29" i="1"/>
  <c r="H31" i="1" l="1"/>
  <c r="H32" i="1" s="1"/>
  <c r="H23" i="1"/>
  <c r="H20" i="1"/>
  <c r="H17" i="1"/>
  <c r="H14" i="1"/>
  <c r="H11" i="1"/>
  <c r="H34" i="1" l="1"/>
  <c r="I32" i="1"/>
  <c r="K18" i="1"/>
  <c r="M18" i="1" s="1"/>
  <c r="I20" i="1"/>
  <c r="K21" i="1"/>
  <c r="M21" i="1" s="1"/>
  <c r="I23" i="1"/>
  <c r="K12" i="1"/>
  <c r="M12" i="1" s="1"/>
  <c r="I14" i="1"/>
  <c r="K15" i="1"/>
  <c r="M15" i="1" s="1"/>
  <c r="I17" i="1"/>
  <c r="B56" i="1"/>
  <c r="I31" i="1"/>
  <c r="K9" i="1"/>
  <c r="M9" i="1" s="1"/>
  <c r="I11" i="1"/>
  <c r="H35" i="1"/>
  <c r="I35" i="1" s="1"/>
  <c r="H37" i="1" l="1"/>
  <c r="H38" i="1" s="1"/>
  <c r="I38" i="1" s="1"/>
  <c r="K32" i="1"/>
  <c r="M32" i="1" s="1"/>
  <c r="B59" i="1" s="1"/>
  <c r="I34" i="1"/>
  <c r="H40" i="1" l="1"/>
  <c r="H41" i="1" s="1"/>
  <c r="K35" i="1"/>
  <c r="M35" i="1" s="1"/>
  <c r="B62" i="1" s="1"/>
  <c r="I37" i="1"/>
  <c r="H43" i="1" l="1"/>
  <c r="I41" i="1"/>
  <c r="K38" i="1"/>
  <c r="M38" i="1" s="1"/>
  <c r="B65" i="1" s="1"/>
  <c r="I40" i="1"/>
  <c r="K41" i="1" l="1"/>
  <c r="M41" i="1" s="1"/>
  <c r="B68" i="1" s="1"/>
  <c r="I43" i="1"/>
</calcChain>
</file>

<file path=xl/comments1.xml><?xml version="1.0" encoding="utf-8"?>
<comments xmlns="http://schemas.openxmlformats.org/spreadsheetml/2006/main">
  <authors>
    <author>---</author>
  </authors>
  <commentList>
    <comment ref="H52" authorId="0" shapeId="0">
      <text>
        <r>
          <rPr>
            <sz val="9"/>
            <color indexed="81"/>
            <rFont val="Segoe UI"/>
            <family val="2"/>
          </rPr>
          <t>coeficiente da fórmula de Manning, dependente do material do canal</t>
        </r>
      </text>
    </comment>
    <comment ref="I52" authorId="0" shapeId="0">
      <text>
        <r>
          <rPr>
            <sz val="9"/>
            <color indexed="81"/>
            <rFont val="Segoe UI"/>
            <family val="2"/>
          </rPr>
          <t>Canal de terra vegetado com grama.</t>
        </r>
      </text>
    </comment>
    <comment ref="B54" authorId="0" shapeId="0">
      <text>
        <r>
          <rPr>
            <sz val="9"/>
            <color indexed="81"/>
            <rFont val="Segoe UI"/>
            <family val="2"/>
          </rPr>
          <t>Vazão calculada a partir do método chuva-vazão
(Racional, Racional Modificado, I-Pai-Wu)</t>
        </r>
      </text>
    </comment>
    <comment ref="C54" authorId="0" shapeId="0">
      <text>
        <r>
          <rPr>
            <sz val="9"/>
            <color indexed="81"/>
            <rFont val="Segoe UI"/>
            <family val="2"/>
          </rPr>
          <t>Vazão estimada por meio da Fórmula de Manning.</t>
        </r>
      </text>
    </comment>
    <comment ref="E54" authorId="0" shapeId="0">
      <text>
        <r>
          <rPr>
            <sz val="9"/>
            <color indexed="81"/>
            <rFont val="Segoe UI"/>
            <family val="2"/>
          </rPr>
          <t>Altura da água no canal</t>
        </r>
      </text>
    </comment>
    <comment ref="F54" authorId="0" shapeId="0">
      <text>
        <r>
          <rPr>
            <sz val="9"/>
            <color indexed="81"/>
            <rFont val="Segoe UI"/>
            <family val="2"/>
          </rPr>
          <t>Altura total do canal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Área da seção molhada.
Utilizada para calcular o raio hidráulico.</t>
        </r>
      </text>
    </comment>
    <comment ref="H54" authorId="0" shapeId="0">
      <text>
        <r>
          <rPr>
            <sz val="9"/>
            <color indexed="81"/>
            <rFont val="Segoe UI"/>
            <family val="2"/>
          </rPr>
          <t>Perímetro molhado.
Utilizado para calcular o raio hidráulico.</t>
        </r>
      </text>
    </comment>
    <comment ref="I54" authorId="0" shapeId="0">
      <text>
        <r>
          <rPr>
            <sz val="9"/>
            <color indexed="81"/>
            <rFont val="Segoe UI"/>
            <family val="2"/>
          </rPr>
          <t>Raio hidráulico
Rh = S / Pm</t>
        </r>
      </text>
    </comment>
    <comment ref="J54" authorId="0" shapeId="0">
      <text>
        <r>
          <rPr>
            <sz val="9"/>
            <color indexed="81"/>
            <rFont val="Segoe UI"/>
            <family val="2"/>
          </rPr>
          <t>Área total da seção do canal, incluindo a borda livre de água.</t>
        </r>
      </text>
    </comment>
    <comment ref="L54" authorId="0" shapeId="0">
      <text>
        <r>
          <rPr>
            <sz val="9"/>
            <color indexed="81"/>
            <rFont val="Segoe UI"/>
            <family val="2"/>
          </rPr>
          <t>Volume escavado</t>
        </r>
      </text>
    </comment>
  </commentList>
</comments>
</file>

<file path=xl/sharedStrings.xml><?xml version="1.0" encoding="utf-8"?>
<sst xmlns="http://schemas.openxmlformats.org/spreadsheetml/2006/main" count="159" uniqueCount="97">
  <si>
    <t>LEB1440 - Hidrologia e Drenagem</t>
  </si>
  <si>
    <t>Aula 4 - Exercício 4</t>
  </si>
  <si>
    <t>Escoamento superficial em terraços e canal</t>
  </si>
  <si>
    <t>Dados</t>
  </si>
  <si>
    <t>Terraço</t>
  </si>
  <si>
    <t>Trajeto</t>
  </si>
  <si>
    <t>Ac (ha)</t>
  </si>
  <si>
    <t>Terraços</t>
  </si>
  <si>
    <t>Trecho</t>
  </si>
  <si>
    <t>T3-A</t>
  </si>
  <si>
    <t>1-3-A</t>
  </si>
  <si>
    <t xml:space="preserve">1-3 </t>
  </si>
  <si>
    <t>3-A</t>
  </si>
  <si>
    <t>L (m)</t>
  </si>
  <si>
    <t>K</t>
  </si>
  <si>
    <t>I (%)</t>
  </si>
  <si>
    <t>V (m/s)</t>
  </si>
  <si>
    <t>C</t>
  </si>
  <si>
    <r>
      <t>Qp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</si>
  <si>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i (mm/h)</t>
  </si>
  <si>
    <t>tp (s)</t>
  </si>
  <si>
    <t xml:space="preserve">Total: </t>
  </si>
  <si>
    <t>T5-B</t>
  </si>
  <si>
    <t>T7-C</t>
  </si>
  <si>
    <t>T9-D</t>
  </si>
  <si>
    <t>T11-E</t>
  </si>
  <si>
    <t xml:space="preserve">3-5 </t>
  </si>
  <si>
    <t>5-B</t>
  </si>
  <si>
    <t xml:space="preserve">5-7 </t>
  </si>
  <si>
    <t>7-C</t>
  </si>
  <si>
    <t xml:space="preserve">7-9 </t>
  </si>
  <si>
    <t xml:space="preserve">9-11 </t>
  </si>
  <si>
    <t>11-E</t>
  </si>
  <si>
    <t>9-D</t>
  </si>
  <si>
    <t>Canal</t>
  </si>
  <si>
    <t>A-B</t>
  </si>
  <si>
    <t>B-C</t>
  </si>
  <si>
    <t>C-D</t>
  </si>
  <si>
    <t>D-E</t>
  </si>
  <si>
    <t>E-S</t>
  </si>
  <si>
    <t>Seção</t>
  </si>
  <si>
    <t xml:space="preserve">1-3-A-B </t>
  </si>
  <si>
    <t xml:space="preserve">1-3-A-B-C </t>
  </si>
  <si>
    <t>1-3-A-B-C-D</t>
  </si>
  <si>
    <t>---</t>
  </si>
  <si>
    <t>1-3-A-B</t>
  </si>
  <si>
    <t>1-3-A-B-C</t>
  </si>
  <si>
    <t>1-3-A-B-C-D-E</t>
  </si>
  <si>
    <t xml:space="preserve">K = </t>
  </si>
  <si>
    <t xml:space="preserve">a = </t>
  </si>
  <si>
    <t xml:space="preserve">b = </t>
  </si>
  <si>
    <t xml:space="preserve">c = </t>
  </si>
  <si>
    <t>Equação IDF</t>
  </si>
  <si>
    <t xml:space="preserve">T (anos) = </t>
  </si>
  <si>
    <t>tp (min)</t>
  </si>
  <si>
    <t>Dimensionamento da seção transversal dos trechos do canal</t>
  </si>
  <si>
    <t>Dados:</t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</si>
  <si>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(m) = 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</si>
  <si>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(m) = </t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</si>
  <si>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(m) = </t>
    </r>
  </si>
  <si>
    <t>Largura de fundo (b)</t>
  </si>
  <si>
    <t>Rendimento de escavação</t>
  </si>
  <si>
    <t>m/h</t>
  </si>
  <si>
    <t>Custo de escavação</t>
  </si>
  <si>
    <r>
      <t>R$/m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</si>
  <si>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>Qp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</si>
  <si>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</si>
  <si>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b</t>
  </si>
  <si>
    <t>(m)</t>
  </si>
  <si>
    <t>Equação de Manning:</t>
  </si>
  <si>
    <t>Ha</t>
  </si>
  <si>
    <t>Ht</t>
  </si>
  <si>
    <t>f = 0,2 x Ha</t>
  </si>
  <si>
    <t>Incllinação das paredes</t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</si>
  <si>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 xml:space="preserve"> =</t>
    </r>
  </si>
  <si>
    <t>S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</si>
  <si>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</si>
  <si>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Declividade do fundo</t>
  </si>
  <si>
    <t>L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</si>
  <si>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</si>
  <si>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Folga (borda livre, m)</t>
  </si>
  <si>
    <t>Pm</t>
  </si>
  <si>
    <t>Rh</t>
  </si>
  <si>
    <t xml:space="preserve">n = </t>
  </si>
  <si>
    <t>Qest</t>
  </si>
  <si>
    <t xml:space="preserve">i (m/m) = </t>
  </si>
  <si>
    <t>Vol. Esc.</t>
  </si>
  <si>
    <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</si>
  <si>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(R$)</t>
  </si>
  <si>
    <t>Custo Esc.</t>
  </si>
  <si>
    <t>Tempo</t>
  </si>
  <si>
    <t>(h)</t>
  </si>
  <si>
    <t>Total:</t>
  </si>
  <si>
    <t>3-5-B</t>
  </si>
  <si>
    <t>5-7-C</t>
  </si>
  <si>
    <t>7-9-D</t>
  </si>
  <si>
    <t>9-11-E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</si>
</sst>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597876</xdr:colOff>
      <xdr:row>50</xdr:row>
      <xdr:rowOff>95982</xdr:rowOff>
    </xdr:from>
    <xdr:ext cx="1292470" cy="2782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3462703" y="9767520"/>
              <a:ext cx="1292470" cy="2782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BR" sz="1200" b="0" i="0">
                      <a:latin typeface="Cambria Math" panose="02040503050406030204" pitchFamily="18" charset="0"/>
                    </a:rPr>
                    <m:t>Q</m:t>
                  </m:r>
                  <m:r>
                    <a:rPr lang="pt-BR" sz="1200" b="0" i="0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pt-BR" sz="1200" b="0" i="1">
                          <a:latin typeface="Cambria Math" panose="02040503050406030204" pitchFamily="18" charset="0"/>
                        </a:rPr>
                        <m:t>𝑆</m:t>
                      </m:r>
                      <m:r>
                        <a:rPr lang="pt-BR" sz="1200" b="0" i="1">
                          <a:latin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pt-BR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pt-BR" sz="1200" b="0" i="1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pt-BR" sz="1200" b="0" i="1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  <m:r>
                    <a:rPr lang="pt-BR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pt-BR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 </m:t>
                  </m:r>
                  <m:sSubSup>
                    <m:sSubSupPr>
                      <m:ctrlPr>
                        <a:rPr lang="pt-BR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SupPr>
                    <m:e>
                      <m:r>
                        <a:rPr lang="pt-BR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h</m:t>
                      </m:r>
                    </m:sub>
                    <m:sup>
                      <m:f>
                        <m:fPr>
                          <m:type m:val="skw"/>
                          <m:ctrlPr>
                            <a:rPr lang="pt-BR" sz="12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BR" sz="12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pt-BR" sz="12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sup>
                  </m:sSubSup>
                  <m:r>
                    <a:rPr lang="pt-BR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∙</m:t>
                  </m:r>
                  <m:sSup>
                    <m:sSupPr>
                      <m:ctrlPr>
                        <a:rPr lang="pt-BR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pt-BR" sz="12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i</m:t>
                      </m:r>
                    </m:e>
                    <m:sup>
                      <m:r>
                        <a:rPr lang="pt-BR" sz="12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0,5</m:t>
                      </m:r>
                    </m:sup>
                  </m:sSup>
                </m:oMath>
              </a14:m>
              <a:r>
                <a:rPr lang="pt-BR" sz="1200" i="0"/>
                <a:t>  </a:t>
              </a: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3462703" y="9767520"/>
              <a:ext cx="1292470" cy="2782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200" b="0" i="0">
                  <a:latin typeface="Cambria Math" panose="02040503050406030204" pitchFamily="18" charset="0"/>
                </a:rPr>
                <a:t>Q=  ( 𝑆 )/( 𝑛 )  </a:t>
              </a:r>
              <a:r>
                <a:rPr lang="pt-B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 𝑅_ℎ^(2⁄3)  ∙i^0,5</a:t>
              </a:r>
              <a:r>
                <a:rPr lang="pt-BR" sz="1200" i="0"/>
                <a:t>  </a:t>
              </a:r>
            </a:p>
          </xdr:txBody>
        </xdr:sp>
      </mc:Fallback>
    </mc:AlternateContent>
    <xdr:clientData/>
  </xdr:oneCellAnchor>
  <xdr:twoCellAnchor>
    <xdr:from>
      <xdr:col>10</xdr:col>
      <xdr:colOff>51288</xdr:colOff>
      <xdr:row>49</xdr:row>
      <xdr:rowOff>14653</xdr:rowOff>
    </xdr:from>
    <xdr:to>
      <xdr:col>12</xdr:col>
      <xdr:colOff>15386</xdr:colOff>
      <xdr:row>50</xdr:row>
      <xdr:rowOff>128953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2442" y="9459057"/>
          <a:ext cx="1282944" cy="34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51289</xdr:colOff>
      <xdr:row>51</xdr:row>
      <xdr:rowOff>0</xdr:rowOff>
    </xdr:from>
    <xdr:to>
      <xdr:col>11</xdr:col>
      <xdr:colOff>213214</xdr:colOff>
      <xdr:row>51</xdr:row>
      <xdr:rowOff>180975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2443" y="9898673"/>
          <a:ext cx="806694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322388</xdr:colOff>
      <xdr:row>49</xdr:row>
      <xdr:rowOff>0</xdr:rowOff>
    </xdr:from>
    <xdr:to>
      <xdr:col>14</xdr:col>
      <xdr:colOff>85729</xdr:colOff>
      <xdr:row>50</xdr:row>
      <xdr:rowOff>114300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676" y="9444404"/>
          <a:ext cx="1199418" cy="34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showGridLines="0" tabSelected="1" topLeftCell="D25" zoomScale="145" zoomScaleNormal="145" workbookViewId="0">
      <selection activeCell="I31" sqref="I31"/>
    </sheetView>
  </sheetViews>
  <sheetFormatPr defaultRowHeight="15" x14ac:dyDescent="0.25"/>
  <cols>
    <col min="1" max="1" width="9.140625" style="2"/>
    <col min="2" max="2" width="13" customWidth="1"/>
    <col min="3" max="3" width="11.7109375" customWidth="1"/>
    <col min="4" max="4" width="7" customWidth="1"/>
    <col min="5" max="5" width="7.5703125" customWidth="1"/>
    <col min="6" max="6" width="10" customWidth="1"/>
    <col min="7" max="7" width="10.42578125" customWidth="1"/>
    <col min="8" max="8" width="10.85546875" customWidth="1"/>
    <col min="9" max="9" width="9" customWidth="1"/>
    <col min="10" max="10" width="7.28515625" customWidth="1"/>
    <col min="11" max="11" width="8.85546875" bestFit="1" customWidth="1"/>
    <col min="12" max="12" width="10.140625" customWidth="1"/>
    <col min="13" max="13" width="12.42578125" bestFit="1" customWidth="1"/>
  </cols>
  <sheetData>
    <row r="1" spans="1:13" x14ac:dyDescent="0.25">
      <c r="A1" s="1" t="s">
        <v>0</v>
      </c>
    </row>
    <row r="2" spans="1:13" x14ac:dyDescent="0.25">
      <c r="A2" s="1" t="s">
        <v>1</v>
      </c>
      <c r="G2" s="51" t="s">
        <v>52</v>
      </c>
      <c r="H2" s="51"/>
      <c r="I2" s="19"/>
    </row>
    <row r="3" spans="1:13" x14ac:dyDescent="0.25">
      <c r="A3" s="1" t="s">
        <v>2</v>
      </c>
      <c r="G3" s="12" t="s">
        <v>48</v>
      </c>
      <c r="H3" s="4">
        <v>1172.4749999999999</v>
      </c>
      <c r="I3" s="4"/>
    </row>
    <row r="4" spans="1:13" x14ac:dyDescent="0.25">
      <c r="A4" s="1"/>
      <c r="G4" s="12" t="s">
        <v>49</v>
      </c>
      <c r="H4" s="4">
        <v>0.13700000000000001</v>
      </c>
      <c r="I4" s="4"/>
    </row>
    <row r="5" spans="1:13" x14ac:dyDescent="0.25">
      <c r="A5"/>
      <c r="G5" s="12" t="s">
        <v>50</v>
      </c>
      <c r="H5" s="4">
        <v>24.795999999999999</v>
      </c>
      <c r="I5" s="4"/>
    </row>
    <row r="6" spans="1:13" x14ac:dyDescent="0.25">
      <c r="A6" s="1" t="s">
        <v>3</v>
      </c>
      <c r="G6" s="12" t="s">
        <v>51</v>
      </c>
      <c r="H6" s="4">
        <v>0.71799999999999997</v>
      </c>
      <c r="I6" s="4"/>
    </row>
    <row r="7" spans="1:13" x14ac:dyDescent="0.25">
      <c r="A7" s="1" t="s">
        <v>7</v>
      </c>
      <c r="B7" s="12" t="s">
        <v>53</v>
      </c>
      <c r="C7" s="4">
        <v>10</v>
      </c>
      <c r="J7" s="2"/>
    </row>
    <row r="8" spans="1:13" ht="17.25" x14ac:dyDescent="0.25">
      <c r="A8" s="8" t="s">
        <v>4</v>
      </c>
      <c r="B8" s="9" t="s">
        <v>5</v>
      </c>
      <c r="C8" s="9" t="s">
        <v>8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20</v>
      </c>
      <c r="I8" s="9" t="s">
        <v>54</v>
      </c>
      <c r="J8" s="9" t="s">
        <v>17</v>
      </c>
      <c r="K8" s="9" t="s">
        <v>19</v>
      </c>
      <c r="L8" s="9" t="s">
        <v>6</v>
      </c>
      <c r="M8" s="9" t="s">
        <v>18</v>
      </c>
    </row>
    <row r="9" spans="1:13" x14ac:dyDescent="0.25">
      <c r="A9" s="45" t="s">
        <v>9</v>
      </c>
      <c r="B9" s="48" t="s">
        <v>10</v>
      </c>
      <c r="C9" s="6" t="s">
        <v>11</v>
      </c>
      <c r="D9" s="5">
        <v>200</v>
      </c>
      <c r="E9" s="5">
        <v>0.08</v>
      </c>
      <c r="F9" s="5">
        <v>12</v>
      </c>
      <c r="G9" s="13">
        <f>IF(E9="","",IF(F9="","",E9*SQRT(F9)))</f>
        <v>0.27712812921102037</v>
      </c>
      <c r="H9" s="16">
        <f>IF(D9="","",IF(G9="","",D9/G9))</f>
        <v>721.6878364870322</v>
      </c>
      <c r="I9" s="16">
        <f t="shared" ref="I9:I23" si="0">H9/60</f>
        <v>12.028130608117204</v>
      </c>
      <c r="J9" s="59">
        <v>0.4</v>
      </c>
      <c r="K9" s="59">
        <f>IF(H11="","",$H$3*$C$7^$H$4/(H11/60+$H$5)^$H$6)</f>
        <v>78.545844697949192</v>
      </c>
      <c r="L9" s="48">
        <v>9</v>
      </c>
      <c r="M9" s="53">
        <f>IF(J9="","",IF(K9="","",IF(L9="","",J9*K9*L9/360)))</f>
        <v>0.78545844697949196</v>
      </c>
    </row>
    <row r="10" spans="1:13" x14ac:dyDescent="0.25">
      <c r="A10" s="46"/>
      <c r="B10" s="49"/>
      <c r="C10" s="10" t="s">
        <v>12</v>
      </c>
      <c r="D10" s="10">
        <v>364</v>
      </c>
      <c r="E10" s="10">
        <v>0.45</v>
      </c>
      <c r="F10" s="10">
        <v>0.2</v>
      </c>
      <c r="G10" s="14">
        <f>IF(E10="","",IF(F10="","",E10*SQRT(F10)))</f>
        <v>0.20124611797498107</v>
      </c>
      <c r="H10" s="17">
        <f>IF(D10="","",IF(G10="","",D10/G10))</f>
        <v>1808.73054179983</v>
      </c>
      <c r="I10" s="17">
        <f t="shared" si="0"/>
        <v>30.145509029997168</v>
      </c>
      <c r="J10" s="60"/>
      <c r="K10" s="60"/>
      <c r="L10" s="49"/>
      <c r="M10" s="62"/>
    </row>
    <row r="11" spans="1:13" x14ac:dyDescent="0.25">
      <c r="A11" s="47"/>
      <c r="B11" s="50"/>
      <c r="C11" s="7"/>
      <c r="D11" s="7"/>
      <c r="E11" s="7"/>
      <c r="F11" s="7"/>
      <c r="G11" s="21" t="s">
        <v>21</v>
      </c>
      <c r="H11" s="20">
        <f>IF(H10="","",SUM(H9:H10))</f>
        <v>2530.4183782868622</v>
      </c>
      <c r="I11" s="20">
        <f t="shared" si="0"/>
        <v>42.173639638114373</v>
      </c>
      <c r="J11" s="61"/>
      <c r="K11" s="61"/>
      <c r="L11" s="50"/>
      <c r="M11" s="63"/>
    </row>
    <row r="12" spans="1:13" x14ac:dyDescent="0.25">
      <c r="A12" s="45" t="s">
        <v>22</v>
      </c>
      <c r="B12" s="48" t="s">
        <v>93</v>
      </c>
      <c r="C12" s="6" t="s">
        <v>26</v>
      </c>
      <c r="D12" s="5">
        <v>150</v>
      </c>
      <c r="E12" s="5">
        <v>0.21</v>
      </c>
      <c r="F12" s="5">
        <v>8</v>
      </c>
      <c r="G12" s="13">
        <f>IF(E12="","",IF(F12="","",E12*SQRT(F12)))</f>
        <v>0.59396969619669993</v>
      </c>
      <c r="H12" s="16">
        <f>IF(D12="","",IF(G12="","",D12/G12))</f>
        <v>252.53813613805269</v>
      </c>
      <c r="I12" s="16">
        <f>H12/60</f>
        <v>4.2089689356342115</v>
      </c>
      <c r="J12" s="59">
        <v>0.36</v>
      </c>
      <c r="K12" s="59">
        <f>IF(H14="","",$H$3*$C$7^$H$4/(H14/60+$H$5)^$H$6)</f>
        <v>92.141367479490995</v>
      </c>
      <c r="L12" s="48">
        <v>5</v>
      </c>
      <c r="M12" s="53">
        <f>IF(J12="","",IF(K12="","",IF(L12="","",J12*K12*L12/360)))</f>
        <v>0.46070683739745499</v>
      </c>
    </row>
    <row r="13" spans="1:13" x14ac:dyDescent="0.25">
      <c r="A13" s="46"/>
      <c r="B13" s="49"/>
      <c r="C13" s="10" t="s">
        <v>27</v>
      </c>
      <c r="D13" s="10">
        <v>364</v>
      </c>
      <c r="E13" s="10">
        <v>0.45</v>
      </c>
      <c r="F13" s="10">
        <v>0.3</v>
      </c>
      <c r="G13" s="14">
        <f>IF(E13="","",IF(F13="","",E13*SQRT(F13)))</f>
        <v>0.24647515087732474</v>
      </c>
      <c r="H13" s="17">
        <f>IF(D13="","",IF(G13="","",D13/G13))</f>
        <v>1476.8223031991147</v>
      </c>
      <c r="I13" s="17">
        <f t="shared" si="0"/>
        <v>24.613705053318579</v>
      </c>
      <c r="J13" s="60"/>
      <c r="K13" s="60"/>
      <c r="L13" s="49"/>
      <c r="M13" s="62"/>
    </row>
    <row r="14" spans="1:13" x14ac:dyDescent="0.25">
      <c r="A14" s="47"/>
      <c r="B14" s="50"/>
      <c r="C14" s="7"/>
      <c r="D14" s="7"/>
      <c r="E14" s="7"/>
      <c r="F14" s="7"/>
      <c r="G14" s="21" t="s">
        <v>21</v>
      </c>
      <c r="H14" s="20">
        <f>IF(H13="","",SUM(H12:H13))</f>
        <v>1729.3604393371675</v>
      </c>
      <c r="I14" s="20">
        <f t="shared" si="0"/>
        <v>28.82267398895279</v>
      </c>
      <c r="J14" s="61"/>
      <c r="K14" s="61"/>
      <c r="L14" s="50"/>
      <c r="M14" s="63"/>
    </row>
    <row r="15" spans="1:13" x14ac:dyDescent="0.25">
      <c r="A15" s="45" t="s">
        <v>23</v>
      </c>
      <c r="B15" s="48" t="s">
        <v>94</v>
      </c>
      <c r="C15" s="6" t="s">
        <v>28</v>
      </c>
      <c r="D15" s="5">
        <v>105</v>
      </c>
      <c r="E15" s="5">
        <v>0.21</v>
      </c>
      <c r="F15" s="5">
        <v>4</v>
      </c>
      <c r="G15" s="13">
        <f>IF(E15="","",IF(F15="","",E15*SQRT(F15)))</f>
        <v>0.42</v>
      </c>
      <c r="H15" s="16">
        <f>IF(D15="","",IF(G15="","",D15/G15))</f>
        <v>250</v>
      </c>
      <c r="I15" s="16">
        <f>H15/60</f>
        <v>4.166666666666667</v>
      </c>
      <c r="J15" s="59">
        <v>0.36</v>
      </c>
      <c r="K15" s="59">
        <f>IF(H17="","",$H$3*$C$7^$H$4/(H17/60+$H$5)^$H$6)</f>
        <v>96.496036439223118</v>
      </c>
      <c r="L15" s="48">
        <v>3.6</v>
      </c>
      <c r="M15" s="53">
        <f>IF(J15="","",IF(K15="","",IF(L15="","",J15*K15*L15/360)))</f>
        <v>0.34738573118120319</v>
      </c>
    </row>
    <row r="16" spans="1:13" x14ac:dyDescent="0.25">
      <c r="A16" s="46"/>
      <c r="B16" s="49"/>
      <c r="C16" s="10" t="s">
        <v>29</v>
      </c>
      <c r="D16" s="10">
        <v>364</v>
      </c>
      <c r="E16" s="10">
        <v>0.45</v>
      </c>
      <c r="F16" s="10">
        <v>0.4</v>
      </c>
      <c r="G16" s="14">
        <f>IF(E16="","",IF(F16="","",E16*SQRT(F16)))</f>
        <v>0.28460498941515416</v>
      </c>
      <c r="H16" s="17">
        <f>IF(D16="","",IF(G16="","",D16/G16))</f>
        <v>1278.9656314458778</v>
      </c>
      <c r="I16" s="17">
        <f t="shared" si="0"/>
        <v>21.316093857431294</v>
      </c>
      <c r="J16" s="60"/>
      <c r="K16" s="60"/>
      <c r="L16" s="49"/>
      <c r="M16" s="62"/>
    </row>
    <row r="17" spans="1:13" x14ac:dyDescent="0.25">
      <c r="A17" s="47"/>
      <c r="B17" s="50"/>
      <c r="C17" s="7"/>
      <c r="D17" s="7"/>
      <c r="E17" s="7"/>
      <c r="F17" s="7"/>
      <c r="G17" s="21" t="s">
        <v>21</v>
      </c>
      <c r="H17" s="20">
        <f>IF(H16="","",SUM(H15:H16))</f>
        <v>1528.9656314458778</v>
      </c>
      <c r="I17" s="20">
        <f t="shared" si="0"/>
        <v>25.482760524097962</v>
      </c>
      <c r="J17" s="61"/>
      <c r="K17" s="61"/>
      <c r="L17" s="50"/>
      <c r="M17" s="63"/>
    </row>
    <row r="18" spans="1:13" x14ac:dyDescent="0.25">
      <c r="A18" s="45" t="s">
        <v>24</v>
      </c>
      <c r="B18" s="48" t="s">
        <v>95</v>
      </c>
      <c r="C18" s="6" t="s">
        <v>30</v>
      </c>
      <c r="D18" s="5">
        <v>73</v>
      </c>
      <c r="E18" s="5">
        <v>0.27</v>
      </c>
      <c r="F18" s="5">
        <v>2</v>
      </c>
      <c r="G18" s="13">
        <f>IF(E18="","",IF(F18="","",E18*SQRT(F18)))</f>
        <v>0.3818376618407357</v>
      </c>
      <c r="H18" s="16">
        <f>IF(D18="","",IF(G18="","",D18/G18))</f>
        <v>191.18072232080726</v>
      </c>
      <c r="I18" s="16">
        <f t="shared" si="0"/>
        <v>3.1863453720134545</v>
      </c>
      <c r="J18" s="59">
        <v>0.34</v>
      </c>
      <c r="K18" s="59">
        <f>IF(H20="","",$H$3*$C$7^$H$4/(H20/60+$H$5)^$H$6)</f>
        <v>101.20891595641334</v>
      </c>
      <c r="L18" s="48">
        <v>2.5</v>
      </c>
      <c r="M18" s="53">
        <f>IF(J18="","",IF(K18="","",IF(L18="","",J18*K18*L18/360)))</f>
        <v>0.23896549600819819</v>
      </c>
    </row>
    <row r="19" spans="1:13" x14ac:dyDescent="0.25">
      <c r="A19" s="46"/>
      <c r="B19" s="49"/>
      <c r="C19" s="10" t="s">
        <v>33</v>
      </c>
      <c r="D19" s="10">
        <v>364</v>
      </c>
      <c r="E19" s="10">
        <v>0.45</v>
      </c>
      <c r="F19" s="10">
        <v>0.5</v>
      </c>
      <c r="G19" s="14">
        <f>IF(E19="","",IF(F19="","",E19*SQRT(F19)))</f>
        <v>0.31819805153394642</v>
      </c>
      <c r="H19" s="17">
        <f>IF(D19="","",IF(G19="","",D19/G19))</f>
        <v>1143.94163711957</v>
      </c>
      <c r="I19" s="17">
        <f t="shared" si="0"/>
        <v>19.065693951992834</v>
      </c>
      <c r="J19" s="60"/>
      <c r="K19" s="60"/>
      <c r="L19" s="49"/>
      <c r="M19" s="62"/>
    </row>
    <row r="20" spans="1:13" x14ac:dyDescent="0.25">
      <c r="A20" s="47"/>
      <c r="B20" s="50"/>
      <c r="C20" s="7"/>
      <c r="D20" s="7"/>
      <c r="E20" s="7"/>
      <c r="F20" s="7"/>
      <c r="G20" s="21" t="s">
        <v>21</v>
      </c>
      <c r="H20" s="20">
        <f>IF(H19="","",SUM(H18:H19))</f>
        <v>1335.1223594403773</v>
      </c>
      <c r="I20" s="20">
        <f t="shared" si="0"/>
        <v>22.252039324006287</v>
      </c>
      <c r="J20" s="61"/>
      <c r="K20" s="61"/>
      <c r="L20" s="50"/>
      <c r="M20" s="63"/>
    </row>
    <row r="21" spans="1:13" x14ac:dyDescent="0.25">
      <c r="A21" s="45" t="s">
        <v>25</v>
      </c>
      <c r="B21" s="48" t="s">
        <v>96</v>
      </c>
      <c r="C21" s="6" t="s">
        <v>31</v>
      </c>
      <c r="D21" s="5">
        <v>73</v>
      </c>
      <c r="E21" s="5">
        <v>0.27</v>
      </c>
      <c r="F21" s="5">
        <v>1</v>
      </c>
      <c r="G21" s="13">
        <f>IF(E21="","",IF(F21="","",E21*SQRT(F21)))</f>
        <v>0.27</v>
      </c>
      <c r="H21" s="16">
        <f>IF(D21="","",IF(G21="","",D21/G21))</f>
        <v>270.37037037037038</v>
      </c>
      <c r="I21" s="16">
        <f t="shared" si="0"/>
        <v>4.5061728395061733</v>
      </c>
      <c r="J21" s="59">
        <v>0.34</v>
      </c>
      <c r="K21" s="59">
        <f>IF(H23="","",$H$3*$C$7^$H$4/(H23/60+$H$5)^$H$6)</f>
        <v>99.218284293448704</v>
      </c>
      <c r="L21" s="48">
        <v>2.5</v>
      </c>
      <c r="M21" s="53">
        <f>IF(J21="","",IF(K21="","",IF(L21="","",J21*K21*L21/360)))</f>
        <v>0.23426539347064279</v>
      </c>
    </row>
    <row r="22" spans="1:13" x14ac:dyDescent="0.25">
      <c r="A22" s="46"/>
      <c r="B22" s="49"/>
      <c r="C22" s="10" t="s">
        <v>32</v>
      </c>
      <c r="D22" s="10">
        <v>364</v>
      </c>
      <c r="E22" s="10">
        <v>0.45</v>
      </c>
      <c r="F22" s="10">
        <v>0.5</v>
      </c>
      <c r="G22" s="14">
        <f>IF(E22="","",IF(F22="","",E22*SQRT(F22)))</f>
        <v>0.31819805153394642</v>
      </c>
      <c r="H22" s="17">
        <f>IF(D22="","",IF(G22="","",D22/G22))</f>
        <v>1143.94163711957</v>
      </c>
      <c r="I22" s="17">
        <f t="shared" si="0"/>
        <v>19.065693951992834</v>
      </c>
      <c r="J22" s="60"/>
      <c r="K22" s="60"/>
      <c r="L22" s="49"/>
      <c r="M22" s="62"/>
    </row>
    <row r="23" spans="1:13" x14ac:dyDescent="0.25">
      <c r="A23" s="47"/>
      <c r="B23" s="50"/>
      <c r="C23" s="7"/>
      <c r="D23" s="7"/>
      <c r="E23" s="7"/>
      <c r="F23" s="7"/>
      <c r="G23" s="21" t="s">
        <v>21</v>
      </c>
      <c r="H23" s="20">
        <f>IF(H22="","",SUM(H21:H22))</f>
        <v>1414.3120074899405</v>
      </c>
      <c r="I23" s="20">
        <f t="shared" si="0"/>
        <v>23.571866791499009</v>
      </c>
      <c r="J23" s="61"/>
      <c r="K23" s="61"/>
      <c r="L23" s="50"/>
      <c r="M23" s="63"/>
    </row>
    <row r="24" spans="1:13" x14ac:dyDescent="0.25">
      <c r="A24" s="3"/>
      <c r="B24" s="4"/>
      <c r="C24" s="4"/>
      <c r="D24" s="4"/>
      <c r="E24" s="4"/>
      <c r="F24" s="4"/>
      <c r="G24" s="4"/>
      <c r="H24" s="4"/>
      <c r="I24" s="4"/>
    </row>
    <row r="25" spans="1:13" x14ac:dyDescent="0.25">
      <c r="E25" s="4"/>
      <c r="F25" s="4"/>
      <c r="G25" s="4"/>
      <c r="H25" s="4"/>
      <c r="I25" s="4"/>
    </row>
    <row r="26" spans="1:13" x14ac:dyDescent="0.25">
      <c r="E26" s="4"/>
      <c r="F26" s="4"/>
      <c r="G26" s="4"/>
      <c r="H26" s="4"/>
      <c r="I26" s="4"/>
    </row>
    <row r="27" spans="1:13" x14ac:dyDescent="0.25">
      <c r="A27" s="1" t="s">
        <v>34</v>
      </c>
      <c r="B27" s="12" t="s">
        <v>53</v>
      </c>
      <c r="C27" s="4">
        <v>10</v>
      </c>
    </row>
    <row r="28" spans="1:13" ht="17.25" x14ac:dyDescent="0.25">
      <c r="A28" s="8" t="s">
        <v>40</v>
      </c>
      <c r="B28" s="9" t="s">
        <v>5</v>
      </c>
      <c r="C28" s="9" t="s">
        <v>8</v>
      </c>
      <c r="D28" s="9" t="s">
        <v>13</v>
      </c>
      <c r="E28" s="9" t="s">
        <v>14</v>
      </c>
      <c r="F28" s="9" t="s">
        <v>15</v>
      </c>
      <c r="G28" s="9" t="s">
        <v>16</v>
      </c>
      <c r="H28" s="9" t="s">
        <v>20</v>
      </c>
      <c r="I28" s="9" t="s">
        <v>54</v>
      </c>
      <c r="J28" s="9" t="s">
        <v>17</v>
      </c>
      <c r="K28" s="9" t="s">
        <v>19</v>
      </c>
      <c r="L28" s="9" t="s">
        <v>6</v>
      </c>
      <c r="M28" s="9" t="s">
        <v>18</v>
      </c>
    </row>
    <row r="29" spans="1:13" x14ac:dyDescent="0.25">
      <c r="A29" s="45" t="s">
        <v>35</v>
      </c>
      <c r="B29" s="48" t="s">
        <v>10</v>
      </c>
      <c r="C29" s="6" t="s">
        <v>11</v>
      </c>
      <c r="D29" s="5">
        <v>200</v>
      </c>
      <c r="E29" s="5">
        <v>0.08</v>
      </c>
      <c r="F29" s="5">
        <v>12</v>
      </c>
      <c r="G29" s="13">
        <f>IF(E29="","",IF(F29="","",E29*SQRT(F29)))</f>
        <v>0.27712812921102037</v>
      </c>
      <c r="H29" s="16">
        <f>IF(D29="","",IF(G29="","",D29/G29))</f>
        <v>721.6878364870322</v>
      </c>
      <c r="I29" s="16">
        <f t="shared" ref="I29:I43" si="1">H29/60</f>
        <v>12.028130608117204</v>
      </c>
      <c r="J29" s="59">
        <f>J9</f>
        <v>0.4</v>
      </c>
      <c r="K29" s="59">
        <f>IF(H31="","",$H$3*$C$27^$H$4/(H31/60+$H$5)^$H$6)</f>
        <v>78.545844697949192</v>
      </c>
      <c r="L29" s="48">
        <f>L9</f>
        <v>9</v>
      </c>
      <c r="M29" s="53">
        <f>IF(J29="","",IF(K29="","",IF(L29="","",J29*K29*L29/360)))</f>
        <v>0.78545844697949196</v>
      </c>
    </row>
    <row r="30" spans="1:13" x14ac:dyDescent="0.25">
      <c r="A30" s="46"/>
      <c r="B30" s="49"/>
      <c r="C30" s="10" t="s">
        <v>12</v>
      </c>
      <c r="D30" s="10">
        <v>364</v>
      </c>
      <c r="E30" s="10">
        <v>0.45</v>
      </c>
      <c r="F30" s="10">
        <v>0.2</v>
      </c>
      <c r="G30" s="14">
        <f>IF(E30="","",IF(F30="","",E30*SQRT(F30)))</f>
        <v>0.20124611797498107</v>
      </c>
      <c r="H30" s="17">
        <f>IF(D30="","",IF(G30="","",D30/G30))</f>
        <v>1808.73054179983</v>
      </c>
      <c r="I30" s="17">
        <f t="shared" si="1"/>
        <v>30.145509029997168</v>
      </c>
      <c r="J30" s="60"/>
      <c r="K30" s="60"/>
      <c r="L30" s="49"/>
      <c r="M30" s="62"/>
    </row>
    <row r="31" spans="1:13" x14ac:dyDescent="0.25">
      <c r="A31" s="47"/>
      <c r="B31" s="50"/>
      <c r="C31" s="7"/>
      <c r="D31" s="7"/>
      <c r="E31" s="7"/>
      <c r="F31" s="7"/>
      <c r="G31" s="21" t="s">
        <v>21</v>
      </c>
      <c r="H31" s="20">
        <f>IF(H30="","",SUM(H29:H30))</f>
        <v>2530.4183782868622</v>
      </c>
      <c r="I31" s="20">
        <f t="shared" si="1"/>
        <v>42.173639638114373</v>
      </c>
      <c r="J31" s="61"/>
      <c r="K31" s="61"/>
      <c r="L31" s="50"/>
      <c r="M31" s="63"/>
    </row>
    <row r="32" spans="1:13" x14ac:dyDescent="0.25">
      <c r="A32" s="45" t="s">
        <v>36</v>
      </c>
      <c r="B32" s="48" t="s">
        <v>45</v>
      </c>
      <c r="C32" s="6" t="s">
        <v>10</v>
      </c>
      <c r="D32" s="6" t="s">
        <v>44</v>
      </c>
      <c r="E32" s="6" t="s">
        <v>44</v>
      </c>
      <c r="F32" s="6" t="s">
        <v>44</v>
      </c>
      <c r="G32" s="15" t="s">
        <v>44</v>
      </c>
      <c r="H32" s="16">
        <f>H31</f>
        <v>2530.4183782868622</v>
      </c>
      <c r="I32" s="16">
        <f t="shared" si="1"/>
        <v>42.173639638114373</v>
      </c>
      <c r="J32" s="59">
        <f>(J9*L9+J12*L12)/SUM(L9,L12)</f>
        <v>0.38571428571428573</v>
      </c>
      <c r="K32" s="59">
        <f>IF(H34="","",$H$3*$C$27^$H$4/(H34/60+$H$5)^$H$6)</f>
        <v>76.932375686391055</v>
      </c>
      <c r="L32" s="48">
        <f>L29+L12</f>
        <v>14</v>
      </c>
      <c r="M32" s="53">
        <f>IF(J32="","",IF(K32="","",IF(L32="","",J32*K32*L32/360)))</f>
        <v>1.153985635295866</v>
      </c>
    </row>
    <row r="33" spans="1:13" x14ac:dyDescent="0.25">
      <c r="A33" s="46"/>
      <c r="B33" s="49"/>
      <c r="C33" s="10" t="s">
        <v>35</v>
      </c>
      <c r="D33" s="10">
        <v>150</v>
      </c>
      <c r="E33" s="10">
        <v>0.45</v>
      </c>
      <c r="F33" s="10">
        <v>8</v>
      </c>
      <c r="G33" s="14">
        <f>IF(E33="","",IF(F33="","",E33*SQRT(F33)))</f>
        <v>1.2727922061357857</v>
      </c>
      <c r="H33" s="17">
        <f>IF(D33="","",IF(G33="","",D33/G33))</f>
        <v>117.85113019775791</v>
      </c>
      <c r="I33" s="17">
        <f t="shared" si="1"/>
        <v>1.9641855032959652</v>
      </c>
      <c r="J33" s="60"/>
      <c r="K33" s="60"/>
      <c r="L33" s="49"/>
      <c r="M33" s="62"/>
    </row>
    <row r="34" spans="1:13" x14ac:dyDescent="0.25">
      <c r="A34" s="47"/>
      <c r="B34" s="50"/>
      <c r="C34" s="7"/>
      <c r="D34" s="7"/>
      <c r="E34" s="7"/>
      <c r="F34" s="7"/>
      <c r="G34" s="21" t="s">
        <v>21</v>
      </c>
      <c r="H34" s="20">
        <f>IF(H33="","",SUM(H32:H33))</f>
        <v>2648.26950848462</v>
      </c>
      <c r="I34" s="20">
        <f t="shared" si="1"/>
        <v>44.137825141410332</v>
      </c>
      <c r="J34" s="61"/>
      <c r="K34" s="61"/>
      <c r="L34" s="50"/>
      <c r="M34" s="63"/>
    </row>
    <row r="35" spans="1:13" x14ac:dyDescent="0.25">
      <c r="A35" s="45" t="s">
        <v>37</v>
      </c>
      <c r="B35" s="48" t="s">
        <v>46</v>
      </c>
      <c r="C35" s="6" t="s">
        <v>41</v>
      </c>
      <c r="D35" s="6" t="s">
        <v>44</v>
      </c>
      <c r="E35" s="6" t="s">
        <v>44</v>
      </c>
      <c r="F35" s="6" t="s">
        <v>44</v>
      </c>
      <c r="G35" s="15" t="s">
        <v>44</v>
      </c>
      <c r="H35" s="16">
        <f>H34</f>
        <v>2648.26950848462</v>
      </c>
      <c r="I35" s="16">
        <f t="shared" si="1"/>
        <v>44.137825141410332</v>
      </c>
      <c r="J35" s="59">
        <f>(J9*L9+J12*L12+J15*L15)/SUM(L9,L12,L15)</f>
        <v>0.38045454545454543</v>
      </c>
      <c r="K35" s="59">
        <f>IF(H37="","",$H$3*$C$27^$H$4/(H37/60+$H$5)^$H$6)</f>
        <v>75.411083550977708</v>
      </c>
      <c r="L35" s="48">
        <f>L32+L15</f>
        <v>17.600000000000001</v>
      </c>
      <c r="M35" s="53">
        <f>IF(J35="","",IF(K35="","",IF(L35="","",J35*K35*L35/360)))</f>
        <v>1.4026461540481856</v>
      </c>
    </row>
    <row r="36" spans="1:13" x14ac:dyDescent="0.25">
      <c r="A36" s="46"/>
      <c r="B36" s="49"/>
      <c r="C36" s="10" t="s">
        <v>36</v>
      </c>
      <c r="D36" s="10">
        <v>105</v>
      </c>
      <c r="E36" s="10">
        <v>0.45</v>
      </c>
      <c r="F36" s="10">
        <v>4</v>
      </c>
      <c r="G36" s="14">
        <f>IF(E36="","",IF(F36="","",E36*SQRT(F36)))</f>
        <v>0.9</v>
      </c>
      <c r="H36" s="17">
        <f>IF(D36="","",IF(G36="","",D36/G36))</f>
        <v>116.66666666666666</v>
      </c>
      <c r="I36" s="17">
        <f t="shared" si="1"/>
        <v>1.9444444444444442</v>
      </c>
      <c r="J36" s="60"/>
      <c r="K36" s="60"/>
      <c r="L36" s="49"/>
      <c r="M36" s="62"/>
    </row>
    <row r="37" spans="1:13" x14ac:dyDescent="0.25">
      <c r="A37" s="47"/>
      <c r="B37" s="50"/>
      <c r="C37" s="7"/>
      <c r="D37" s="7"/>
      <c r="E37" s="7"/>
      <c r="F37" s="7"/>
      <c r="G37" s="21" t="s">
        <v>21</v>
      </c>
      <c r="H37" s="20">
        <f>IF(H36="","",SUM(H35:H36))</f>
        <v>2764.9361751512865</v>
      </c>
      <c r="I37" s="20">
        <f t="shared" si="1"/>
        <v>46.082269585854775</v>
      </c>
      <c r="J37" s="61"/>
      <c r="K37" s="61"/>
      <c r="L37" s="50"/>
      <c r="M37" s="63"/>
    </row>
    <row r="38" spans="1:13" x14ac:dyDescent="0.25">
      <c r="A38" s="45" t="s">
        <v>38</v>
      </c>
      <c r="B38" s="48" t="s">
        <v>43</v>
      </c>
      <c r="C38" s="6" t="s">
        <v>42</v>
      </c>
      <c r="D38" s="6" t="s">
        <v>44</v>
      </c>
      <c r="E38" s="6" t="s">
        <v>44</v>
      </c>
      <c r="F38" s="6" t="s">
        <v>44</v>
      </c>
      <c r="G38" s="15" t="s">
        <v>44</v>
      </c>
      <c r="H38" s="16">
        <f>H37</f>
        <v>2764.9361751512865</v>
      </c>
      <c r="I38" s="16">
        <f t="shared" si="1"/>
        <v>46.082269585854775</v>
      </c>
      <c r="J38" s="59">
        <f>(J9*L9+J12*L12+J15*L15+J18*L18)/SUM(L9,L12,L15,L18)</f>
        <v>0.37542288557213932</v>
      </c>
      <c r="K38" s="59">
        <f>IF(H40="","",$H$3*$C$27^$H$4/(H40/60+$H$5)^$H$6)</f>
        <v>73.983652418861823</v>
      </c>
      <c r="L38" s="48">
        <f>L35+L18</f>
        <v>20.100000000000001</v>
      </c>
      <c r="M38" s="53">
        <f>IF(J38="","",IF(K38="","",IF(L38="","",J38*K38*L38/360)))</f>
        <v>1.5507795587575872</v>
      </c>
    </row>
    <row r="39" spans="1:13" x14ac:dyDescent="0.25">
      <c r="A39" s="46"/>
      <c r="B39" s="49"/>
      <c r="C39" s="10" t="s">
        <v>37</v>
      </c>
      <c r="D39" s="10">
        <v>73</v>
      </c>
      <c r="E39" s="10">
        <v>0.45</v>
      </c>
      <c r="F39" s="10">
        <v>2</v>
      </c>
      <c r="G39" s="14">
        <f>IF(E39="","",IF(F39="","",E39*SQRT(F39)))</f>
        <v>0.63639610306789285</v>
      </c>
      <c r="H39" s="17">
        <f>IF(D39="","",IF(G39="","",D39/G39))</f>
        <v>114.70843339248437</v>
      </c>
      <c r="I39" s="17">
        <f t="shared" si="1"/>
        <v>1.9118072232080727</v>
      </c>
      <c r="J39" s="60"/>
      <c r="K39" s="60"/>
      <c r="L39" s="49"/>
      <c r="M39" s="62"/>
    </row>
    <row r="40" spans="1:13" x14ac:dyDescent="0.25">
      <c r="A40" s="47"/>
      <c r="B40" s="50"/>
      <c r="C40" s="7"/>
      <c r="D40" s="7"/>
      <c r="E40" s="7"/>
      <c r="F40" s="7"/>
      <c r="G40" s="21" t="s">
        <v>21</v>
      </c>
      <c r="H40" s="20">
        <f>IF(H39="","",SUM(H38:H39))</f>
        <v>2879.644608543771</v>
      </c>
      <c r="I40" s="20">
        <f t="shared" si="1"/>
        <v>47.994076809062854</v>
      </c>
      <c r="J40" s="61"/>
      <c r="K40" s="61"/>
      <c r="L40" s="50"/>
      <c r="M40" s="63"/>
    </row>
    <row r="41" spans="1:13" x14ac:dyDescent="0.25">
      <c r="A41" s="45" t="s">
        <v>39</v>
      </c>
      <c r="B41" s="48" t="s">
        <v>47</v>
      </c>
      <c r="C41" s="6" t="s">
        <v>43</v>
      </c>
      <c r="D41" s="6" t="s">
        <v>44</v>
      </c>
      <c r="E41" s="6" t="s">
        <v>44</v>
      </c>
      <c r="F41" s="6" t="s">
        <v>44</v>
      </c>
      <c r="G41" s="15" t="s">
        <v>44</v>
      </c>
      <c r="H41" s="16">
        <f>H40</f>
        <v>2879.644608543771</v>
      </c>
      <c r="I41" s="16">
        <f t="shared" si="1"/>
        <v>47.994076809062854</v>
      </c>
      <c r="J41" s="59">
        <f>(J9*L9+J12*L12+J15*L15+J18*L18+J21*L21)/SUM(L9,L12,L15,L18,L21)</f>
        <v>0.37150442477876106</v>
      </c>
      <c r="K41" s="59">
        <f>IF(H43="","",$H$3*$C$27^$H$4/(H43/60+$H$5)^$H$6)</f>
        <v>72.071468015431407</v>
      </c>
      <c r="L41" s="48">
        <f>L38+L21</f>
        <v>22.6</v>
      </c>
      <c r="M41" s="53">
        <f>IF(J41="","",IF(K41="","",IF(L41="","",J41*K41*L41/360)))</f>
        <v>1.6808667929376724</v>
      </c>
    </row>
    <row r="42" spans="1:13" x14ac:dyDescent="0.25">
      <c r="A42" s="46"/>
      <c r="B42" s="49"/>
      <c r="C42" s="10" t="s">
        <v>38</v>
      </c>
      <c r="D42" s="10">
        <v>73</v>
      </c>
      <c r="E42" s="10">
        <v>0.45</v>
      </c>
      <c r="F42" s="10">
        <v>1</v>
      </c>
      <c r="G42" s="14">
        <f>IF(E42="","",IF(F42="","",E42*SQRT(F42)))</f>
        <v>0.45</v>
      </c>
      <c r="H42" s="17">
        <f>IF(D42="","",IF(G42="","",D42/G42))</f>
        <v>162.22222222222223</v>
      </c>
      <c r="I42" s="17">
        <f t="shared" si="1"/>
        <v>2.7037037037037037</v>
      </c>
      <c r="J42" s="60"/>
      <c r="K42" s="60"/>
      <c r="L42" s="49"/>
      <c r="M42" s="62"/>
    </row>
    <row r="43" spans="1:13" x14ac:dyDescent="0.25">
      <c r="A43" s="47"/>
      <c r="B43" s="50"/>
      <c r="C43" s="7"/>
      <c r="D43" s="7"/>
      <c r="E43" s="7"/>
      <c r="F43" s="7"/>
      <c r="G43" s="21" t="s">
        <v>21</v>
      </c>
      <c r="H43" s="20">
        <f>IF(H42="","",SUM(H41:H42))</f>
        <v>3041.8668307659932</v>
      </c>
      <c r="I43" s="20">
        <f t="shared" si="1"/>
        <v>50.697780512766556</v>
      </c>
      <c r="J43" s="61"/>
      <c r="K43" s="61"/>
      <c r="L43" s="50"/>
      <c r="M43" s="63"/>
    </row>
    <row r="44" spans="1:13" x14ac:dyDescent="0.25">
      <c r="A44" s="3"/>
      <c r="B44" s="4"/>
      <c r="C44" s="4"/>
      <c r="D44" s="4"/>
      <c r="E44" s="4"/>
      <c r="F44" s="4"/>
      <c r="G44" s="4"/>
      <c r="H44" s="4"/>
      <c r="I44" s="4"/>
    </row>
    <row r="46" spans="1:13" x14ac:dyDescent="0.25">
      <c r="A46" s="1" t="s">
        <v>55</v>
      </c>
    </row>
    <row r="47" spans="1:13" x14ac:dyDescent="0.25">
      <c r="A47" s="1" t="s">
        <v>56</v>
      </c>
    </row>
    <row r="48" spans="1:13" x14ac:dyDescent="0.25">
      <c r="A48" s="2" t="s">
        <v>60</v>
      </c>
      <c r="C48" t="s">
        <v>61</v>
      </c>
      <c r="F48" s="24" t="s">
        <v>63</v>
      </c>
      <c r="H48" s="52" t="s">
        <v>80</v>
      </c>
      <c r="I48" s="52"/>
      <c r="K48" s="52" t="s">
        <v>73</v>
      </c>
      <c r="L48" s="52"/>
    </row>
    <row r="49" spans="1:14" ht="18.75" x14ac:dyDescent="0.35">
      <c r="A49" s="22" t="s">
        <v>57</v>
      </c>
      <c r="B49" s="23">
        <v>0.35</v>
      </c>
      <c r="C49" s="4">
        <v>55</v>
      </c>
      <c r="D49" t="s">
        <v>62</v>
      </c>
      <c r="F49" s="12" t="s">
        <v>64</v>
      </c>
      <c r="G49" s="23">
        <v>180</v>
      </c>
      <c r="H49" s="52" t="s">
        <v>72</v>
      </c>
      <c r="I49" s="52"/>
      <c r="K49" s="35" t="s">
        <v>74</v>
      </c>
      <c r="L49" s="36">
        <v>2</v>
      </c>
    </row>
    <row r="50" spans="1:14" ht="18" x14ac:dyDescent="0.35">
      <c r="A50" s="22" t="s">
        <v>58</v>
      </c>
      <c r="B50" s="23">
        <v>0.4</v>
      </c>
      <c r="C50" s="4">
        <v>50</v>
      </c>
      <c r="D50" t="s">
        <v>62</v>
      </c>
      <c r="F50" t="s">
        <v>69</v>
      </c>
      <c r="H50" s="52" t="s">
        <v>77</v>
      </c>
      <c r="I50" s="52"/>
    </row>
    <row r="51" spans="1:14" ht="18" x14ac:dyDescent="0.35">
      <c r="A51" s="22" t="s">
        <v>59</v>
      </c>
      <c r="B51" s="23">
        <v>0.5</v>
      </c>
      <c r="C51" s="4">
        <v>45</v>
      </c>
      <c r="D51" t="s">
        <v>62</v>
      </c>
      <c r="H51" s="12" t="s">
        <v>85</v>
      </c>
      <c r="I51" s="4">
        <v>1E-3</v>
      </c>
    </row>
    <row r="52" spans="1:14" x14ac:dyDescent="0.25">
      <c r="H52" s="12" t="s">
        <v>83</v>
      </c>
      <c r="I52" s="4">
        <v>3.5000000000000003E-2</v>
      </c>
    </row>
    <row r="53" spans="1:14" x14ac:dyDescent="0.25">
      <c r="A53" s="25" t="s">
        <v>34</v>
      </c>
    </row>
    <row r="54" spans="1:14" ht="18" x14ac:dyDescent="0.25">
      <c r="A54" s="54" t="s">
        <v>8</v>
      </c>
      <c r="B54" s="28" t="s">
        <v>65</v>
      </c>
      <c r="C54" s="28" t="s">
        <v>84</v>
      </c>
      <c r="D54" s="28" t="s">
        <v>67</v>
      </c>
      <c r="E54" s="28" t="s">
        <v>70</v>
      </c>
      <c r="F54" s="28" t="s">
        <v>71</v>
      </c>
      <c r="G54" s="28" t="s">
        <v>75</v>
      </c>
      <c r="H54" s="26" t="s">
        <v>81</v>
      </c>
      <c r="I54" s="26" t="s">
        <v>82</v>
      </c>
      <c r="J54" s="28" t="s">
        <v>79</v>
      </c>
      <c r="K54" s="28" t="s">
        <v>78</v>
      </c>
      <c r="L54" s="26" t="s">
        <v>86</v>
      </c>
      <c r="M54" s="26" t="s">
        <v>89</v>
      </c>
      <c r="N54" s="26" t="s">
        <v>90</v>
      </c>
    </row>
    <row r="55" spans="1:14" ht="17.25" x14ac:dyDescent="0.25">
      <c r="A55" s="55"/>
      <c r="B55" s="29" t="s">
        <v>66</v>
      </c>
      <c r="C55" s="29" t="s">
        <v>66</v>
      </c>
      <c r="D55" s="29" t="s">
        <v>68</v>
      </c>
      <c r="E55" s="29" t="s">
        <v>68</v>
      </c>
      <c r="F55" s="29" t="s">
        <v>68</v>
      </c>
      <c r="G55" s="29" t="s">
        <v>76</v>
      </c>
      <c r="H55" s="27" t="s">
        <v>68</v>
      </c>
      <c r="I55" s="27" t="s">
        <v>68</v>
      </c>
      <c r="J55" s="29" t="s">
        <v>76</v>
      </c>
      <c r="K55" s="29" t="s">
        <v>68</v>
      </c>
      <c r="L55" s="29" t="s">
        <v>87</v>
      </c>
      <c r="M55" s="27" t="s">
        <v>88</v>
      </c>
      <c r="N55" s="27" t="s">
        <v>91</v>
      </c>
    </row>
    <row r="56" spans="1:14" x14ac:dyDescent="0.25">
      <c r="A56" s="45" t="s">
        <v>35</v>
      </c>
      <c r="B56" s="53">
        <f>M29</f>
        <v>0.78545844697949196</v>
      </c>
      <c r="C56" s="18">
        <f t="shared" ref="C56:C70" si="2">G56/$I$52*I56^(2/3)*$I$51^0.5</f>
        <v>0.92010962426860388</v>
      </c>
      <c r="D56" s="11">
        <v>0.35</v>
      </c>
      <c r="E56" s="30">
        <v>0.86462499999999998</v>
      </c>
      <c r="F56" s="30">
        <f>IF(E56="","",E56*1.2)</f>
        <v>1.03755</v>
      </c>
      <c r="G56" s="30">
        <f t="shared" ref="G56:G70" si="3">IF(D56="","",IF(E56="","",E56*(D56+$L$49*E56)))</f>
        <v>1.79777153125</v>
      </c>
      <c r="H56" s="30">
        <f t="shared" ref="H56:H70" si="4">IF(D56="","",IF(E56="","",D56+2*E56*SQRT(1+$L$49^2)))</f>
        <v>4.2167205500915115</v>
      </c>
      <c r="I56" s="30">
        <f t="shared" ref="I56:I70" si="5">IF(G56="","",IF(H56="","",G56/H56))</f>
        <v>0.42634353163644784</v>
      </c>
      <c r="J56" s="30">
        <f t="shared" ref="J56:J70" si="6">IF(D56="","",IF(F56="","",F56*(D56+$L$49*F56)))</f>
        <v>2.516162505</v>
      </c>
      <c r="K56" s="56">
        <v>150</v>
      </c>
      <c r="L56" s="11">
        <f>J56*K$56</f>
        <v>377.42437575000002</v>
      </c>
      <c r="M56" s="11">
        <f>L56*$G$49</f>
        <v>67936.387635000006</v>
      </c>
      <c r="N56" s="42">
        <f>K$56/C$49</f>
        <v>2.7272727272727271</v>
      </c>
    </row>
    <row r="57" spans="1:14" x14ac:dyDescent="0.25">
      <c r="A57" s="46"/>
      <c r="B57" s="49"/>
      <c r="C57" s="37">
        <f t="shared" si="2"/>
        <v>0.92010808738933514</v>
      </c>
      <c r="D57" s="33">
        <v>0.4</v>
      </c>
      <c r="E57" s="31">
        <v>0.85333199999999998</v>
      </c>
      <c r="F57" s="31">
        <f>IF(E57="","",E57*1.2)</f>
        <v>1.0239984</v>
      </c>
      <c r="G57" s="31">
        <f t="shared" si="3"/>
        <v>1.7976838044479999</v>
      </c>
      <c r="H57" s="31">
        <f t="shared" si="4"/>
        <v>4.216216718751701</v>
      </c>
      <c r="I57" s="31">
        <f t="shared" si="5"/>
        <v>0.42637367202989551</v>
      </c>
      <c r="J57" s="31">
        <f t="shared" si="6"/>
        <v>2.5067448064051199</v>
      </c>
      <c r="K57" s="57"/>
      <c r="L57" s="33">
        <f>J57*K$56</f>
        <v>376.011720960768</v>
      </c>
      <c r="M57" s="33">
        <f t="shared" ref="M57:M70" si="7">L57*$G$49</f>
        <v>67682.109772938245</v>
      </c>
      <c r="N57" s="33">
        <f>K$56/C$50</f>
        <v>3</v>
      </c>
    </row>
    <row r="58" spans="1:14" x14ac:dyDescent="0.25">
      <c r="A58" s="47"/>
      <c r="B58" s="50"/>
      <c r="C58" s="38">
        <f t="shared" si="2"/>
        <v>0.92011095566783607</v>
      </c>
      <c r="D58" s="34">
        <v>0.5</v>
      </c>
      <c r="E58" s="32">
        <v>0.83135499999999996</v>
      </c>
      <c r="F58" s="32">
        <f t="shared" ref="F58:F70" si="8">IF(E58="","",E58*1.2)</f>
        <v>0.9976259999999999</v>
      </c>
      <c r="G58" s="32">
        <f t="shared" si="3"/>
        <v>1.7979797720499997</v>
      </c>
      <c r="H58" s="32">
        <f t="shared" si="4"/>
        <v>4.2179325868686757</v>
      </c>
      <c r="I58" s="32">
        <f t="shared" si="5"/>
        <v>0.42627039077094175</v>
      </c>
      <c r="J58" s="32">
        <f t="shared" si="6"/>
        <v>2.4893282717519996</v>
      </c>
      <c r="K58" s="58"/>
      <c r="L58" s="34">
        <f>J58*K$56</f>
        <v>373.39924076279993</v>
      </c>
      <c r="M58" s="41">
        <f t="shared" si="7"/>
        <v>67211.863337303992</v>
      </c>
      <c r="N58" s="34">
        <f>K$56/C$51</f>
        <v>3.3333333333333335</v>
      </c>
    </row>
    <row r="59" spans="1:14" x14ac:dyDescent="0.25">
      <c r="A59" s="46" t="s">
        <v>36</v>
      </c>
      <c r="B59" s="53">
        <f>M32</f>
        <v>1.153985635295866</v>
      </c>
      <c r="C59" s="37">
        <f t="shared" si="2"/>
        <v>1.3487819397785932</v>
      </c>
      <c r="D59" s="11">
        <v>0.35</v>
      </c>
      <c r="E59" s="31">
        <v>1.01037</v>
      </c>
      <c r="F59" s="31">
        <f>IF(E59="","",E59*1.2)</f>
        <v>1.2124439999999999</v>
      </c>
      <c r="G59" s="31">
        <f t="shared" si="3"/>
        <v>2.3953245738</v>
      </c>
      <c r="H59" s="31">
        <f t="shared" si="4"/>
        <v>4.8685120048529251</v>
      </c>
      <c r="I59" s="40">
        <f t="shared" si="5"/>
        <v>0.49200342351263471</v>
      </c>
      <c r="J59" s="40">
        <f t="shared" si="6"/>
        <v>3.3643963062719995</v>
      </c>
      <c r="K59" s="56">
        <v>105</v>
      </c>
      <c r="L59" s="39">
        <f>J59*K$59</f>
        <v>353.26161215855996</v>
      </c>
      <c r="M59" s="39">
        <f t="shared" si="7"/>
        <v>63587.090188540795</v>
      </c>
      <c r="N59" s="42">
        <f>K$59/C$49</f>
        <v>1.9090909090909092</v>
      </c>
    </row>
    <row r="60" spans="1:14" x14ac:dyDescent="0.25">
      <c r="A60" s="46"/>
      <c r="B60" s="49"/>
      <c r="C60" s="37">
        <f t="shared" si="2"/>
        <v>1.3487832591413755</v>
      </c>
      <c r="D60" s="33">
        <v>0.4</v>
      </c>
      <c r="E60" s="31">
        <v>0.99887400000000004</v>
      </c>
      <c r="F60" s="31">
        <f t="shared" si="8"/>
        <v>1.1986488</v>
      </c>
      <c r="G60" s="31">
        <f t="shared" si="3"/>
        <v>2.3950481357519999</v>
      </c>
      <c r="H60" s="31">
        <f t="shared" si="4"/>
        <v>4.8671003299142503</v>
      </c>
      <c r="I60" s="40">
        <f t="shared" si="5"/>
        <v>0.49208932904701319</v>
      </c>
      <c r="J60" s="40">
        <f t="shared" si="6"/>
        <v>3.3529774114828799</v>
      </c>
      <c r="K60" s="57"/>
      <c r="L60" s="39">
        <f>J60*K$59</f>
        <v>352.06262820570237</v>
      </c>
      <c r="M60" s="39">
        <f t="shared" si="7"/>
        <v>63371.273077026424</v>
      </c>
      <c r="N60" s="33">
        <f>K$59/C$50</f>
        <v>2.1</v>
      </c>
    </row>
    <row r="61" spans="1:14" x14ac:dyDescent="0.25">
      <c r="A61" s="46"/>
      <c r="B61" s="50"/>
      <c r="C61" s="37">
        <f t="shared" si="2"/>
        <v>1.3487840038188672</v>
      </c>
      <c r="D61" s="34">
        <v>0.5</v>
      </c>
      <c r="E61" s="31">
        <v>0.97641</v>
      </c>
      <c r="F61" s="31">
        <f t="shared" si="8"/>
        <v>1.171692</v>
      </c>
      <c r="G61" s="31">
        <f t="shared" si="3"/>
        <v>2.3949579762000002</v>
      </c>
      <c r="H61" s="31">
        <f t="shared" si="4"/>
        <v>4.8666382678211395</v>
      </c>
      <c r="I61" s="40">
        <f t="shared" si="5"/>
        <v>0.49211752433620992</v>
      </c>
      <c r="J61" s="40">
        <f t="shared" si="6"/>
        <v>3.3315702857279996</v>
      </c>
      <c r="K61" s="58"/>
      <c r="L61" s="39">
        <f>J61*K$59</f>
        <v>349.81488000143997</v>
      </c>
      <c r="M61" s="43">
        <f t="shared" si="7"/>
        <v>62966.678400259196</v>
      </c>
      <c r="N61" s="34">
        <f>K$59/C$51</f>
        <v>2.3333333333333335</v>
      </c>
    </row>
    <row r="62" spans="1:14" x14ac:dyDescent="0.25">
      <c r="A62" s="45" t="s">
        <v>37</v>
      </c>
      <c r="B62" s="53">
        <f>M35</f>
        <v>1.4026461540481856</v>
      </c>
      <c r="C62" s="18">
        <f t="shared" si="2"/>
        <v>1.63587251226358</v>
      </c>
      <c r="D62" s="11">
        <v>0.35</v>
      </c>
      <c r="E62" s="30">
        <v>1.0923050000000001</v>
      </c>
      <c r="F62" s="30">
        <f t="shared" si="8"/>
        <v>1.3107660000000001</v>
      </c>
      <c r="G62" s="30">
        <f t="shared" si="3"/>
        <v>2.7685671760500004</v>
      </c>
      <c r="H62" s="30">
        <f t="shared" si="4"/>
        <v>5.2349364643258154</v>
      </c>
      <c r="I62" s="30">
        <f t="shared" si="5"/>
        <v>0.52886356786119126</v>
      </c>
      <c r="J62" s="30">
        <f t="shared" si="6"/>
        <v>3.8949831135120005</v>
      </c>
      <c r="K62" s="56">
        <v>73</v>
      </c>
      <c r="L62" s="11">
        <f>J62*K$62</f>
        <v>284.33376728637603</v>
      </c>
      <c r="M62" s="11">
        <f t="shared" si="7"/>
        <v>51180.078111547686</v>
      </c>
      <c r="N62" s="42">
        <f>K$62/C$49</f>
        <v>1.3272727272727274</v>
      </c>
    </row>
    <row r="63" spans="1:14" x14ac:dyDescent="0.25">
      <c r="A63" s="46"/>
      <c r="B63" s="49"/>
      <c r="C63" s="37">
        <f t="shared" si="2"/>
        <v>1.6358688188956134</v>
      </c>
      <c r="D63" s="33">
        <v>0.4</v>
      </c>
      <c r="E63" s="31">
        <v>1.0807150000000001</v>
      </c>
      <c r="F63" s="31">
        <f t="shared" si="8"/>
        <v>1.2968580000000001</v>
      </c>
      <c r="G63" s="31">
        <f t="shared" si="3"/>
        <v>2.7681758224500004</v>
      </c>
      <c r="H63" s="31">
        <f t="shared" si="4"/>
        <v>5.233104408607371</v>
      </c>
      <c r="I63" s="31">
        <f t="shared" si="5"/>
        <v>0.52897393331134868</v>
      </c>
      <c r="J63" s="31">
        <f t="shared" si="6"/>
        <v>3.8824245443280003</v>
      </c>
      <c r="K63" s="57"/>
      <c r="L63" s="33">
        <f>J63*K$62</f>
        <v>283.41699173594401</v>
      </c>
      <c r="M63" s="33">
        <f t="shared" si="7"/>
        <v>51015.058512469921</v>
      </c>
      <c r="N63" s="33">
        <f>K$62/C$50</f>
        <v>1.46</v>
      </c>
    </row>
    <row r="64" spans="1:14" x14ac:dyDescent="0.25">
      <c r="A64" s="47"/>
      <c r="B64" s="50"/>
      <c r="C64" s="38">
        <f t="shared" si="2"/>
        <v>1.6358698583678224</v>
      </c>
      <c r="D64" s="34">
        <v>0.5</v>
      </c>
      <c r="E64" s="32">
        <v>1.05803</v>
      </c>
      <c r="F64" s="32">
        <f t="shared" si="8"/>
        <v>1.269636</v>
      </c>
      <c r="G64" s="32">
        <f t="shared" si="3"/>
        <v>2.7678699618000002</v>
      </c>
      <c r="H64" s="32">
        <f t="shared" si="4"/>
        <v>5.2316540044682052</v>
      </c>
      <c r="I64" s="32">
        <f t="shared" si="5"/>
        <v>0.52906212059055169</v>
      </c>
      <c r="J64" s="32">
        <f t="shared" si="6"/>
        <v>3.8587691449919999</v>
      </c>
      <c r="K64" s="58"/>
      <c r="L64" s="34">
        <f>J64*K$62</f>
        <v>281.69014758441597</v>
      </c>
      <c r="M64" s="41">
        <f t="shared" si="7"/>
        <v>50704.226565194876</v>
      </c>
      <c r="N64" s="34">
        <f>K$62/C$51</f>
        <v>1.6222222222222222</v>
      </c>
    </row>
    <row r="65" spans="1:14" x14ac:dyDescent="0.25">
      <c r="A65" s="46" t="s">
        <v>38</v>
      </c>
      <c r="B65" s="53">
        <f>M38</f>
        <v>1.5507795587575872</v>
      </c>
      <c r="C65" s="37">
        <f t="shared" si="2"/>
        <v>1.8049001220172525</v>
      </c>
      <c r="D65" s="11">
        <v>0.35</v>
      </c>
      <c r="E65" s="31">
        <v>1.1364080000000001</v>
      </c>
      <c r="F65" s="31">
        <f t="shared" si="8"/>
        <v>1.3636896000000001</v>
      </c>
      <c r="G65" s="31">
        <f t="shared" si="3"/>
        <v>2.9805890849280003</v>
      </c>
      <c r="H65" s="31">
        <f t="shared" si="4"/>
        <v>5.432171076349162</v>
      </c>
      <c r="I65" s="40">
        <f t="shared" si="5"/>
        <v>0.54869205020162692</v>
      </c>
      <c r="J65" s="40">
        <f t="shared" si="6"/>
        <v>4.1965900102963207</v>
      </c>
      <c r="K65" s="56">
        <v>73</v>
      </c>
      <c r="L65" s="39">
        <f>J65*K$65</f>
        <v>306.35107075163143</v>
      </c>
      <c r="M65" s="39">
        <f t="shared" si="7"/>
        <v>55143.192735293655</v>
      </c>
      <c r="N65" s="42">
        <f>K$65/C$49</f>
        <v>1.3272727272727274</v>
      </c>
    </row>
    <row r="66" spans="1:14" x14ac:dyDescent="0.25">
      <c r="A66" s="46"/>
      <c r="B66" s="49"/>
      <c r="C66" s="37">
        <f t="shared" si="2"/>
        <v>1.8049030145276814</v>
      </c>
      <c r="D66" s="33">
        <v>0.4</v>
      </c>
      <c r="E66" s="31">
        <v>1.1247750000000001</v>
      </c>
      <c r="F66" s="31">
        <f t="shared" si="8"/>
        <v>1.3497300000000001</v>
      </c>
      <c r="G66" s="31">
        <f t="shared" si="3"/>
        <v>2.9801476012500001</v>
      </c>
      <c r="H66" s="31">
        <f t="shared" si="4"/>
        <v>5.4301467187846528</v>
      </c>
      <c r="I66" s="40">
        <f t="shared" si="5"/>
        <v>0.54881530013557378</v>
      </c>
      <c r="J66" s="40">
        <f t="shared" si="6"/>
        <v>4.1834341458000006</v>
      </c>
      <c r="K66" s="57"/>
      <c r="L66" s="39">
        <f>J66*K$65</f>
        <v>305.39069264340003</v>
      </c>
      <c r="M66" s="39">
        <f t="shared" si="7"/>
        <v>54970.324675812008</v>
      </c>
      <c r="N66" s="33">
        <f>K$65/C$50</f>
        <v>1.46</v>
      </c>
    </row>
    <row r="67" spans="1:14" x14ac:dyDescent="0.25">
      <c r="A67" s="46"/>
      <c r="B67" s="50"/>
      <c r="C67" s="37">
        <f t="shared" si="2"/>
        <v>1.804903476269929</v>
      </c>
      <c r="D67" s="34">
        <v>0.5</v>
      </c>
      <c r="E67" s="31">
        <v>1.1019829999999999</v>
      </c>
      <c r="F67" s="31">
        <f t="shared" si="8"/>
        <v>1.3223795999999999</v>
      </c>
      <c r="G67" s="31">
        <f t="shared" si="3"/>
        <v>2.9797245645779995</v>
      </c>
      <c r="H67" s="31">
        <f t="shared" si="4"/>
        <v>5.4282177960983011</v>
      </c>
      <c r="I67" s="40">
        <f t="shared" si="5"/>
        <v>0.54893238932302391</v>
      </c>
      <c r="J67" s="40">
        <f t="shared" si="6"/>
        <v>4.1585654129923189</v>
      </c>
      <c r="K67" s="58"/>
      <c r="L67" s="39">
        <f>J67*K$65</f>
        <v>303.57527514843929</v>
      </c>
      <c r="M67" s="43">
        <f t="shared" si="7"/>
        <v>54643.549526719071</v>
      </c>
      <c r="N67" s="34">
        <f>K$65/C$51</f>
        <v>1.6222222222222222</v>
      </c>
    </row>
    <row r="68" spans="1:14" x14ac:dyDescent="0.25">
      <c r="A68" s="45" t="s">
        <v>39</v>
      </c>
      <c r="B68" s="53">
        <f>M41</f>
        <v>1.6808667929376724</v>
      </c>
      <c r="C68" s="18">
        <f t="shared" si="2"/>
        <v>1.9507550352826801</v>
      </c>
      <c r="D68" s="11">
        <v>0.35</v>
      </c>
      <c r="E68" s="30">
        <v>1.1724399999999999</v>
      </c>
      <c r="F68" s="30">
        <f t="shared" si="8"/>
        <v>1.406928</v>
      </c>
      <c r="G68" s="30">
        <f t="shared" si="3"/>
        <v>3.1595851071999999</v>
      </c>
      <c r="H68" s="30">
        <f t="shared" si="4"/>
        <v>5.5933110790797063</v>
      </c>
      <c r="I68" s="30">
        <f t="shared" si="5"/>
        <v>0.56488635488513916</v>
      </c>
      <c r="J68" s="30">
        <f t="shared" si="6"/>
        <v>4.4513175943679997</v>
      </c>
      <c r="K68" s="56">
        <v>50</v>
      </c>
      <c r="L68" s="11">
        <f>J68*K$68</f>
        <v>222.56587971839997</v>
      </c>
      <c r="M68" s="11">
        <f t="shared" si="7"/>
        <v>40061.858349311995</v>
      </c>
      <c r="N68" s="42">
        <f>K$68/C$49</f>
        <v>0.90909090909090906</v>
      </c>
    </row>
    <row r="69" spans="1:14" x14ac:dyDescent="0.25">
      <c r="A69" s="46"/>
      <c r="B69" s="49"/>
      <c r="C69" s="37">
        <f t="shared" si="2"/>
        <v>1.9507631322159913</v>
      </c>
      <c r="D69" s="33">
        <v>0.4</v>
      </c>
      <c r="E69" s="31">
        <v>1.160774</v>
      </c>
      <c r="F69" s="31">
        <f t="shared" si="8"/>
        <v>1.3929288</v>
      </c>
      <c r="G69" s="31">
        <f t="shared" si="3"/>
        <v>3.1591021581519998</v>
      </c>
      <c r="H69" s="31">
        <f t="shared" si="4"/>
        <v>5.5911391410286821</v>
      </c>
      <c r="I69" s="31">
        <f t="shared" si="5"/>
        <v>0.56501941348051921</v>
      </c>
      <c r="J69" s="31">
        <f t="shared" si="6"/>
        <v>4.43767280373888</v>
      </c>
      <c r="K69" s="57"/>
      <c r="L69" s="33">
        <f>J69*K$68</f>
        <v>221.88364018694401</v>
      </c>
      <c r="M69" s="33">
        <f t="shared" si="7"/>
        <v>39939.055233649924</v>
      </c>
      <c r="N69" s="33">
        <f>K$68/C$50</f>
        <v>1</v>
      </c>
    </row>
    <row r="70" spans="1:14" x14ac:dyDescent="0.25">
      <c r="A70" s="47"/>
      <c r="B70" s="50"/>
      <c r="C70" s="38">
        <f t="shared" si="2"/>
        <v>1.9507585178023568</v>
      </c>
      <c r="D70" s="34">
        <v>0.5</v>
      </c>
      <c r="E70" s="32">
        <v>1.137899</v>
      </c>
      <c r="F70" s="32">
        <f t="shared" si="8"/>
        <v>1.3654788</v>
      </c>
      <c r="G70" s="32">
        <f t="shared" si="3"/>
        <v>3.158577768402</v>
      </c>
      <c r="H70" s="32">
        <f t="shared" si="4"/>
        <v>5.5888390310580665</v>
      </c>
      <c r="I70" s="32">
        <f t="shared" si="5"/>
        <v>0.56515812154354084</v>
      </c>
      <c r="J70" s="32">
        <f t="shared" si="6"/>
        <v>4.41180410649888</v>
      </c>
      <c r="K70" s="58"/>
      <c r="L70" s="34">
        <f>J70*K$68</f>
        <v>220.59020532494401</v>
      </c>
      <c r="M70" s="41">
        <f t="shared" si="7"/>
        <v>39706.236958489921</v>
      </c>
      <c r="N70" s="34">
        <f>K$68/C$51</f>
        <v>1.1111111111111112</v>
      </c>
    </row>
    <row r="71" spans="1:14" x14ac:dyDescent="0.25">
      <c r="L71" s="44" t="s">
        <v>92</v>
      </c>
      <c r="M71" s="43">
        <f>SUM(M58,M61,M64,M67,M70)</f>
        <v>275232.55478796706</v>
      </c>
    </row>
  </sheetData>
  <mergeCells count="81">
    <mergeCell ref="L41:L43"/>
    <mergeCell ref="K41:K43"/>
    <mergeCell ref="M41:M43"/>
    <mergeCell ref="L35:L37"/>
    <mergeCell ref="M35:M37"/>
    <mergeCell ref="M38:M40"/>
    <mergeCell ref="L38:L40"/>
    <mergeCell ref="K38:K40"/>
    <mergeCell ref="L29:L31"/>
    <mergeCell ref="M29:M31"/>
    <mergeCell ref="M32:M34"/>
    <mergeCell ref="L32:L34"/>
    <mergeCell ref="K32:K34"/>
    <mergeCell ref="L21:L23"/>
    <mergeCell ref="M21:M23"/>
    <mergeCell ref="M18:M20"/>
    <mergeCell ref="L18:L20"/>
    <mergeCell ref="K18:K20"/>
    <mergeCell ref="M15:M17"/>
    <mergeCell ref="L15:L17"/>
    <mergeCell ref="K15:K17"/>
    <mergeCell ref="J15:J17"/>
    <mergeCell ref="J18:J20"/>
    <mergeCell ref="L9:L11"/>
    <mergeCell ref="M9:M11"/>
    <mergeCell ref="J12:J14"/>
    <mergeCell ref="K12:K14"/>
    <mergeCell ref="L12:L14"/>
    <mergeCell ref="M12:M14"/>
    <mergeCell ref="K59:K61"/>
    <mergeCell ref="K62:K64"/>
    <mergeCell ref="K65:K67"/>
    <mergeCell ref="K68:K70"/>
    <mergeCell ref="J9:J11"/>
    <mergeCell ref="K9:K11"/>
    <mergeCell ref="J21:J23"/>
    <mergeCell ref="K21:K23"/>
    <mergeCell ref="J29:J31"/>
    <mergeCell ref="K29:K31"/>
    <mergeCell ref="J32:J34"/>
    <mergeCell ref="J35:J37"/>
    <mergeCell ref="K35:K37"/>
    <mergeCell ref="J38:J40"/>
    <mergeCell ref="J41:J43"/>
    <mergeCell ref="H49:I49"/>
    <mergeCell ref="H48:I48"/>
    <mergeCell ref="K48:L48"/>
    <mergeCell ref="H50:I50"/>
    <mergeCell ref="A68:A70"/>
    <mergeCell ref="B56:B58"/>
    <mergeCell ref="B59:B61"/>
    <mergeCell ref="B62:B64"/>
    <mergeCell ref="B65:B67"/>
    <mergeCell ref="B68:B70"/>
    <mergeCell ref="A54:A55"/>
    <mergeCell ref="A56:A58"/>
    <mergeCell ref="A59:A61"/>
    <mergeCell ref="A62:A64"/>
    <mergeCell ref="A65:A67"/>
    <mergeCell ref="K56:K58"/>
    <mergeCell ref="B15:B17"/>
    <mergeCell ref="A18:A20"/>
    <mergeCell ref="B18:B20"/>
    <mergeCell ref="A9:A11"/>
    <mergeCell ref="B9:B11"/>
    <mergeCell ref="A41:A43"/>
    <mergeCell ref="B41:B43"/>
    <mergeCell ref="G2:H2"/>
    <mergeCell ref="A32:A34"/>
    <mergeCell ref="B32:B34"/>
    <mergeCell ref="A35:A37"/>
    <mergeCell ref="B35:B37"/>
    <mergeCell ref="A38:A40"/>
    <mergeCell ref="B38:B40"/>
    <mergeCell ref="A21:A23"/>
    <mergeCell ref="B21:B23"/>
    <mergeCell ref="A29:A31"/>
    <mergeCell ref="B29:B31"/>
    <mergeCell ref="A12:A14"/>
    <mergeCell ref="B12:B14"/>
    <mergeCell ref="A15:A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---</cp:lastModifiedBy>
  <dcterms:created xsi:type="dcterms:W3CDTF">2017-05-26T04:54:14Z</dcterms:created>
  <dcterms:modified xsi:type="dcterms:W3CDTF">2018-04-18T13:01:48Z</dcterms:modified>
</cp:coreProperties>
</file>