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440" windowHeight="9465" firstSheet="7" activeTab="9"/>
  </bookViews>
  <sheets>
    <sheet name="CAPITAL NATURAL" sheetId="1" r:id="rId1"/>
    <sheet name="CAPITAL FÍSICO" sheetId="4" r:id="rId2"/>
    <sheet name="EVOLUÇÃO DO REBANHO" sheetId="2" r:id="rId3"/>
    <sheet name="GANHO DE PESO" sheetId="3" r:id="rId4"/>
    <sheet name="Grafico ganho peso machos" sheetId="5" r:id="rId5"/>
    <sheet name="Organograma" sheetId="9" r:id="rId6"/>
    <sheet name="CAPITAL HUMANO" sheetId="7" r:id="rId7"/>
    <sheet name="CAPITAL FINANCEIRO" sheetId="6" r:id="rId8"/>
    <sheet name="RECEITA REBANHO ESTAVEL" sheetId="8" r:id="rId9"/>
    <sheet name="FLUXO DIAGNOSTICO" sheetId="11" r:id="rId10"/>
    <sheet name="DESPESA REBANHO ESTAVEL" sheetId="12" r:id="rId11"/>
  </sheets>
  <calcPr calcId="145621" iterateDelta="1E-4"/>
</workbook>
</file>

<file path=xl/calcChain.xml><?xml version="1.0" encoding="utf-8"?>
<calcChain xmlns="http://schemas.openxmlformats.org/spreadsheetml/2006/main">
  <c r="L42" i="11" l="1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L61" i="11"/>
  <c r="K61" i="11"/>
  <c r="J61" i="11"/>
  <c r="I61" i="11"/>
  <c r="I31" i="11" s="1"/>
  <c r="J31" i="11" s="1"/>
  <c r="K31" i="11" s="1"/>
  <c r="L31" i="11" s="1"/>
  <c r="H61" i="11"/>
  <c r="I30" i="11" s="1"/>
  <c r="J30" i="11" s="1"/>
  <c r="K30" i="11" s="1"/>
  <c r="L30" i="11" s="1"/>
  <c r="G61" i="11"/>
  <c r="G31" i="11" s="1"/>
  <c r="F31" i="11" s="1"/>
  <c r="E31" i="11" s="1"/>
  <c r="D31" i="11" s="1"/>
  <c r="C31" i="11" s="1"/>
  <c r="F61" i="11"/>
  <c r="E61" i="11"/>
  <c r="D61" i="11"/>
  <c r="C61" i="11"/>
  <c r="B61" i="11"/>
  <c r="L60" i="11"/>
  <c r="K60" i="11"/>
  <c r="J60" i="11"/>
  <c r="I60" i="11"/>
  <c r="H60" i="11"/>
  <c r="G60" i="11"/>
  <c r="F60" i="11"/>
  <c r="E60" i="11"/>
  <c r="D60" i="11"/>
  <c r="C60" i="11"/>
  <c r="B60" i="11"/>
  <c r="L59" i="11"/>
  <c r="K59" i="11"/>
  <c r="J59" i="11"/>
  <c r="I59" i="11"/>
  <c r="I32" i="11" s="1"/>
  <c r="J32" i="11" s="1"/>
  <c r="K32" i="11" s="1"/>
  <c r="L32" i="11" s="1"/>
  <c r="H59" i="11"/>
  <c r="G59" i="11"/>
  <c r="G32" i="11" s="1"/>
  <c r="F32" i="11" s="1"/>
  <c r="E32" i="11" s="1"/>
  <c r="D32" i="11" s="1"/>
  <c r="C32" i="11" s="1"/>
  <c r="F59" i="11"/>
  <c r="E59" i="11"/>
  <c r="D59" i="11"/>
  <c r="C59" i="11"/>
  <c r="B59" i="11"/>
  <c r="L58" i="11"/>
  <c r="K58" i="11"/>
  <c r="J58" i="11"/>
  <c r="I58" i="11"/>
  <c r="H58" i="11"/>
  <c r="G58" i="11"/>
  <c r="F58" i="11"/>
  <c r="E58" i="11"/>
  <c r="D58" i="11"/>
  <c r="C58" i="11"/>
  <c r="B58" i="11"/>
  <c r="L57" i="11"/>
  <c r="K57" i="11"/>
  <c r="J57" i="11"/>
  <c r="I57" i="11"/>
  <c r="H57" i="11"/>
  <c r="G57" i="11"/>
  <c r="F57" i="11"/>
  <c r="E57" i="11"/>
  <c r="D57" i="11"/>
  <c r="C57" i="11"/>
  <c r="B57" i="11"/>
  <c r="L56" i="11"/>
  <c r="K56" i="11"/>
  <c r="J56" i="11"/>
  <c r="I56" i="11"/>
  <c r="H56" i="11"/>
  <c r="G56" i="11"/>
  <c r="F56" i="11"/>
  <c r="E56" i="11"/>
  <c r="D56" i="11"/>
  <c r="C56" i="11"/>
  <c r="B56" i="11"/>
  <c r="L55" i="11"/>
  <c r="K55" i="11"/>
  <c r="J55" i="11"/>
  <c r="I55" i="11"/>
  <c r="H55" i="11"/>
  <c r="G55" i="11"/>
  <c r="F55" i="11"/>
  <c r="E55" i="11"/>
  <c r="D55" i="11"/>
  <c r="C55" i="11"/>
  <c r="B55" i="11"/>
  <c r="L54" i="11"/>
  <c r="K54" i="11"/>
  <c r="J54" i="11"/>
  <c r="I54" i="11"/>
  <c r="H54" i="11"/>
  <c r="G54" i="11"/>
  <c r="F54" i="11"/>
  <c r="E54" i="11"/>
  <c r="D54" i="11"/>
  <c r="C54" i="11"/>
  <c r="B54" i="11"/>
  <c r="L53" i="11"/>
  <c r="K53" i="11"/>
  <c r="J53" i="11"/>
  <c r="I53" i="11"/>
  <c r="H53" i="11"/>
  <c r="G53" i="11"/>
  <c r="F53" i="11"/>
  <c r="E53" i="11"/>
  <c r="D53" i="11"/>
  <c r="C53" i="11"/>
  <c r="B53" i="11"/>
  <c r="L52" i="11"/>
  <c r="K52" i="11"/>
  <c r="J52" i="11"/>
  <c r="I52" i="11"/>
  <c r="H52" i="11"/>
  <c r="G52" i="11"/>
  <c r="F52" i="11"/>
  <c r="E52" i="11"/>
  <c r="D52" i="11"/>
  <c r="C52" i="11"/>
  <c r="B52" i="11"/>
  <c r="AB21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I67" i="3"/>
  <c r="I66" i="3"/>
  <c r="I65" i="3"/>
  <c r="I64" i="3"/>
  <c r="I63" i="3"/>
  <c r="I62" i="3"/>
  <c r="H62" i="3"/>
  <c r="H63" i="3" s="1"/>
  <c r="H64" i="3" s="1"/>
  <c r="H65" i="3" s="1"/>
  <c r="H66" i="3" s="1"/>
  <c r="H67" i="3" s="1"/>
  <c r="I61" i="3"/>
  <c r="A67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1" i="3"/>
  <c r="F22" i="3"/>
  <c r="E21" i="3"/>
  <c r="G29" i="11" l="1"/>
  <c r="F29" i="11" s="1"/>
  <c r="E29" i="11" s="1"/>
  <c r="D29" i="11" s="1"/>
  <c r="C29" i="11" s="1"/>
  <c r="G30" i="11"/>
  <c r="F30" i="11" s="1"/>
  <c r="E30" i="11" s="1"/>
  <c r="D30" i="11" s="1"/>
  <c r="C30" i="11" s="1"/>
  <c r="I29" i="11"/>
  <c r="J29" i="11" s="1"/>
  <c r="K29" i="11" s="1"/>
  <c r="L29" i="11" s="1"/>
  <c r="F42" i="4"/>
  <c r="D42" i="4"/>
  <c r="C25" i="11"/>
  <c r="D25" i="11" s="1"/>
  <c r="E25" i="11" s="1"/>
  <c r="F25" i="11" s="1"/>
  <c r="G25" i="11" s="1"/>
  <c r="H25" i="11" s="1"/>
  <c r="I25" i="11" s="1"/>
  <c r="J25" i="11" s="1"/>
  <c r="K25" i="11" s="1"/>
  <c r="L25" i="11" s="1"/>
  <c r="C24" i="11"/>
  <c r="D24" i="11" s="1"/>
  <c r="E24" i="11" s="1"/>
  <c r="F24" i="11" s="1"/>
  <c r="G24" i="11" s="1"/>
  <c r="H24" i="11" s="1"/>
  <c r="I24" i="11" s="1"/>
  <c r="J24" i="11" s="1"/>
  <c r="K24" i="11" s="1"/>
  <c r="L24" i="11" s="1"/>
  <c r="C22" i="11" l="1"/>
  <c r="D22" i="11" s="1"/>
  <c r="E22" i="11" s="1"/>
  <c r="F22" i="11" s="1"/>
  <c r="G22" i="11" s="1"/>
  <c r="H22" i="11" s="1"/>
  <c r="I22" i="11" s="1"/>
  <c r="J22" i="11" s="1"/>
  <c r="K22" i="11" s="1"/>
  <c r="L22" i="11" s="1"/>
  <c r="C21" i="11"/>
  <c r="D21" i="11" s="1"/>
  <c r="E21" i="11" s="1"/>
  <c r="F21" i="11" s="1"/>
  <c r="G21" i="11" s="1"/>
  <c r="G18" i="11"/>
  <c r="G14" i="11" s="1"/>
  <c r="G11" i="11"/>
  <c r="L11" i="11"/>
  <c r="L10" i="11"/>
  <c r="L9" i="11"/>
  <c r="L8" i="11"/>
  <c r="B18" i="11"/>
  <c r="B17" i="11"/>
  <c r="B16" i="11"/>
  <c r="B15" i="11"/>
  <c r="L6" i="11"/>
  <c r="L5" i="11"/>
  <c r="L4" i="11"/>
  <c r="G6" i="11"/>
  <c r="G5" i="11"/>
  <c r="G4" i="11"/>
  <c r="K6" i="11"/>
  <c r="K5" i="11"/>
  <c r="K4" i="11"/>
  <c r="J6" i="11"/>
  <c r="J5" i="11"/>
  <c r="J4" i="11"/>
  <c r="I6" i="11"/>
  <c r="I5" i="11"/>
  <c r="I4" i="11"/>
  <c r="H6" i="11"/>
  <c r="H5" i="11"/>
  <c r="H4" i="11"/>
  <c r="F6" i="11"/>
  <c r="F5" i="11"/>
  <c r="F4" i="11"/>
  <c r="E6" i="11"/>
  <c r="E5" i="11"/>
  <c r="E4" i="11"/>
  <c r="D6" i="11"/>
  <c r="D5" i="11"/>
  <c r="D4" i="11"/>
  <c r="C7" i="11"/>
  <c r="C6" i="11"/>
  <c r="C5" i="11"/>
  <c r="C4" i="11"/>
  <c r="A41" i="11"/>
  <c r="L14" i="11"/>
  <c r="K14" i="11"/>
  <c r="J14" i="11"/>
  <c r="I14" i="11"/>
  <c r="H14" i="11"/>
  <c r="F14" i="11"/>
  <c r="E14" i="11"/>
  <c r="D14" i="11"/>
  <c r="C14" i="11"/>
  <c r="C3" i="11" l="1"/>
  <c r="H21" i="11"/>
  <c r="B11" i="6"/>
  <c r="E8" i="8"/>
  <c r="D7" i="8"/>
  <c r="E7" i="8" s="1"/>
  <c r="D6" i="8"/>
  <c r="E6" i="8" s="1"/>
  <c r="D5" i="8"/>
  <c r="E5" i="8" s="1"/>
  <c r="F7" i="8"/>
  <c r="F6" i="8"/>
  <c r="F5" i="8"/>
  <c r="B8" i="8"/>
  <c r="B7" i="8"/>
  <c r="B6" i="8"/>
  <c r="B5" i="8"/>
  <c r="F56" i="4"/>
  <c r="C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C51" i="2"/>
  <c r="C50" i="2"/>
  <c r="C49" i="2"/>
  <c r="H47" i="2"/>
  <c r="C47" i="2"/>
  <c r="H41" i="2"/>
  <c r="E41" i="2" s="1"/>
  <c r="E56" i="4" s="1"/>
  <c r="C41" i="2"/>
  <c r="B41" i="2"/>
  <c r="B56" i="4" s="1"/>
  <c r="H40" i="2"/>
  <c r="C40" i="2"/>
  <c r="B40" i="2"/>
  <c r="H39" i="2"/>
  <c r="C39" i="2"/>
  <c r="C52" i="2" s="1"/>
  <c r="B39" i="2"/>
  <c r="H38" i="2"/>
  <c r="E38" i="2" s="1"/>
  <c r="G38" i="2" s="1"/>
  <c r="D38" i="2"/>
  <c r="C38" i="2"/>
  <c r="F38" i="2" s="1"/>
  <c r="F51" i="2" s="1"/>
  <c r="B38" i="2"/>
  <c r="H37" i="2"/>
  <c r="E37" i="2" s="1"/>
  <c r="G37" i="2" s="1"/>
  <c r="C37" i="2"/>
  <c r="F37" i="2" s="1"/>
  <c r="F50" i="2" s="1"/>
  <c r="B37" i="2"/>
  <c r="H36" i="2"/>
  <c r="E36" i="2" s="1"/>
  <c r="G36" i="2" s="1"/>
  <c r="F36" i="2"/>
  <c r="F49" i="2" s="1"/>
  <c r="C36" i="2"/>
  <c r="B36" i="2"/>
  <c r="D36" i="2" s="1"/>
  <c r="H35" i="2"/>
  <c r="F35" i="2"/>
  <c r="F48" i="2" s="1"/>
  <c r="E35" i="2"/>
  <c r="G35" i="2" s="1"/>
  <c r="C35" i="2"/>
  <c r="C48" i="2" s="1"/>
  <c r="B35" i="2"/>
  <c r="D35" i="2" s="1"/>
  <c r="H34" i="2"/>
  <c r="F34" i="2"/>
  <c r="F47" i="2" s="1"/>
  <c r="E34" i="2"/>
  <c r="G34" i="2" s="1"/>
  <c r="D34" i="2"/>
  <c r="C34" i="2"/>
  <c r="B34" i="2"/>
  <c r="B42" i="2" s="1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H16" i="2"/>
  <c r="CB13" i="2"/>
  <c r="BZ13" i="2"/>
  <c r="BY13" i="2"/>
  <c r="BU13" i="2"/>
  <c r="K33" i="11" s="1"/>
  <c r="BT13" i="2"/>
  <c r="BR13" i="2"/>
  <c r="BQ13" i="2"/>
  <c r="BL13" i="2"/>
  <c r="BJ13" i="2"/>
  <c r="BI13" i="2"/>
  <c r="BD13" i="2"/>
  <c r="BB13" i="2"/>
  <c r="BA13" i="2"/>
  <c r="AV13" i="2"/>
  <c r="AT13" i="2"/>
  <c r="AS13" i="2"/>
  <c r="AN13" i="2"/>
  <c r="AL13" i="2"/>
  <c r="AK13" i="2"/>
  <c r="AF13" i="2"/>
  <c r="AD13" i="2"/>
  <c r="AC13" i="2"/>
  <c r="X13" i="2"/>
  <c r="V13" i="2"/>
  <c r="U13" i="2"/>
  <c r="P13" i="2"/>
  <c r="N13" i="2"/>
  <c r="M13" i="2"/>
  <c r="H13" i="2"/>
  <c r="F13" i="2"/>
  <c r="E13" i="2"/>
  <c r="B13" i="2"/>
  <c r="CC12" i="2"/>
  <c r="CC13" i="2" s="1"/>
  <c r="CA12" i="2"/>
  <c r="L7" i="11" s="1"/>
  <c r="BU12" i="2"/>
  <c r="BS12" i="2"/>
  <c r="K7" i="11" s="1"/>
  <c r="K3" i="11" s="1"/>
  <c r="BM12" i="2"/>
  <c r="BM13" i="2" s="1"/>
  <c r="BK12" i="2"/>
  <c r="J7" i="11" s="1"/>
  <c r="J3" i="11" s="1"/>
  <c r="BE12" i="2"/>
  <c r="BE13" i="2" s="1"/>
  <c r="BC12" i="2"/>
  <c r="I7" i="11" s="1"/>
  <c r="I3" i="11" s="1"/>
  <c r="AW12" i="2"/>
  <c r="AW13" i="2" s="1"/>
  <c r="AU12" i="2"/>
  <c r="H7" i="11" s="1"/>
  <c r="H3" i="11" s="1"/>
  <c r="AQ12" i="2"/>
  <c r="AY12" i="2" s="1"/>
  <c r="BG12" i="2" s="1"/>
  <c r="BO12" i="2" s="1"/>
  <c r="BW12" i="2" s="1"/>
  <c r="CE12" i="2" s="1"/>
  <c r="AO12" i="2"/>
  <c r="AO13" i="2" s="1"/>
  <c r="AM12" i="2"/>
  <c r="G7" i="11" s="1"/>
  <c r="G3" i="11" s="1"/>
  <c r="AG12" i="2"/>
  <c r="AG13" i="2" s="1"/>
  <c r="AE12" i="2"/>
  <c r="F7" i="11" s="1"/>
  <c r="F3" i="11" s="1"/>
  <c r="Y12" i="2"/>
  <c r="Y13" i="2" s="1"/>
  <c r="W12" i="2"/>
  <c r="E7" i="11" s="1"/>
  <c r="E3" i="11" s="1"/>
  <c r="S12" i="2"/>
  <c r="AA12" i="2" s="1"/>
  <c r="AI12" i="2" s="1"/>
  <c r="Q12" i="2"/>
  <c r="Q13" i="2" s="1"/>
  <c r="O12" i="2"/>
  <c r="D7" i="11" s="1"/>
  <c r="D3" i="11" s="1"/>
  <c r="K12" i="2"/>
  <c r="J12" i="2"/>
  <c r="L12" i="2" s="1"/>
  <c r="I12" i="2"/>
  <c r="G12" i="2"/>
  <c r="D12" i="2"/>
  <c r="W11" i="2"/>
  <c r="O11" i="2"/>
  <c r="K11" i="2"/>
  <c r="S11" i="2" s="1"/>
  <c r="AA11" i="2" s="1"/>
  <c r="J11" i="2"/>
  <c r="L11" i="2" s="1"/>
  <c r="G11" i="2"/>
  <c r="D11" i="2"/>
  <c r="K10" i="2"/>
  <c r="J10" i="2"/>
  <c r="I10" i="2"/>
  <c r="G10" i="2"/>
  <c r="D10" i="2"/>
  <c r="AQ9" i="2"/>
  <c r="AY9" i="2" s="1"/>
  <c r="BC9" i="2" s="1"/>
  <c r="AE9" i="2"/>
  <c r="AA9" i="2"/>
  <c r="AI9" i="2" s="1"/>
  <c r="AM9" i="2" s="1"/>
  <c r="S9" i="2"/>
  <c r="W9" i="2" s="1"/>
  <c r="Q9" i="2"/>
  <c r="O9" i="2"/>
  <c r="K9" i="2"/>
  <c r="G9" i="2"/>
  <c r="D9" i="2"/>
  <c r="S8" i="2"/>
  <c r="R8" i="2"/>
  <c r="O8" i="2"/>
  <c r="K8" i="2"/>
  <c r="J8" i="2"/>
  <c r="L8" i="2" s="1"/>
  <c r="G8" i="2"/>
  <c r="D8" i="2"/>
  <c r="T7" i="2"/>
  <c r="S7" i="2"/>
  <c r="R7" i="2"/>
  <c r="Z8" i="2" s="1"/>
  <c r="K7" i="2"/>
  <c r="O7" i="2" s="1"/>
  <c r="J7" i="2"/>
  <c r="L7" i="2" s="1"/>
  <c r="G7" i="2"/>
  <c r="D7" i="2"/>
  <c r="AY6" i="2"/>
  <c r="BG6" i="2" s="1"/>
  <c r="BK6" i="2" s="1"/>
  <c r="AM6" i="2"/>
  <c r="AI6" i="2"/>
  <c r="AQ6" i="2" s="1"/>
  <c r="AU6" i="2" s="1"/>
  <c r="W6" i="2"/>
  <c r="S6" i="2"/>
  <c r="AA6" i="2" s="1"/>
  <c r="AE6" i="2" s="1"/>
  <c r="K6" i="2"/>
  <c r="O6" i="2" s="1"/>
  <c r="J6" i="2"/>
  <c r="G6" i="2"/>
  <c r="D6" i="2"/>
  <c r="CD5" i="2"/>
  <c r="B47" i="2" s="1"/>
  <c r="BV5" i="2"/>
  <c r="BN5" i="2"/>
  <c r="BN9" i="2" s="1"/>
  <c r="BF5" i="2"/>
  <c r="AX5" i="2"/>
  <c r="AP5" i="2"/>
  <c r="AH5" i="2"/>
  <c r="AH9" i="2" s="1"/>
  <c r="AJ9" i="2" s="1"/>
  <c r="Z5" i="2"/>
  <c r="W5" i="2"/>
  <c r="T5" i="2"/>
  <c r="R5" i="2"/>
  <c r="O5" i="2"/>
  <c r="K5" i="2"/>
  <c r="S5" i="2" s="1"/>
  <c r="AA5" i="2" s="1"/>
  <c r="J5" i="2"/>
  <c r="G5" i="2"/>
  <c r="G13" i="2" s="1"/>
  <c r="D5" i="2"/>
  <c r="CF21" i="2" l="1"/>
  <c r="L33" i="11"/>
  <c r="BX21" i="2"/>
  <c r="BP21" i="2"/>
  <c r="J33" i="11"/>
  <c r="BH21" i="2"/>
  <c r="I33" i="11"/>
  <c r="AZ21" i="2"/>
  <c r="H33" i="11"/>
  <c r="F8" i="8"/>
  <c r="AR21" i="2"/>
  <c r="G33" i="11"/>
  <c r="G20" i="11" s="1"/>
  <c r="G13" i="11" s="1"/>
  <c r="G34" i="11" s="1"/>
  <c r="G41" i="11" s="1"/>
  <c r="AJ21" i="2"/>
  <c r="F33" i="11"/>
  <c r="F20" i="11" s="1"/>
  <c r="F13" i="11" s="1"/>
  <c r="F34" i="11" s="1"/>
  <c r="F41" i="11" s="1"/>
  <c r="E33" i="11"/>
  <c r="E20" i="11" s="1"/>
  <c r="E13" i="11" s="1"/>
  <c r="E34" i="11" s="1"/>
  <c r="E41" i="11" s="1"/>
  <c r="T21" i="2"/>
  <c r="D33" i="11"/>
  <c r="D20" i="11" s="1"/>
  <c r="D13" i="11" s="1"/>
  <c r="D34" i="11" s="1"/>
  <c r="D41" i="11" s="1"/>
  <c r="I13" i="2"/>
  <c r="R12" i="2"/>
  <c r="H56" i="4"/>
  <c r="H20" i="11"/>
  <c r="H13" i="11" s="1"/>
  <c r="H34" i="11" s="1"/>
  <c r="H41" i="11" s="1"/>
  <c r="I21" i="11"/>
  <c r="B9" i="8"/>
  <c r="L18" i="2"/>
  <c r="D47" i="2"/>
  <c r="AF16" i="2"/>
  <c r="R11" i="2"/>
  <c r="L10" i="2"/>
  <c r="AI11" i="2"/>
  <c r="AE11" i="2"/>
  <c r="H42" i="2"/>
  <c r="AA7" i="2"/>
  <c r="W7" i="2"/>
  <c r="O10" i="2"/>
  <c r="S10" i="2"/>
  <c r="E47" i="2"/>
  <c r="Z9" i="2"/>
  <c r="AH6" i="2"/>
  <c r="AB5" i="2"/>
  <c r="R6" i="2"/>
  <c r="J9" i="2"/>
  <c r="L5" i="2"/>
  <c r="AA8" i="2"/>
  <c r="W8" i="2"/>
  <c r="BF9" i="2"/>
  <c r="BN6" i="2"/>
  <c r="E39" i="2"/>
  <c r="D39" i="2"/>
  <c r="X16" i="2"/>
  <c r="T8" i="2"/>
  <c r="BC6" i="2"/>
  <c r="AU9" i="2"/>
  <c r="AP10" i="2"/>
  <c r="E40" i="2"/>
  <c r="G40" i="2" s="1"/>
  <c r="D40" i="2"/>
  <c r="E42" i="2"/>
  <c r="C54" i="2"/>
  <c r="F41" i="2"/>
  <c r="D13" i="2"/>
  <c r="D41" i="2"/>
  <c r="D56" i="4" s="1"/>
  <c r="BV10" i="2"/>
  <c r="AI5" i="2"/>
  <c r="AE5" i="2"/>
  <c r="O13" i="2"/>
  <c r="AP9" i="2"/>
  <c r="AX6" i="2"/>
  <c r="BV9" i="2"/>
  <c r="CD6" i="2"/>
  <c r="BO6" i="2"/>
  <c r="BG9" i="2"/>
  <c r="C53" i="2"/>
  <c r="F40" i="2"/>
  <c r="F53" i="2" s="1"/>
  <c r="Z6" i="2"/>
  <c r="AP6" i="2"/>
  <c r="BF6" i="2"/>
  <c r="BV6" i="2"/>
  <c r="R9" i="2"/>
  <c r="AX9" i="2"/>
  <c r="CD9" i="2"/>
  <c r="P16" i="2"/>
  <c r="D37" i="2"/>
  <c r="F39" i="2"/>
  <c r="F52" i="2" s="1"/>
  <c r="L6" i="2"/>
  <c r="D10" i="7"/>
  <c r="D9" i="7"/>
  <c r="D8" i="7"/>
  <c r="D7" i="7"/>
  <c r="D6" i="7"/>
  <c r="D5" i="7"/>
  <c r="Z12" i="2" l="1"/>
  <c r="T12" i="2"/>
  <c r="C33" i="11"/>
  <c r="C20" i="11" s="1"/>
  <c r="C13" i="11" s="1"/>
  <c r="C34" i="11" s="1"/>
  <c r="C41" i="11" s="1"/>
  <c r="L21" i="2"/>
  <c r="D42" i="2"/>
  <c r="J21" i="11"/>
  <c r="I20" i="11"/>
  <c r="I13" i="11" s="1"/>
  <c r="I34" i="11" s="1"/>
  <c r="I41" i="11" s="1"/>
  <c r="BW6" i="2"/>
  <c r="BS6" i="2"/>
  <c r="R10" i="2"/>
  <c r="L9" i="2"/>
  <c r="L13" i="2" s="1"/>
  <c r="BX6" i="2"/>
  <c r="CD7" i="2"/>
  <c r="AQ5" i="2"/>
  <c r="AM5" i="2"/>
  <c r="AJ5" i="2"/>
  <c r="CD11" i="2"/>
  <c r="AQ11" i="2"/>
  <c r="AM11" i="2"/>
  <c r="T9" i="2"/>
  <c r="Z10" i="2"/>
  <c r="G41" i="2"/>
  <c r="G56" i="4" s="1"/>
  <c r="F54" i="2"/>
  <c r="AP7" i="2"/>
  <c r="AJ6" i="2"/>
  <c r="G47" i="2"/>
  <c r="AB6" i="2"/>
  <c r="AH7" i="2"/>
  <c r="G39" i="2"/>
  <c r="AE8" i="2"/>
  <c r="AI8" i="2"/>
  <c r="AA10" i="2"/>
  <c r="W10" i="2"/>
  <c r="W13" i="2" s="1"/>
  <c r="BV7" i="2"/>
  <c r="BP6" i="2"/>
  <c r="AE7" i="2"/>
  <c r="AI7" i="2"/>
  <c r="BN10" i="2"/>
  <c r="BH9" i="2"/>
  <c r="AH10" i="2"/>
  <c r="AB9" i="2"/>
  <c r="AR6" i="2"/>
  <c r="AX7" i="2"/>
  <c r="AX11" i="2"/>
  <c r="B51" i="2"/>
  <c r="D51" i="2" s="1"/>
  <c r="H51" i="2"/>
  <c r="E51" i="2" s="1"/>
  <c r="G51" i="2" s="1"/>
  <c r="BF7" i="2"/>
  <c r="AZ6" i="2"/>
  <c r="J13" i="2"/>
  <c r="AH12" i="2"/>
  <c r="AB12" i="2"/>
  <c r="T11" i="2"/>
  <c r="T18" i="2"/>
  <c r="Z7" i="2"/>
  <c r="R13" i="2"/>
  <c r="T6" i="2"/>
  <c r="BH6" i="2"/>
  <c r="BN7" i="2"/>
  <c r="B48" i="2"/>
  <c r="H48" i="2"/>
  <c r="CD10" i="2"/>
  <c r="AZ9" i="2"/>
  <c r="BF10" i="2"/>
  <c r="BO9" i="2"/>
  <c r="BK9" i="2"/>
  <c r="AX10" i="2"/>
  <c r="AR9" i="2"/>
  <c r="AB8" i="2"/>
  <c r="D11" i="7"/>
  <c r="G42" i="2" l="1"/>
  <c r="K21" i="11"/>
  <c r="J20" i="11"/>
  <c r="J13" i="11" s="1"/>
  <c r="J34" i="11" s="1"/>
  <c r="J41" i="11" s="1"/>
  <c r="L19" i="2"/>
  <c r="L20" i="2"/>
  <c r="AZ11" i="2"/>
  <c r="H49" i="2"/>
  <c r="E49" i="2" s="1"/>
  <c r="G49" i="2" s="1"/>
  <c r="B49" i="2"/>
  <c r="D49" i="2" s="1"/>
  <c r="BS9" i="2"/>
  <c r="BW9" i="2"/>
  <c r="BP9" i="2"/>
  <c r="AJ10" i="2"/>
  <c r="AP11" i="2"/>
  <c r="AR11" i="2" s="1"/>
  <c r="T10" i="2"/>
  <c r="Z11" i="2"/>
  <c r="AB11" i="2" s="1"/>
  <c r="BF11" i="2"/>
  <c r="AQ7" i="2"/>
  <c r="AR7" i="2" s="1"/>
  <c r="AM7" i="2"/>
  <c r="BN11" i="2"/>
  <c r="AB18" i="2"/>
  <c r="B53" i="2"/>
  <c r="D53" i="2" s="1"/>
  <c r="H53" i="2"/>
  <c r="E53" i="2" s="1"/>
  <c r="G53" i="2" s="1"/>
  <c r="AJ12" i="2"/>
  <c r="AP12" i="2"/>
  <c r="AY5" i="2"/>
  <c r="AU5" i="2"/>
  <c r="AR5" i="2"/>
  <c r="D48" i="2"/>
  <c r="AP8" i="2"/>
  <c r="AX8" i="2" s="1"/>
  <c r="AJ7" i="2"/>
  <c r="AY11" i="2"/>
  <c r="AU11" i="2"/>
  <c r="T13" i="2"/>
  <c r="H52" i="2"/>
  <c r="B52" i="2"/>
  <c r="D52" i="2" s="1"/>
  <c r="AI10" i="2"/>
  <c r="AE10" i="2"/>
  <c r="AE13" i="2" s="1"/>
  <c r="CA6" i="2"/>
  <c r="CE6" i="2"/>
  <c r="CF6" i="2" s="1"/>
  <c r="AH11" i="2"/>
  <c r="AJ11" i="2" s="1"/>
  <c r="AB10" i="2"/>
  <c r="AB7" i="2"/>
  <c r="AB13" i="2" s="1"/>
  <c r="AH8" i="2"/>
  <c r="E48" i="2"/>
  <c r="BV11" i="2"/>
  <c r="AM8" i="2"/>
  <c r="AQ8" i="2"/>
  <c r="C10" i="6"/>
  <c r="C11" i="6" s="1"/>
  <c r="D63" i="4"/>
  <c r="D64" i="4" s="1"/>
  <c r="AP13" i="2" l="1"/>
  <c r="L21" i="11"/>
  <c r="L20" i="11" s="1"/>
  <c r="L13" i="11" s="1"/>
  <c r="K20" i="11"/>
  <c r="K13" i="11" s="1"/>
  <c r="K34" i="11" s="1"/>
  <c r="K41" i="11" s="1"/>
  <c r="BD16" i="2"/>
  <c r="BF8" i="2"/>
  <c r="AJ13" i="2"/>
  <c r="AJ19" i="2" s="1"/>
  <c r="AJ18" i="2"/>
  <c r="AB19" i="2"/>
  <c r="AB20" i="2"/>
  <c r="E52" i="2"/>
  <c r="G52" i="2" s="1"/>
  <c r="G48" i="2"/>
  <c r="AR8" i="2"/>
  <c r="AV16" i="2"/>
  <c r="BG11" i="2"/>
  <c r="BH11" i="2" s="1"/>
  <c r="BC11" i="2"/>
  <c r="CE9" i="2"/>
  <c r="CF9" i="2" s="1"/>
  <c r="CA9" i="2"/>
  <c r="BX9" i="2"/>
  <c r="Z13" i="2"/>
  <c r="AX12" i="2"/>
  <c r="AR12" i="2"/>
  <c r="AU7" i="2"/>
  <c r="AY7" i="2"/>
  <c r="T19" i="2"/>
  <c r="T20" i="2"/>
  <c r="AY8" i="2"/>
  <c r="AU8" i="2"/>
  <c r="AJ8" i="2"/>
  <c r="AN16" i="2"/>
  <c r="AH13" i="2"/>
  <c r="AQ10" i="2"/>
  <c r="AM10" i="2"/>
  <c r="AM13" i="2" s="1"/>
  <c r="BG5" i="2"/>
  <c r="AZ5" i="2"/>
  <c r="BC5" i="2"/>
  <c r="B21" i="3"/>
  <c r="AX13" i="2" l="1"/>
  <c r="AJ20" i="2"/>
  <c r="AU13" i="2"/>
  <c r="AR18" i="2"/>
  <c r="AZ12" i="2"/>
  <c r="BF12" i="2"/>
  <c r="BH8" i="2"/>
  <c r="BL16" i="2"/>
  <c r="BN8" i="2"/>
  <c r="AU10" i="2"/>
  <c r="AY10" i="2"/>
  <c r="AR10" i="2"/>
  <c r="AR13" i="2" s="1"/>
  <c r="AR19" i="2" s="1"/>
  <c r="BG8" i="2"/>
  <c r="BC8" i="2"/>
  <c r="BO5" i="2"/>
  <c r="BK5" i="2"/>
  <c r="BH5" i="2"/>
  <c r="AZ8" i="2"/>
  <c r="BG7" i="2"/>
  <c r="BC7" i="2"/>
  <c r="AZ7" i="2"/>
  <c r="BO11" i="2"/>
  <c r="BK11" i="2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62" i="3" s="1"/>
  <c r="A63" i="3" s="1"/>
  <c r="A64" i="3" s="1"/>
  <c r="A65" i="3" s="1"/>
  <c r="A66" i="3" s="1"/>
  <c r="C21" i="3"/>
  <c r="E16" i="3"/>
  <c r="E15" i="3"/>
  <c r="E14" i="3"/>
  <c r="E13" i="3"/>
  <c r="E12" i="3"/>
  <c r="E11" i="3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9" i="3"/>
  <c r="E8" i="3"/>
  <c r="E7" i="3"/>
  <c r="E6" i="3"/>
  <c r="E5" i="3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E46" i="3" l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BO8" i="2"/>
  <c r="BK8" i="2"/>
  <c r="BT16" i="2"/>
  <c r="BP8" i="2"/>
  <c r="BN13" i="2"/>
  <c r="BV8" i="2"/>
  <c r="BG10" i="2"/>
  <c r="BC10" i="2"/>
  <c r="BC13" i="2" s="1"/>
  <c r="AZ10" i="2"/>
  <c r="AZ13" i="2" s="1"/>
  <c r="AZ19" i="2" s="1"/>
  <c r="BW11" i="2"/>
  <c r="BS11" i="2"/>
  <c r="BP11" i="2"/>
  <c r="BK7" i="2"/>
  <c r="BO7" i="2"/>
  <c r="BH7" i="2"/>
  <c r="BN12" i="2"/>
  <c r="BH12" i="2"/>
  <c r="AR20" i="2"/>
  <c r="BW5" i="2"/>
  <c r="BS5" i="2"/>
  <c r="BP5" i="2"/>
  <c r="BF13" i="2"/>
  <c r="AZ18" i="2"/>
  <c r="BH18" i="2" l="1"/>
  <c r="CB16" i="2"/>
  <c r="CD8" i="2"/>
  <c r="BW7" i="2"/>
  <c r="BS7" i="2"/>
  <c r="BP7" i="2"/>
  <c r="CE11" i="2"/>
  <c r="CF11" i="2" s="1"/>
  <c r="CA11" i="2"/>
  <c r="BX11" i="2"/>
  <c r="CE5" i="2"/>
  <c r="CF5" i="2" s="1"/>
  <c r="CA5" i="2"/>
  <c r="BX5" i="2"/>
  <c r="AZ20" i="2"/>
  <c r="BV12" i="2"/>
  <c r="BP12" i="2"/>
  <c r="BW8" i="2"/>
  <c r="BX8" i="2" s="1"/>
  <c r="BS8" i="2"/>
  <c r="BO10" i="2"/>
  <c r="BK10" i="2"/>
  <c r="BK13" i="2" s="1"/>
  <c r="BH10" i="2"/>
  <c r="BH13" i="2" s="1"/>
  <c r="BH19" i="2" s="1"/>
  <c r="G57" i="4"/>
  <c r="B57" i="4"/>
  <c r="B64" i="4" s="1"/>
  <c r="E57" i="4"/>
  <c r="F10" i="1"/>
  <c r="F9" i="1"/>
  <c r="F8" i="1"/>
  <c r="F7" i="1"/>
  <c r="F6" i="1"/>
  <c r="F27" i="4"/>
  <c r="D27" i="4"/>
  <c r="B10" i="4"/>
  <c r="D9" i="4"/>
  <c r="F9" i="4" s="1"/>
  <c r="D8" i="4"/>
  <c r="D7" i="4"/>
  <c r="D10" i="4" s="1"/>
  <c r="B11" i="1"/>
  <c r="D10" i="1"/>
  <c r="D9" i="1"/>
  <c r="D8" i="1"/>
  <c r="D7" i="1"/>
  <c r="D6" i="1"/>
  <c r="BV13" i="2" l="1"/>
  <c r="BP18" i="2"/>
  <c r="H50" i="2"/>
  <c r="CF8" i="2"/>
  <c r="B50" i="2"/>
  <c r="BW10" i="2"/>
  <c r="BS10" i="2"/>
  <c r="BS13" i="2" s="1"/>
  <c r="BP10" i="2"/>
  <c r="BP13" i="2" s="1"/>
  <c r="BP19" i="2" s="1"/>
  <c r="BX12" i="2"/>
  <c r="CD12" i="2"/>
  <c r="BH20" i="2"/>
  <c r="CA7" i="2"/>
  <c r="CE7" i="2"/>
  <c r="CF7" i="2" s="1"/>
  <c r="BX7" i="2"/>
  <c r="CA8" i="2"/>
  <c r="CE8" i="2"/>
  <c r="H57" i="4"/>
  <c r="F7" i="4"/>
  <c r="F10" i="4" s="1"/>
  <c r="F11" i="1"/>
  <c r="D11" i="1"/>
  <c r="CD13" i="2" l="1"/>
  <c r="BX18" i="2"/>
  <c r="D50" i="2"/>
  <c r="B54" i="2"/>
  <c r="D54" i="2" s="1"/>
  <c r="CF12" i="2"/>
  <c r="H54" i="2"/>
  <c r="BP20" i="2"/>
  <c r="E50" i="2"/>
  <c r="H55" i="2"/>
  <c r="H59" i="2" s="1"/>
  <c r="CE10" i="2"/>
  <c r="CF10" i="2" s="1"/>
  <c r="CA10" i="2"/>
  <c r="CA13" i="2" s="1"/>
  <c r="BX10" i="2"/>
  <c r="BX13" i="2" s="1"/>
  <c r="BX19" i="2" s="1"/>
  <c r="D57" i="4"/>
  <c r="CF13" i="2" l="1"/>
  <c r="CF19" i="2" s="1"/>
  <c r="D68" i="4"/>
  <c r="B19" i="11"/>
  <c r="B14" i="11" s="1"/>
  <c r="B13" i="11" s="1"/>
  <c r="B34" i="11" s="1"/>
  <c r="CF18" i="2"/>
  <c r="CF20" i="2"/>
  <c r="D55" i="2"/>
  <c r="L12" i="11" s="1"/>
  <c r="L3" i="11" s="1"/>
  <c r="L34" i="11" s="1"/>
  <c r="L41" i="11" s="1"/>
  <c r="BX20" i="2"/>
  <c r="B55" i="2"/>
  <c r="G50" i="2"/>
  <c r="E54" i="2"/>
  <c r="G54" i="2" s="1"/>
  <c r="B41" i="11" l="1"/>
  <c r="B42" i="11" s="1"/>
  <c r="B46" i="11" s="1"/>
  <c r="C45" i="11" s="1"/>
  <c r="C46" i="11" s="1"/>
  <c r="D45" i="11" s="1"/>
  <c r="D46" i="11" s="1"/>
  <c r="E45" i="11" s="1"/>
  <c r="E46" i="11" s="1"/>
  <c r="F45" i="11" s="1"/>
  <c r="F46" i="11" s="1"/>
  <c r="G45" i="11" s="1"/>
  <c r="G46" i="11" s="1"/>
  <c r="H45" i="11" s="1"/>
  <c r="H46" i="11" s="1"/>
  <c r="I45" i="11" s="1"/>
  <c r="I46" i="11" s="1"/>
  <c r="J45" i="11" s="1"/>
  <c r="J46" i="11" s="1"/>
  <c r="K45" i="11" s="1"/>
  <c r="K46" i="11" s="1"/>
  <c r="L45" i="11" s="1"/>
  <c r="L46" i="11" s="1"/>
  <c r="B37" i="11"/>
  <c r="B38" i="11"/>
  <c r="E55" i="2"/>
  <c r="G55" i="2"/>
  <c r="D57" i="2" s="1"/>
  <c r="F9" i="8" l="1"/>
</calcChain>
</file>

<file path=xl/sharedStrings.xml><?xml version="1.0" encoding="utf-8"?>
<sst xmlns="http://schemas.openxmlformats.org/spreadsheetml/2006/main" count="544" uniqueCount="287">
  <si>
    <t>Capital natural</t>
  </si>
  <si>
    <t>Item</t>
  </si>
  <si>
    <t>Área (ha)</t>
  </si>
  <si>
    <t xml:space="preserve"> Valor Unitário (R$/ha)</t>
  </si>
  <si>
    <t>Valor total atual (R$)</t>
  </si>
  <si>
    <t>Uso atual</t>
  </si>
  <si>
    <t>Terra nua classe I</t>
  </si>
  <si>
    <t>Terra nua classe II</t>
  </si>
  <si>
    <t>Terra nua classe III</t>
  </si>
  <si>
    <t>Total</t>
  </si>
  <si>
    <t>Benfeitorias</t>
  </si>
  <si>
    <t>Panicum</t>
  </si>
  <si>
    <t>Humidícola</t>
  </si>
  <si>
    <t>APP e ARN</t>
  </si>
  <si>
    <t>Valor ano 10 (R$)</t>
  </si>
  <si>
    <t>Capital Físico</t>
  </si>
  <si>
    <t>Quantidade</t>
  </si>
  <si>
    <t>Vida Útil Restante (anos)</t>
  </si>
  <si>
    <t>Especificação</t>
  </si>
  <si>
    <t>Valor ao final de 10 anos (R$)</t>
  </si>
  <si>
    <t>Casa sede</t>
  </si>
  <si>
    <t>Casas funcionários</t>
  </si>
  <si>
    <t>Galpão</t>
  </si>
  <si>
    <t>Cercas</t>
  </si>
  <si>
    <t>Curral</t>
  </si>
  <si>
    <t>Poço semi artesiano</t>
  </si>
  <si>
    <t>Saleiros (cochos)</t>
  </si>
  <si>
    <t>Bebedouros</t>
  </si>
  <si>
    <t>Reservatório e poço</t>
  </si>
  <si>
    <t>Tubulação</t>
  </si>
  <si>
    <t>Construções e benfeitorias</t>
  </si>
  <si>
    <t>Pastagens</t>
  </si>
  <si>
    <t>Pastagem Brachiarão</t>
  </si>
  <si>
    <t>Pastagem Humidícola</t>
  </si>
  <si>
    <t>Pastagem Panicum</t>
  </si>
  <si>
    <t>Brachiarão</t>
  </si>
  <si>
    <r>
      <t>350 m</t>
    </r>
    <r>
      <rPr>
        <vertAlign val="superscript"/>
        <sz val="12"/>
        <color theme="1"/>
        <rFont val="Arial"/>
        <family val="2"/>
      </rPr>
      <t>2</t>
    </r>
  </si>
  <si>
    <r>
      <t>60 m</t>
    </r>
    <r>
      <rPr>
        <vertAlign val="superscript"/>
        <sz val="12"/>
        <color theme="1"/>
        <rFont val="Arial"/>
        <family val="2"/>
      </rPr>
      <t>2</t>
    </r>
  </si>
  <si>
    <t>112.000 m</t>
  </si>
  <si>
    <r>
      <t>solteiro 100 m</t>
    </r>
    <r>
      <rPr>
        <vertAlign val="superscript"/>
        <sz val="12"/>
        <color theme="1"/>
        <rFont val="Arial"/>
        <family val="2"/>
      </rPr>
      <t>2</t>
    </r>
  </si>
  <si>
    <t>5 fios arame liso 3 m</t>
  </si>
  <si>
    <t>4 fios arame liso 3 x 3</t>
  </si>
  <si>
    <r>
      <t>1000 m</t>
    </r>
    <r>
      <rPr>
        <vertAlign val="superscript"/>
        <sz val="12"/>
        <color theme="1"/>
        <rFont val="Arial"/>
        <family val="2"/>
      </rPr>
      <t>2</t>
    </r>
  </si>
  <si>
    <t>30 m completo</t>
  </si>
  <si>
    <t>Australiano</t>
  </si>
  <si>
    <r>
      <t>30 m</t>
    </r>
    <r>
      <rPr>
        <vertAlign val="superscript"/>
        <sz val="12"/>
        <color theme="1"/>
        <rFont val="Arial"/>
        <family val="2"/>
      </rPr>
      <t>2</t>
    </r>
  </si>
  <si>
    <r>
      <t>80 m</t>
    </r>
    <r>
      <rPr>
        <vertAlign val="superscript"/>
        <sz val="12"/>
        <color theme="1"/>
        <rFont val="Arial"/>
        <family val="2"/>
      </rPr>
      <t>2</t>
    </r>
  </si>
  <si>
    <t>13.400 m</t>
  </si>
  <si>
    <t>Máquinas e equipamentos</t>
  </si>
  <si>
    <t>Caminhonete</t>
  </si>
  <si>
    <t>Mitsubishi 2009</t>
  </si>
  <si>
    <t>Roçadeira</t>
  </si>
  <si>
    <t>arrasto</t>
  </si>
  <si>
    <t>Carreta</t>
  </si>
  <si>
    <t>4 rodas</t>
  </si>
  <si>
    <t>Carreta tanque</t>
  </si>
  <si>
    <t>2.000 l</t>
  </si>
  <si>
    <t>Vicon</t>
  </si>
  <si>
    <t>Grade niveladora</t>
  </si>
  <si>
    <t>Grade pesada</t>
  </si>
  <si>
    <t>hidráulica</t>
  </si>
  <si>
    <t>Categorias do rebanho</t>
  </si>
  <si>
    <t>Capital Financeiro (Rebanho p/ venda)</t>
  </si>
  <si>
    <t>TOTAL</t>
  </si>
  <si>
    <t>Nº de cabeças</t>
  </si>
  <si>
    <t>Valor unitário</t>
  </si>
  <si>
    <t>Valor total</t>
  </si>
  <si>
    <t>Bezerras até um ano</t>
  </si>
  <si>
    <t>Novilhas de 1 a 2 anos</t>
  </si>
  <si>
    <t>Novilhas de 2 a 3 anos</t>
  </si>
  <si>
    <t>Bezerros até um ano</t>
  </si>
  <si>
    <t>Garrotes de 1 a 2 anos</t>
  </si>
  <si>
    <t>Touros</t>
  </si>
  <si>
    <t>Rebanho atual - capital físico e financeiro</t>
  </si>
  <si>
    <t>Garrotes e bois em engorda</t>
  </si>
  <si>
    <t>Taxa de natalidade</t>
  </si>
  <si>
    <t>EVOLUÇÃO DO REBANHO BOVINO NO DIAGNÓSTICO</t>
  </si>
  <si>
    <t>Entradas e saídas de animais no ano 1</t>
  </si>
  <si>
    <t>Entradas e saídas de animais no ano 2</t>
  </si>
  <si>
    <t>Entradas e saídas de animais no ano 3</t>
  </si>
  <si>
    <t>Entradas e saídas de animais no ano 4</t>
  </si>
  <si>
    <t>Entradas e saídas de animais no ano 5</t>
  </si>
  <si>
    <t>Entradas e saídas de animais no ano 6</t>
  </si>
  <si>
    <t>Entradas e saídas de animais no ano 7</t>
  </si>
  <si>
    <t>Entradas e saídas de animais no ano 8</t>
  </si>
  <si>
    <t>Entradas e saídas de animais no ano 9</t>
  </si>
  <si>
    <t>Entradas e saídas de animais no ano 10</t>
  </si>
  <si>
    <t>PERDAS</t>
  </si>
  <si>
    <t>VENDAS</t>
  </si>
  <si>
    <t>COMPRAS</t>
  </si>
  <si>
    <t>Rebanho no final do ano 1</t>
  </si>
  <si>
    <t>Rebanho no final do ano 2</t>
  </si>
  <si>
    <t>Rebanho no final do ano 3</t>
  </si>
  <si>
    <t>Rebanho no final do ano 4</t>
  </si>
  <si>
    <t>Rebanho no final do ano 5</t>
  </si>
  <si>
    <t>Rebanho no final do ano 6</t>
  </si>
  <si>
    <t>Rebanho no final do ano 7</t>
  </si>
  <si>
    <t>Rebanho no final do ano 8</t>
  </si>
  <si>
    <t>Rebanho no final do ano 9</t>
  </si>
  <si>
    <t>Rebanho no final do ano 10</t>
  </si>
  <si>
    <t>Categorias animais</t>
  </si>
  <si>
    <t>VARIAÇÃO NO VALOR DO REBANHO</t>
  </si>
  <si>
    <t>COMPRAS NO ANO 1</t>
  </si>
  <si>
    <t>COMPRAS NO ANO 2</t>
  </si>
  <si>
    <t>COMPRAS NO ANO 3</t>
  </si>
  <si>
    <t>COMPRAS NO ANO 4</t>
  </si>
  <si>
    <t>COMPRAS NO ANO 5</t>
  </si>
  <si>
    <t>COMPRAS NO ANO 6</t>
  </si>
  <si>
    <t>COMPRAS NO ANO 7</t>
  </si>
  <si>
    <t>COMPRAS NO ANO 8</t>
  </si>
  <si>
    <t>COMPRAS NO ANO 9</t>
  </si>
  <si>
    <t>COMPRAS NO ANO 10</t>
  </si>
  <si>
    <t>Capital Físico (Rebanho de cria)</t>
  </si>
  <si>
    <t>SITUAÇÃO DO REBANHO NO ANO 10</t>
  </si>
  <si>
    <t>Evolução do Ganho de Peso dos animais na Fazenda Boqueirão</t>
  </si>
  <si>
    <t>Categoria animal</t>
  </si>
  <si>
    <t>Tempo de permanência</t>
  </si>
  <si>
    <t>Peso no início</t>
  </si>
  <si>
    <t>Peso no final</t>
  </si>
  <si>
    <t>Ganho peso médio</t>
  </si>
  <si>
    <t>Meses</t>
  </si>
  <si>
    <t>Kg</t>
  </si>
  <si>
    <t>kg</t>
  </si>
  <si>
    <t>gramas/dia</t>
  </si>
  <si>
    <t>Bezerro em aleitamento</t>
  </si>
  <si>
    <t>Bezerro Desmamados</t>
  </si>
  <si>
    <t>Garrotes</t>
  </si>
  <si>
    <t>Boi magro</t>
  </si>
  <si>
    <t>Boi gordo</t>
  </si>
  <si>
    <t>Bezerras em aleitamento</t>
  </si>
  <si>
    <t>Bezerras desmamadas</t>
  </si>
  <si>
    <t>Novilhas 12 a 24 meses</t>
  </si>
  <si>
    <t>Novilhas 24 a 36 meses</t>
  </si>
  <si>
    <t>Vacas de Cria</t>
  </si>
  <si>
    <t>Vacas descarte</t>
  </si>
  <si>
    <t>Evolução de Peso (em Kg)</t>
  </si>
  <si>
    <t>Machos</t>
  </si>
  <si>
    <t>Capital Físico (Rebanho de trabalho)</t>
  </si>
  <si>
    <t>Equinos</t>
  </si>
  <si>
    <t>Crédito (R$)</t>
  </si>
  <si>
    <t>Débito (R$)</t>
  </si>
  <si>
    <t>Estoque de animais para venda</t>
  </si>
  <si>
    <t>Estoque de insumos</t>
  </si>
  <si>
    <t>Investimento no Bradesco</t>
  </si>
  <si>
    <t>Capital Financeiro</t>
  </si>
  <si>
    <t>Depósito à vista no banco Itaú</t>
  </si>
  <si>
    <t>Pessoa</t>
  </si>
  <si>
    <t>Formação</t>
  </si>
  <si>
    <t>Idade</t>
  </si>
  <si>
    <t>Fund. Incomp.</t>
  </si>
  <si>
    <t>Rominho</t>
  </si>
  <si>
    <t>Engenheiro Agronômo</t>
  </si>
  <si>
    <t>Sr. Waldir</t>
  </si>
  <si>
    <t>Sr. Marcelo</t>
  </si>
  <si>
    <t>Técnico em agropecuária</t>
  </si>
  <si>
    <t>Vaqueiro 2</t>
  </si>
  <si>
    <t>Vaqueiro 1</t>
  </si>
  <si>
    <t>Valor anual total para a empresa (*)</t>
  </si>
  <si>
    <t>(*) O valor anual total para a empresa inclui salários, encargos, benefícios indiretos e custos adicionais para a empresa na gestão da mão-de-obra tais como os serviços do escritório de contabilidade</t>
  </si>
  <si>
    <t>Rebanho atual (ano zero)</t>
  </si>
  <si>
    <t>Vacas</t>
  </si>
  <si>
    <t>Nascimentos bezerros(as) cabeças</t>
  </si>
  <si>
    <t>RECEITA NO ANO 1</t>
  </si>
  <si>
    <t>RECEITA NO ANO 2</t>
  </si>
  <si>
    <t>RECEITA NO ANO 3</t>
  </si>
  <si>
    <t>RECEITA NO ANO 4</t>
  </si>
  <si>
    <t>RECEITA NO ANO 5</t>
  </si>
  <si>
    <t>RECEITA NO ANO 6</t>
  </si>
  <si>
    <t>RECEITA NO ANO 7</t>
  </si>
  <si>
    <t>RECEITA NO ANO 8</t>
  </si>
  <si>
    <t>RECEITA NO ANO 9</t>
  </si>
  <si>
    <t>RECEITA NO ANO 10</t>
  </si>
  <si>
    <t>ÍNDICES ZOOTÉCNICOS E DE COMERCIALIZAÇÃO</t>
  </si>
  <si>
    <t>ANO 1</t>
  </si>
  <si>
    <t>ANO 3</t>
  </si>
  <si>
    <t>Mortalidade</t>
  </si>
  <si>
    <t>Vendas</t>
  </si>
  <si>
    <t>RENDA TOTAL NO ANO 1</t>
  </si>
  <si>
    <t>RENDA TOTAL NO ANO 2</t>
  </si>
  <si>
    <t>RENDA TOTAL NO ANO 3</t>
  </si>
  <si>
    <t>RENDA TOTAL NO ANO 4</t>
  </si>
  <si>
    <t>RENDA TOTAL NO ANO 5</t>
  </si>
  <si>
    <t>RENDA TOTAL NO ANO 6</t>
  </si>
  <si>
    <t>RENDA TOTAL NO ANO 7</t>
  </si>
  <si>
    <t>RENDA TOTAL NO ANO 8</t>
  </si>
  <si>
    <t>RENDA TOTAL NO ANO 9</t>
  </si>
  <si>
    <t>RENDA TOTAL NO ANO 10</t>
  </si>
  <si>
    <t>SITUAÇÃO ATUAL DO REBANHO</t>
  </si>
  <si>
    <t>Vendas da Fazenda Boqueirão no ano 6</t>
  </si>
  <si>
    <t>Novilha descarte</t>
  </si>
  <si>
    <t>Vaca descarte</t>
  </si>
  <si>
    <t>Touro descarte</t>
  </si>
  <si>
    <t>Peso vivo/ rendimento</t>
  </si>
  <si>
    <t>420 kg - 49%</t>
  </si>
  <si>
    <t>480 kg - 52%</t>
  </si>
  <si>
    <t>750 kg - 49%</t>
  </si>
  <si>
    <t>Preço equivalente (R$/@)</t>
  </si>
  <si>
    <t>280 kg - 50%</t>
  </si>
  <si>
    <t>Valor unitário  (R$/cabeça)</t>
  </si>
  <si>
    <t>Capacidade de suporte das pastagens no ano estável</t>
  </si>
  <si>
    <t>Vaqueiro 3</t>
  </si>
  <si>
    <t>Organograma da Fazenda Boqueirão, 2500 ha, Miranda-MS</t>
  </si>
  <si>
    <t>Dr. Romualdo</t>
  </si>
  <si>
    <t>Maria do Carmo</t>
  </si>
  <si>
    <t>Proprietário, 60 anos, advogado, procurador do estado e professor.</t>
  </si>
  <si>
    <t>Proprietária, 56 anos, do lar.</t>
  </si>
  <si>
    <t>Orientação Analítica</t>
  </si>
  <si>
    <t>Orientação Mediadora.</t>
  </si>
  <si>
    <t>Mirna</t>
  </si>
  <si>
    <t>Marina</t>
  </si>
  <si>
    <t>Romualdo Filho (Rominho)</t>
  </si>
  <si>
    <t>Jussara</t>
  </si>
  <si>
    <t>Marido</t>
  </si>
  <si>
    <t>Márcio</t>
  </si>
  <si>
    <t>Jane</t>
  </si>
  <si>
    <t>Filha extra-conjugal do Dr. Romualdo, 33 anos.</t>
  </si>
  <si>
    <t>Pedagoga, 33 anos, professora em Miranda</t>
  </si>
  <si>
    <t>Agrônomo, 32 anos, administrador da Fazenda Boqueirão há aprox. 10 anos.</t>
  </si>
  <si>
    <t>Bacharel em administração, 31 anos. Trabalha  no mercado financeiro em Campo Grande.</t>
  </si>
  <si>
    <t>Advogado e promotor do Estado</t>
  </si>
  <si>
    <t>Médico ortopedista, 29 anos. Reside e trabalha em Dourados.</t>
  </si>
  <si>
    <t>Deseja intensificar / otimizar as atividades produtivas da fazenda.</t>
  </si>
  <si>
    <t>Entende que o valor do patrimônio da fazenda renderia mais no mercado financeiro</t>
  </si>
  <si>
    <t>Pretende construir, com outros sócios, Clínica Ortopédica em Dourados.</t>
  </si>
  <si>
    <t>Orientação Receptiva</t>
  </si>
  <si>
    <t>Orientação Empreenderora</t>
  </si>
  <si>
    <t>Foco na Estratégia</t>
  </si>
  <si>
    <t>Foco na Integração</t>
  </si>
  <si>
    <t>Foco nos Resultados</t>
  </si>
  <si>
    <t>Foco nas Pessoas</t>
  </si>
  <si>
    <t>ANO 2</t>
  </si>
  <si>
    <t>ANO 4</t>
  </si>
  <si>
    <t>ANO 5</t>
  </si>
  <si>
    <t>ANO 6</t>
  </si>
  <si>
    <t>ANO 7</t>
  </si>
  <si>
    <t>ANO 8</t>
  </si>
  <si>
    <t>ANO 9</t>
  </si>
  <si>
    <t>ANO 10</t>
  </si>
  <si>
    <t>Fluxo de Caixa (Diagnóstico)</t>
  </si>
  <si>
    <t>ITEM</t>
  </si>
  <si>
    <t>ANO 0</t>
  </si>
  <si>
    <t>ENTRADAS</t>
  </si>
  <si>
    <t>SAIDAS</t>
  </si>
  <si>
    <t>Investimentos</t>
  </si>
  <si>
    <t>Pro-labore</t>
  </si>
  <si>
    <t>Mao de obra</t>
  </si>
  <si>
    <t>Assistencia tecnica</t>
  </si>
  <si>
    <t>Alimentaçao animal</t>
  </si>
  <si>
    <t>VPL (a 3% ao ano)  =</t>
  </si>
  <si>
    <t>Taxa Interna Retorno=</t>
  </si>
  <si>
    <t>Analise Financeira da Boqueirao</t>
  </si>
  <si>
    <t>Recurso proprios</t>
  </si>
  <si>
    <t>Divida Finame</t>
  </si>
  <si>
    <t>Poupanças</t>
  </si>
  <si>
    <t>Compra animais</t>
  </si>
  <si>
    <t>Trator</t>
  </si>
  <si>
    <t>New Holland 106CV</t>
  </si>
  <si>
    <t>Fêmeas</t>
  </si>
  <si>
    <t>Vacas Descarte</t>
  </si>
  <si>
    <t>Valor atual do capital natural</t>
  </si>
  <si>
    <t>Valor atual das construções e benfeitorias</t>
  </si>
  <si>
    <t>Valor atual das máquinas e equipamentos</t>
  </si>
  <si>
    <t>Valor atual do rebanho</t>
  </si>
  <si>
    <t>Valor do capital natural no ano 10</t>
  </si>
  <si>
    <t>Valor das construções e benf. no ano 10</t>
  </si>
  <si>
    <t>Valor das máquinas e equip. no ano 10</t>
  </si>
  <si>
    <t>Valor do rebanho no ano 10</t>
  </si>
  <si>
    <t>Desembolsos</t>
  </si>
  <si>
    <t>Manutenção das máquinas e equipamentos</t>
  </si>
  <si>
    <t>Admin., impostos, energia elétrica e diversos</t>
  </si>
  <si>
    <t>Valor atual das pastagens perenes</t>
  </si>
  <si>
    <t>Valor das pastagens perenes no ano 10</t>
  </si>
  <si>
    <t>Manutenção das construções e benfeitorias</t>
  </si>
  <si>
    <t>Manutenção das pastagens perenes</t>
  </si>
  <si>
    <t>Combustível Utilitário</t>
  </si>
  <si>
    <t>Medicamentos</t>
  </si>
  <si>
    <t>Vacinas</t>
  </si>
  <si>
    <t>Sal Mineral</t>
  </si>
  <si>
    <t>Rebanho</t>
  </si>
  <si>
    <t>Analise Econômica da Boqueirao</t>
  </si>
  <si>
    <t>(*) Duas parcelas de R$ 42.000,00 nos anos 1 e 2.</t>
  </si>
  <si>
    <t>Transferencia saldos (com juros de 3%aa)</t>
  </si>
  <si>
    <t>RECEITA LIQUIDA ANUAL</t>
  </si>
  <si>
    <t>Dívida Finame (*)</t>
  </si>
  <si>
    <t>%</t>
  </si>
  <si>
    <t>Total dos desembolsos</t>
  </si>
  <si>
    <t>SALDO FINANCEIRO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</si>
</sst>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0.0%"/>
    <numFmt numFmtId="168" formatCode="#,##0.00_ ;\-#,##0.00\ "/>
    <numFmt numFmtId="169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color theme="1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3" fontId="4" fillId="0" borderId="1" xfId="1" applyFont="1" applyBorder="1"/>
    <xf numFmtId="3" fontId="4" fillId="0" borderId="1" xfId="0" applyNumberFormat="1" applyFont="1" applyBorder="1"/>
    <xf numFmtId="43" fontId="2" fillId="0" borderId="0" xfId="0" applyNumberFormat="1" applyFont="1"/>
    <xf numFmtId="0" fontId="4" fillId="0" borderId="0" xfId="0" applyFont="1"/>
    <xf numFmtId="3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3" fontId="5" fillId="0" borderId="1" xfId="0" applyNumberFormat="1" applyFont="1" applyFill="1" applyBorder="1"/>
    <xf numFmtId="43" fontId="5" fillId="0" borderId="1" xfId="1" applyFont="1" applyFill="1" applyBorder="1"/>
    <xf numFmtId="164" fontId="5" fillId="0" borderId="1" xfId="0" applyNumberFormat="1" applyFont="1" applyFill="1" applyBorder="1"/>
    <xf numFmtId="3" fontId="3" fillId="0" borderId="1" xfId="0" applyNumberFormat="1" applyFont="1" applyFill="1" applyBorder="1"/>
    <xf numFmtId="0" fontId="3" fillId="0" borderId="1" xfId="0" applyFont="1" applyFill="1" applyBorder="1"/>
    <xf numFmtId="43" fontId="3" fillId="0" borderId="1" xfId="1" applyFont="1" applyFill="1" applyBorder="1"/>
    <xf numFmtId="0" fontId="0" fillId="0" borderId="0" xfId="0" applyFill="1"/>
    <xf numFmtId="0" fontId="5" fillId="0" borderId="0" xfId="2" applyFont="1" applyFill="1"/>
    <xf numFmtId="43" fontId="5" fillId="0" borderId="0" xfId="2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2" fillId="0" borderId="1" xfId="4" applyNumberFormat="1" applyFont="1" applyBorder="1" applyAlignment="1">
      <alignment horizontal="center"/>
    </xf>
    <xf numFmtId="164" fontId="2" fillId="0" borderId="1" xfId="4" applyFont="1" applyBorder="1"/>
    <xf numFmtId="0" fontId="3" fillId="0" borderId="0" xfId="6" applyFont="1" applyFill="1" applyBorder="1"/>
    <xf numFmtId="0" fontId="5" fillId="0" borderId="1" xfId="6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1" xfId="6" applyFont="1" applyFill="1" applyBorder="1"/>
    <xf numFmtId="3" fontId="5" fillId="0" borderId="1" xfId="6" applyNumberFormat="1" applyFont="1" applyFill="1" applyBorder="1"/>
    <xf numFmtId="164" fontId="5" fillId="0" borderId="1" xfId="8" applyFont="1" applyFill="1" applyBorder="1"/>
    <xf numFmtId="164" fontId="5" fillId="0" borderId="1" xfId="6" applyNumberFormat="1" applyFont="1" applyFill="1" applyBorder="1"/>
    <xf numFmtId="0" fontId="8" fillId="0" borderId="0" xfId="6" applyFont="1" applyFill="1"/>
    <xf numFmtId="0" fontId="7" fillId="0" borderId="0" xfId="6" applyFill="1"/>
    <xf numFmtId="167" fontId="0" fillId="0" borderId="0" xfId="7" applyNumberFormat="1" applyFont="1" applyFill="1"/>
    <xf numFmtId="0" fontId="5" fillId="0" borderId="0" xfId="6" applyFont="1" applyFill="1"/>
    <xf numFmtId="0" fontId="3" fillId="0" borderId="1" xfId="6" applyFont="1" applyFill="1" applyBorder="1" applyAlignment="1">
      <alignment horizontal="center"/>
    </xf>
    <xf numFmtId="0" fontId="3" fillId="0" borderId="1" xfId="6" applyFont="1" applyFill="1" applyBorder="1" applyAlignment="1">
      <alignment horizontal="center" vertical="top" wrapText="1"/>
    </xf>
    <xf numFmtId="37" fontId="5" fillId="0" borderId="1" xfId="8" applyNumberFormat="1" applyFont="1" applyFill="1" applyBorder="1"/>
    <xf numFmtId="1" fontId="5" fillId="0" borderId="1" xfId="6" applyNumberFormat="1" applyFont="1" applyFill="1" applyBorder="1"/>
    <xf numFmtId="164" fontId="2" fillId="0" borderId="1" xfId="8" applyFont="1" applyFill="1" applyBorder="1"/>
    <xf numFmtId="0" fontId="3" fillId="0" borderId="1" xfId="6" applyFont="1" applyFill="1" applyBorder="1"/>
    <xf numFmtId="3" fontId="3" fillId="0" borderId="1" xfId="6" applyNumberFormat="1" applyFont="1" applyFill="1" applyBorder="1"/>
    <xf numFmtId="164" fontId="3" fillId="0" borderId="1" xfId="8" applyFont="1" applyFill="1" applyBorder="1"/>
    <xf numFmtId="37" fontId="3" fillId="0" borderId="1" xfId="8" applyNumberFormat="1" applyFont="1" applyFill="1" applyBorder="1"/>
    <xf numFmtId="167" fontId="2" fillId="0" borderId="0" xfId="7" applyNumberFormat="1" applyFont="1" applyFill="1"/>
    <xf numFmtId="0" fontId="5" fillId="0" borderId="10" xfId="6" applyFont="1" applyFill="1" applyBorder="1"/>
    <xf numFmtId="1" fontId="2" fillId="0" borderId="18" xfId="7" applyNumberFormat="1" applyFont="1" applyFill="1" applyBorder="1"/>
    <xf numFmtId="3" fontId="5" fillId="0" borderId="0" xfId="6" applyNumberFormat="1" applyFont="1" applyFill="1"/>
    <xf numFmtId="0" fontId="5" fillId="0" borderId="18" xfId="6" applyFont="1" applyFill="1" applyBorder="1"/>
    <xf numFmtId="167" fontId="5" fillId="0" borderId="18" xfId="5" applyNumberFormat="1" applyFont="1" applyFill="1" applyBorder="1"/>
    <xf numFmtId="164" fontId="5" fillId="0" borderId="0" xfId="6" applyNumberFormat="1" applyFont="1" applyFill="1"/>
    <xf numFmtId="0" fontId="9" fillId="0" borderId="2" xfId="6" applyFont="1" applyFill="1" applyBorder="1"/>
    <xf numFmtId="0" fontId="5" fillId="0" borderId="3" xfId="6" applyFont="1" applyFill="1" applyBorder="1"/>
    <xf numFmtId="164" fontId="9" fillId="0" borderId="4" xfId="6" applyNumberFormat="1" applyFont="1" applyFill="1" applyBorder="1"/>
    <xf numFmtId="0" fontId="9" fillId="0" borderId="5" xfId="6" applyFont="1" applyFill="1" applyBorder="1" applyAlignment="1">
      <alignment vertical="center"/>
    </xf>
    <xf numFmtId="0" fontId="5" fillId="0" borderId="0" xfId="6" applyFont="1" applyFill="1" applyBorder="1"/>
    <xf numFmtId="164" fontId="9" fillId="0" borderId="6" xfId="6" applyNumberFormat="1" applyFont="1" applyFill="1" applyBorder="1"/>
    <xf numFmtId="0" fontId="5" fillId="0" borderId="1" xfId="6" applyFont="1" applyFill="1" applyBorder="1" applyAlignment="1">
      <alignment horizontal="center" vertical="center" wrapText="1"/>
    </xf>
    <xf numFmtId="0" fontId="5" fillId="0" borderId="0" xfId="6" applyFont="1" applyFill="1" applyAlignment="1">
      <alignment vertical="center"/>
    </xf>
    <xf numFmtId="0" fontId="9" fillId="0" borderId="7" xfId="6" applyFont="1" applyFill="1" applyBorder="1" applyAlignment="1">
      <alignment vertical="center"/>
    </xf>
    <xf numFmtId="0" fontId="5" fillId="0" borderId="8" xfId="6" applyFont="1" applyFill="1" applyBorder="1" applyAlignment="1">
      <alignment vertical="center"/>
    </xf>
    <xf numFmtId="164" fontId="9" fillId="0" borderId="9" xfId="6" applyNumberFormat="1" applyFont="1" applyFill="1" applyBorder="1" applyAlignment="1">
      <alignment vertical="center"/>
    </xf>
    <xf numFmtId="167" fontId="2" fillId="0" borderId="1" xfId="7" applyNumberFormat="1" applyFont="1" applyFill="1" applyBorder="1"/>
    <xf numFmtId="0" fontId="5" fillId="0" borderId="11" xfId="6" applyFont="1" applyFill="1" applyBorder="1"/>
    <xf numFmtId="164" fontId="5" fillId="0" borderId="12" xfId="6" applyNumberFormat="1" applyFont="1" applyFill="1" applyBorder="1"/>
    <xf numFmtId="167" fontId="2" fillId="0" borderId="0" xfId="7" applyNumberFormat="1" applyFont="1" applyFill="1" applyBorder="1"/>
    <xf numFmtId="167" fontId="2" fillId="0" borderId="0" xfId="7" applyNumberFormat="1" applyFont="1" applyFill="1" applyAlignment="1">
      <alignment vertical="center"/>
    </xf>
    <xf numFmtId="164" fontId="5" fillId="0" borderId="1" xfId="8" applyFont="1" applyFill="1" applyBorder="1" applyAlignment="1">
      <alignment horizontal="center"/>
    </xf>
    <xf numFmtId="43" fontId="2" fillId="0" borderId="0" xfId="1" applyFont="1" applyFill="1"/>
    <xf numFmtId="0" fontId="3" fillId="0" borderId="1" xfId="0" applyFont="1" applyBorder="1"/>
    <xf numFmtId="1" fontId="4" fillId="0" borderId="1" xfId="4" applyNumberFormat="1" applyFont="1" applyBorder="1" applyAlignment="1">
      <alignment horizontal="center"/>
    </xf>
    <xf numFmtId="164" fontId="4" fillId="0" borderId="1" xfId="4" applyFont="1" applyBorder="1"/>
    <xf numFmtId="0" fontId="4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17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/>
    <xf numFmtId="0" fontId="10" fillId="0" borderId="0" xfId="0" applyFont="1" applyAlignment="1">
      <alignment wrapText="1"/>
    </xf>
    <xf numFmtId="0" fontId="5" fillId="3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43" fontId="0" fillId="0" borderId="0" xfId="0" applyNumberFormat="1"/>
    <xf numFmtId="0" fontId="11" fillId="0" borderId="0" xfId="0" applyFont="1"/>
    <xf numFmtId="43" fontId="2" fillId="0" borderId="0" xfId="1" applyFont="1"/>
    <xf numFmtId="168" fontId="2" fillId="0" borderId="0" xfId="1" applyNumberFormat="1" applyFont="1"/>
    <xf numFmtId="10" fontId="2" fillId="0" borderId="0" xfId="5" applyNumberFormat="1" applyFont="1"/>
    <xf numFmtId="169" fontId="2" fillId="0" borderId="0" xfId="1" applyNumberFormat="1" applyFont="1"/>
    <xf numFmtId="165" fontId="2" fillId="0" borderId="0" xfId="1" applyNumberFormat="1" applyFont="1"/>
    <xf numFmtId="166" fontId="5" fillId="0" borderId="0" xfId="6" applyNumberFormat="1" applyFont="1" applyFill="1"/>
    <xf numFmtId="0" fontId="1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12" fillId="0" borderId="1" xfId="0" applyFont="1" applyBorder="1"/>
    <xf numFmtId="3" fontId="12" fillId="0" borderId="1" xfId="0" applyNumberFormat="1" applyFont="1" applyBorder="1"/>
    <xf numFmtId="0" fontId="4" fillId="6" borderId="0" xfId="0" applyFont="1" applyFill="1" applyAlignment="1">
      <alignment horizontal="center"/>
    </xf>
    <xf numFmtId="0" fontId="2" fillId="9" borderId="0" xfId="0" applyFont="1" applyFill="1"/>
    <xf numFmtId="43" fontId="2" fillId="9" borderId="0" xfId="1" applyFont="1" applyFill="1"/>
    <xf numFmtId="0" fontId="4" fillId="7" borderId="0" xfId="0" applyFont="1" applyFill="1"/>
    <xf numFmtId="43" fontId="4" fillId="7" borderId="0" xfId="1" applyFont="1" applyFill="1"/>
    <xf numFmtId="0" fontId="4" fillId="8" borderId="0" xfId="0" applyFont="1" applyFill="1"/>
    <xf numFmtId="43" fontId="4" fillId="8" borderId="0" xfId="1" applyFont="1" applyFill="1"/>
    <xf numFmtId="0" fontId="2" fillId="10" borderId="0" xfId="0" applyFont="1" applyFill="1"/>
    <xf numFmtId="43" fontId="2" fillId="10" borderId="0" xfId="1" applyFont="1" applyFill="1"/>
    <xf numFmtId="168" fontId="2" fillId="10" borderId="0" xfId="1" applyNumberFormat="1" applyFont="1" applyFill="1"/>
    <xf numFmtId="0" fontId="2" fillId="11" borderId="0" xfId="0" applyFont="1" applyFill="1"/>
    <xf numFmtId="168" fontId="2" fillId="11" borderId="0" xfId="1" applyNumberFormat="1" applyFont="1" applyFill="1"/>
    <xf numFmtId="0" fontId="0" fillId="12" borderId="0" xfId="0" applyFill="1"/>
    <xf numFmtId="0" fontId="4" fillId="12" borderId="21" xfId="0" applyFont="1" applyFill="1" applyBorder="1"/>
    <xf numFmtId="0" fontId="12" fillId="12" borderId="21" xfId="0" applyFont="1" applyFill="1" applyBorder="1" applyAlignment="1">
      <alignment horizontal="center"/>
    </xf>
    <xf numFmtId="0" fontId="2" fillId="12" borderId="0" xfId="0" applyFont="1" applyFill="1"/>
    <xf numFmtId="43" fontId="0" fillId="12" borderId="0" xfId="0" applyNumberFormat="1" applyFill="1"/>
    <xf numFmtId="167" fontId="0" fillId="12" borderId="0" xfId="5" applyNumberFormat="1" applyFont="1" applyFill="1"/>
    <xf numFmtId="43" fontId="12" fillId="12" borderId="21" xfId="0" applyNumberFormat="1" applyFont="1" applyFill="1" applyBorder="1"/>
    <xf numFmtId="167" fontId="12" fillId="12" borderId="21" xfId="5" applyNumberFormat="1" applyFont="1" applyFill="1" applyBorder="1"/>
    <xf numFmtId="167" fontId="0" fillId="12" borderId="0" xfId="0" applyNumberForma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/>
    </xf>
    <xf numFmtId="0" fontId="3" fillId="0" borderId="13" xfId="6" applyFont="1" applyFill="1" applyBorder="1" applyAlignment="1">
      <alignment horizontal="center"/>
    </xf>
    <xf numFmtId="0" fontId="3" fillId="0" borderId="15" xfId="6" applyFont="1" applyFill="1" applyBorder="1" applyAlignment="1">
      <alignment horizontal="center"/>
    </xf>
    <xf numFmtId="0" fontId="3" fillId="0" borderId="14" xfId="6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9">
    <cellStyle name="Normal" xfId="0" builtinId="0"/>
    <cellStyle name="Normal 2" xfId="2"/>
    <cellStyle name="Normal 3" xfId="6"/>
    <cellStyle name="Porcentagem" xfId="5" builtinId="5"/>
    <cellStyle name="Porcentagem 2" xfId="3"/>
    <cellStyle name="Porcentagem 3" xfId="7"/>
    <cellStyle name="Vírgula" xfId="1" builtinId="3"/>
    <cellStyle name="Vírgula 2" xfId="4"/>
    <cellStyle name="Vírgula 3" xfId="8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chartsheet" Target="chartsheets/sheet1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Evolução do Peso dos Animais na Fazenda Boqueirão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Machos</c:v>
          </c:tx>
          <c:spPr>
            <a:ln>
              <a:solidFill>
                <a:srgbClr val="000099"/>
              </a:solidFill>
            </a:ln>
          </c:spPr>
          <c:marker>
            <c:symbol val="diamond"/>
            <c:size val="9"/>
            <c:spPr>
              <a:solidFill>
                <a:srgbClr val="000099"/>
              </a:solidFill>
            </c:spPr>
          </c:marker>
          <c:cat>
            <c:numRef>
              <c:f>'GANHO DE PESO'!$A$21:$A$67</c:f>
              <c:numCache>
                <c:formatCode>General</c:formatCode>
                <c:ptCount val="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</c:numCache>
            </c:numRef>
          </c:cat>
          <c:val>
            <c:numRef>
              <c:f>'GANHO DE PESO'!$B$21:$B$57</c:f>
              <c:numCache>
                <c:formatCode>0.0</c:formatCode>
                <c:ptCount val="37"/>
                <c:pt idx="0">
                  <c:v>33</c:v>
                </c:pt>
                <c:pt idx="1">
                  <c:v>50.125</c:v>
                </c:pt>
                <c:pt idx="2">
                  <c:v>67.25</c:v>
                </c:pt>
                <c:pt idx="3">
                  <c:v>84.375</c:v>
                </c:pt>
                <c:pt idx="4">
                  <c:v>101.5</c:v>
                </c:pt>
                <c:pt idx="5">
                  <c:v>118.625</c:v>
                </c:pt>
                <c:pt idx="6">
                  <c:v>135.75</c:v>
                </c:pt>
                <c:pt idx="7">
                  <c:v>152.875</c:v>
                </c:pt>
                <c:pt idx="8">
                  <c:v>170</c:v>
                </c:pt>
                <c:pt idx="9">
                  <c:v>182.5</c:v>
                </c:pt>
                <c:pt idx="10">
                  <c:v>195</c:v>
                </c:pt>
                <c:pt idx="11">
                  <c:v>207.5</c:v>
                </c:pt>
                <c:pt idx="12">
                  <c:v>220</c:v>
                </c:pt>
                <c:pt idx="13">
                  <c:v>230.83333333333334</c:v>
                </c:pt>
                <c:pt idx="14">
                  <c:v>241.66666666666669</c:v>
                </c:pt>
                <c:pt idx="15">
                  <c:v>252.50000000000003</c:v>
                </c:pt>
                <c:pt idx="16">
                  <c:v>263.33333333333337</c:v>
                </c:pt>
                <c:pt idx="17">
                  <c:v>274.16666666666669</c:v>
                </c:pt>
                <c:pt idx="18">
                  <c:v>285</c:v>
                </c:pt>
                <c:pt idx="19">
                  <c:v>295.83333333333331</c:v>
                </c:pt>
                <c:pt idx="20">
                  <c:v>306.66666666666663</c:v>
                </c:pt>
                <c:pt idx="21">
                  <c:v>317.49999999999994</c:v>
                </c:pt>
                <c:pt idx="22">
                  <c:v>328.33333333333326</c:v>
                </c:pt>
                <c:pt idx="23">
                  <c:v>339.16666666666657</c:v>
                </c:pt>
                <c:pt idx="24">
                  <c:v>349.99999999999989</c:v>
                </c:pt>
                <c:pt idx="25">
                  <c:v>361.66666666666657</c:v>
                </c:pt>
                <c:pt idx="26">
                  <c:v>373.33333333333326</c:v>
                </c:pt>
                <c:pt idx="27">
                  <c:v>384.99999999999994</c:v>
                </c:pt>
                <c:pt idx="28">
                  <c:v>396.66666666666663</c:v>
                </c:pt>
                <c:pt idx="29">
                  <c:v>408.33333333333331</c:v>
                </c:pt>
                <c:pt idx="30">
                  <c:v>420</c:v>
                </c:pt>
                <c:pt idx="31">
                  <c:v>430</c:v>
                </c:pt>
                <c:pt idx="32">
                  <c:v>440</c:v>
                </c:pt>
                <c:pt idx="33">
                  <c:v>450</c:v>
                </c:pt>
                <c:pt idx="34">
                  <c:v>460</c:v>
                </c:pt>
                <c:pt idx="35">
                  <c:v>470</c:v>
                </c:pt>
                <c:pt idx="36">
                  <c:v>480</c:v>
                </c:pt>
              </c:numCache>
            </c:numRef>
          </c:val>
          <c:smooth val="0"/>
        </c:ser>
        <c:ser>
          <c:idx val="1"/>
          <c:order val="1"/>
          <c:tx>
            <c:v>Fêmeas</c:v>
          </c:tx>
          <c:cat>
            <c:numRef>
              <c:f>'GANHO DE PESO'!$A$21:$A$67</c:f>
              <c:numCache>
                <c:formatCode>General</c:formatCode>
                <c:ptCount val="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</c:numCache>
            </c:numRef>
          </c:cat>
          <c:val>
            <c:numRef>
              <c:f>'GANHO DE PESO'!$E$21:$E$67</c:f>
              <c:numCache>
                <c:formatCode>_-* #,##0.0_-;\-* #,##0.0_-;_-* "-"??_-;_-@_-</c:formatCode>
                <c:ptCount val="47"/>
                <c:pt idx="0">
                  <c:v>30</c:v>
                </c:pt>
                <c:pt idx="1">
                  <c:v>46.25</c:v>
                </c:pt>
                <c:pt idx="2">
                  <c:v>62.5</c:v>
                </c:pt>
                <c:pt idx="3">
                  <c:v>78.75</c:v>
                </c:pt>
                <c:pt idx="4">
                  <c:v>95</c:v>
                </c:pt>
                <c:pt idx="5">
                  <c:v>111.25</c:v>
                </c:pt>
                <c:pt idx="6">
                  <c:v>127.5</c:v>
                </c:pt>
                <c:pt idx="7">
                  <c:v>143.75</c:v>
                </c:pt>
                <c:pt idx="8">
                  <c:v>160</c:v>
                </c:pt>
                <c:pt idx="9">
                  <c:v>167.5</c:v>
                </c:pt>
                <c:pt idx="10">
                  <c:v>175</c:v>
                </c:pt>
                <c:pt idx="11">
                  <c:v>182.5</c:v>
                </c:pt>
                <c:pt idx="12">
                  <c:v>190</c:v>
                </c:pt>
                <c:pt idx="13">
                  <c:v>197.5</c:v>
                </c:pt>
                <c:pt idx="14">
                  <c:v>205</c:v>
                </c:pt>
                <c:pt idx="15">
                  <c:v>212.5</c:v>
                </c:pt>
                <c:pt idx="16">
                  <c:v>220</c:v>
                </c:pt>
                <c:pt idx="17">
                  <c:v>227.5</c:v>
                </c:pt>
                <c:pt idx="18">
                  <c:v>235</c:v>
                </c:pt>
                <c:pt idx="19">
                  <c:v>242.5</c:v>
                </c:pt>
                <c:pt idx="20">
                  <c:v>250</c:v>
                </c:pt>
                <c:pt idx="21">
                  <c:v>257.5</c:v>
                </c:pt>
                <c:pt idx="22">
                  <c:v>265</c:v>
                </c:pt>
                <c:pt idx="23">
                  <c:v>272.5</c:v>
                </c:pt>
                <c:pt idx="24">
                  <c:v>280</c:v>
                </c:pt>
                <c:pt idx="25">
                  <c:v>285.83333333333331</c:v>
                </c:pt>
                <c:pt idx="26">
                  <c:v>291.66666666666663</c:v>
                </c:pt>
                <c:pt idx="27">
                  <c:v>297.49999999999994</c:v>
                </c:pt>
                <c:pt idx="28">
                  <c:v>303.33333333333326</c:v>
                </c:pt>
                <c:pt idx="29">
                  <c:v>309.16666666666657</c:v>
                </c:pt>
                <c:pt idx="30">
                  <c:v>314.99999999999989</c:v>
                </c:pt>
                <c:pt idx="31">
                  <c:v>320.8333333333332</c:v>
                </c:pt>
                <c:pt idx="32">
                  <c:v>326.66666666666652</c:v>
                </c:pt>
                <c:pt idx="33">
                  <c:v>332.49999999999983</c:v>
                </c:pt>
                <c:pt idx="34">
                  <c:v>338.33333333333314</c:v>
                </c:pt>
                <c:pt idx="35">
                  <c:v>344.16666666666646</c:v>
                </c:pt>
                <c:pt idx="36">
                  <c:v>349.99999999999977</c:v>
                </c:pt>
              </c:numCache>
            </c:numRef>
          </c:val>
          <c:smooth val="0"/>
        </c:ser>
        <c:ser>
          <c:idx val="2"/>
          <c:order val="2"/>
          <c:tx>
            <c:v>Fêmeas Descarte</c:v>
          </c:tx>
          <c:val>
            <c:numRef>
              <c:f>'GANHO DE PESO'!$H$21:$H$67</c:f>
              <c:numCache>
                <c:formatCode>General</c:formatCode>
                <c:ptCount val="47"/>
                <c:pt idx="40" formatCode="_-* #,##0.0_-;\-* #,##0.0_-;_-* &quot;-&quot;??_-;_-@_-">
                  <c:v>350</c:v>
                </c:pt>
                <c:pt idx="41" formatCode="_-* #,##0.0_-;\-* #,##0.0_-;_-* &quot;-&quot;??_-;_-@_-">
                  <c:v>361.66666666666669</c:v>
                </c:pt>
                <c:pt idx="42" formatCode="_-* #,##0.0_-;\-* #,##0.0_-;_-* &quot;-&quot;??_-;_-@_-">
                  <c:v>373.33333333333337</c:v>
                </c:pt>
                <c:pt idx="43" formatCode="_-* #,##0.0_-;\-* #,##0.0_-;_-* &quot;-&quot;??_-;_-@_-">
                  <c:v>385.00000000000006</c:v>
                </c:pt>
                <c:pt idx="44" formatCode="_-* #,##0.0_-;\-* #,##0.0_-;_-* &quot;-&quot;??_-;_-@_-">
                  <c:v>396.66666666666674</c:v>
                </c:pt>
                <c:pt idx="45" formatCode="_-* #,##0.0_-;\-* #,##0.0_-;_-* &quot;-&quot;??_-;_-@_-">
                  <c:v>408.33333333333343</c:v>
                </c:pt>
                <c:pt idx="46" formatCode="_-* #,##0.0_-;\-* #,##0.0_-;_-* &quot;-&quot;??_-;_-@_-">
                  <c:v>420.00000000000011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2736"/>
        <c:axId val="42774912"/>
      </c:lineChart>
      <c:catAx>
        <c:axId val="4277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Idade em Meses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t-BR"/>
          </a:p>
        </c:txPr>
        <c:crossAx val="42774912"/>
        <c:crosses val="autoZero"/>
        <c:auto val="1"/>
        <c:lblAlgn val="ctr"/>
        <c:lblOffset val="100"/>
        <c:noMultiLvlLbl val="0"/>
      </c:catAx>
      <c:valAx>
        <c:axId val="42774912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Peso Vivo em Kg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27727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13031" cy="622696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F9" sqref="F9"/>
    </sheetView>
  </sheetViews>
  <sheetFormatPr defaultColWidth="8.85546875" defaultRowHeight="15" x14ac:dyDescent="0.2"/>
  <cols>
    <col min="1" max="1" width="22" style="1" customWidth="1"/>
    <col min="2" max="2" width="11.42578125" style="1" customWidth="1"/>
    <col min="3" max="3" width="15.7109375" style="1" customWidth="1"/>
    <col min="4" max="4" width="18.7109375" style="1" customWidth="1"/>
    <col min="5" max="5" width="12.5703125" style="1" bestFit="1" customWidth="1"/>
    <col min="6" max="6" width="19.28515625" style="1" customWidth="1"/>
    <col min="7" max="16384" width="8.85546875" style="1"/>
  </cols>
  <sheetData>
    <row r="3" spans="1:6" ht="15.6" x14ac:dyDescent="0.3">
      <c r="A3" s="11" t="s">
        <v>0</v>
      </c>
    </row>
    <row r="5" spans="1:6" ht="47.25" x14ac:dyDescent="0.2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4" t="s">
        <v>14</v>
      </c>
    </row>
    <row r="6" spans="1:6" x14ac:dyDescent="0.25">
      <c r="A6" s="3" t="s">
        <v>7</v>
      </c>
      <c r="B6" s="6">
        <v>25</v>
      </c>
      <c r="C6" s="3">
        <v>6000</v>
      </c>
      <c r="D6" s="3">
        <f>C6*B6</f>
        <v>150000</v>
      </c>
      <c r="E6" s="7" t="s">
        <v>10</v>
      </c>
      <c r="F6" s="3">
        <f>D6*(1.02^10)</f>
        <v>182849.16299921356</v>
      </c>
    </row>
    <row r="7" spans="1:6" x14ac:dyDescent="0.25">
      <c r="A7" s="3" t="s">
        <v>8</v>
      </c>
      <c r="B7" s="6">
        <v>625</v>
      </c>
      <c r="C7" s="3">
        <v>5000</v>
      </c>
      <c r="D7" s="3">
        <f>C7*B7</f>
        <v>3125000</v>
      </c>
      <c r="E7" s="7" t="s">
        <v>13</v>
      </c>
      <c r="F7" s="3">
        <f t="shared" ref="F7:F10" si="0">D7*(1.02^10)</f>
        <v>3809357.5624836162</v>
      </c>
    </row>
    <row r="8" spans="1:6" x14ac:dyDescent="0.2">
      <c r="A8" s="3" t="s">
        <v>6</v>
      </c>
      <c r="B8" s="6">
        <v>925</v>
      </c>
      <c r="C8" s="3">
        <v>6680</v>
      </c>
      <c r="D8" s="3">
        <f>C8*B8</f>
        <v>6179000</v>
      </c>
      <c r="E8" s="7" t="s">
        <v>35</v>
      </c>
      <c r="F8" s="3">
        <f t="shared" si="0"/>
        <v>7532166.5211476041</v>
      </c>
    </row>
    <row r="9" spans="1:6" x14ac:dyDescent="0.25">
      <c r="A9" s="3" t="s">
        <v>7</v>
      </c>
      <c r="B9" s="6">
        <v>463</v>
      </c>
      <c r="C9" s="3">
        <v>6000</v>
      </c>
      <c r="D9" s="3">
        <f>C9*B9</f>
        <v>2778000</v>
      </c>
      <c r="E9" s="7" t="s">
        <v>11</v>
      </c>
      <c r="F9" s="3">
        <f t="shared" si="0"/>
        <v>3386366.4987454354</v>
      </c>
    </row>
    <row r="10" spans="1:6" x14ac:dyDescent="0.2">
      <c r="A10" s="3" t="s">
        <v>7</v>
      </c>
      <c r="B10" s="6">
        <v>462</v>
      </c>
      <c r="C10" s="3">
        <v>6000</v>
      </c>
      <c r="D10" s="3">
        <f>C10*B10</f>
        <v>2772000</v>
      </c>
      <c r="E10" s="7" t="s">
        <v>12</v>
      </c>
      <c r="F10" s="3">
        <f t="shared" si="0"/>
        <v>3379052.5322254668</v>
      </c>
    </row>
    <row r="11" spans="1:6" ht="15.6" x14ac:dyDescent="0.3">
      <c r="A11" s="8" t="s">
        <v>9</v>
      </c>
      <c r="B11" s="9">
        <f>SUM(B6:B10)</f>
        <v>2500</v>
      </c>
      <c r="C11" s="2"/>
      <c r="D11" s="8">
        <f>SUM(D6:D10)</f>
        <v>15004000</v>
      </c>
      <c r="E11" s="2"/>
      <c r="F11" s="8">
        <f>SUM(F6:F10)</f>
        <v>18289792.277601335</v>
      </c>
    </row>
    <row r="13" spans="1:6" x14ac:dyDescent="0.25">
      <c r="D13" s="10"/>
      <c r="E13" s="10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A3" sqref="A3"/>
    </sheetView>
  </sheetViews>
  <sheetFormatPr defaultRowHeight="15" x14ac:dyDescent="0.25"/>
  <cols>
    <col min="1" max="1" width="47.28515625" bestFit="1" customWidth="1"/>
    <col min="2" max="2" width="17.85546875" customWidth="1"/>
  </cols>
  <sheetData>
    <row r="2" spans="1:4" x14ac:dyDescent="0.25">
      <c r="A2" s="136"/>
      <c r="B2" s="136"/>
      <c r="C2" s="136"/>
      <c r="D2" s="136"/>
    </row>
    <row r="3" spans="1:4" x14ac:dyDescent="0.25">
      <c r="A3" s="136"/>
      <c r="B3" s="136"/>
      <c r="C3" s="136"/>
      <c r="D3" s="136"/>
    </row>
    <row r="4" spans="1:4" ht="16.5" thickBot="1" x14ac:dyDescent="0.3">
      <c r="A4" s="137" t="s">
        <v>267</v>
      </c>
      <c r="B4" s="138" t="s">
        <v>233</v>
      </c>
      <c r="C4" s="138" t="s">
        <v>284</v>
      </c>
      <c r="D4" s="136"/>
    </row>
    <row r="5" spans="1:4" ht="15.75" x14ac:dyDescent="0.25">
      <c r="A5" s="139" t="s">
        <v>244</v>
      </c>
      <c r="B5" s="140">
        <f>'FLUXO DIAGNOSTICO'!H21</f>
        <v>111600</v>
      </c>
      <c r="C5" s="141">
        <f>B5/$B$18</f>
        <v>0.28206049742733535</v>
      </c>
      <c r="D5" s="136"/>
    </row>
    <row r="6" spans="1:4" ht="15.75" x14ac:dyDescent="0.25">
      <c r="A6" s="139" t="s">
        <v>245</v>
      </c>
      <c r="B6" s="140">
        <f>'FLUXO DIAGNOSTICO'!H22</f>
        <v>75664.799999999959</v>
      </c>
      <c r="C6" s="141">
        <f t="shared" ref="C6:C18" si="0">B6/$B$18</f>
        <v>0.19123701725573328</v>
      </c>
      <c r="D6" s="136"/>
    </row>
    <row r="7" spans="1:4" ht="15.75" x14ac:dyDescent="0.25">
      <c r="A7" s="139" t="s">
        <v>269</v>
      </c>
      <c r="B7" s="140">
        <f>'FLUXO DIAGNOSTICO'!H23</f>
        <v>32114</v>
      </c>
      <c r="C7" s="141">
        <f t="shared" si="0"/>
        <v>8.1165688300909034E-2</v>
      </c>
      <c r="D7" s="136"/>
    </row>
    <row r="8" spans="1:4" ht="15.75" x14ac:dyDescent="0.25">
      <c r="A8" s="139" t="s">
        <v>272</v>
      </c>
      <c r="B8" s="140">
        <f>'FLUXO DIAGNOSTICO'!H24</f>
        <v>23800</v>
      </c>
      <c r="C8" s="141">
        <f t="shared" si="0"/>
        <v>6.015268672733496E-2</v>
      </c>
      <c r="D8" s="136"/>
    </row>
    <row r="9" spans="1:4" ht="15.75" x14ac:dyDescent="0.25">
      <c r="A9" s="139" t="s">
        <v>268</v>
      </c>
      <c r="B9" s="140">
        <f>'FLUXO DIAGNOSTICO'!H25</f>
        <v>13650</v>
      </c>
      <c r="C9" s="141">
        <f t="shared" si="0"/>
        <v>3.4499335034795048E-2</v>
      </c>
      <c r="D9" s="136"/>
    </row>
    <row r="10" spans="1:4" ht="15.75" x14ac:dyDescent="0.25">
      <c r="A10" s="139" t="s">
        <v>273</v>
      </c>
      <c r="B10" s="140">
        <f>'FLUXO DIAGNOSTICO'!H26</f>
        <v>19994</v>
      </c>
      <c r="C10" s="141">
        <f t="shared" si="0"/>
        <v>5.0533311698585513E-2</v>
      </c>
      <c r="D10" s="136"/>
    </row>
    <row r="11" spans="1:4" ht="15.75" x14ac:dyDescent="0.25">
      <c r="A11" s="139" t="s">
        <v>274</v>
      </c>
      <c r="B11" s="140">
        <f>'FLUXO DIAGNOSTICO'!H27</f>
        <v>9572</v>
      </c>
      <c r="C11" s="141">
        <f t="shared" si="0"/>
        <v>2.4192500729161775E-2</v>
      </c>
      <c r="D11" s="136"/>
    </row>
    <row r="12" spans="1:4" ht="15.75" x14ac:dyDescent="0.25">
      <c r="A12" s="139" t="s">
        <v>246</v>
      </c>
      <c r="B12" s="140">
        <f>'FLUXO DIAGNOSTICO'!H28</f>
        <v>3384</v>
      </c>
      <c r="C12" s="141">
        <f t="shared" si="0"/>
        <v>8.5528021800546847E-3</v>
      </c>
      <c r="D12" s="136"/>
    </row>
    <row r="13" spans="1:4" ht="15.75" x14ac:dyDescent="0.25">
      <c r="A13" s="139" t="s">
        <v>275</v>
      </c>
      <c r="B13" s="140">
        <f>'FLUXO DIAGNOSTICO'!H29</f>
        <v>1836</v>
      </c>
      <c r="C13" s="141">
        <f t="shared" si="0"/>
        <v>4.6403501189658395E-3</v>
      </c>
      <c r="D13" s="136"/>
    </row>
    <row r="14" spans="1:4" ht="15.75" x14ac:dyDescent="0.25">
      <c r="A14" s="139" t="s">
        <v>276</v>
      </c>
      <c r="B14" s="140">
        <f>'FLUXO DIAGNOSTICO'!H30</f>
        <v>6385</v>
      </c>
      <c r="C14" s="141">
        <f t="shared" si="0"/>
        <v>1.613760104008545E-2</v>
      </c>
      <c r="D14" s="136"/>
    </row>
    <row r="15" spans="1:4" ht="15.75" x14ac:dyDescent="0.25">
      <c r="A15" s="139" t="s">
        <v>277</v>
      </c>
      <c r="B15" s="140">
        <f>'FLUXO DIAGNOSTICO'!H31</f>
        <v>52263</v>
      </c>
      <c r="C15" s="141">
        <f t="shared" si="0"/>
        <v>0.13209075069036583</v>
      </c>
      <c r="D15" s="136"/>
    </row>
    <row r="16" spans="1:4" ht="15.75" x14ac:dyDescent="0.25">
      <c r="A16" s="139" t="s">
        <v>247</v>
      </c>
      <c r="B16" s="140">
        <f>'FLUXO DIAGNOSTICO'!H32</f>
        <v>31397</v>
      </c>
      <c r="C16" s="141">
        <f t="shared" si="0"/>
        <v>7.9353525427652755E-2</v>
      </c>
      <c r="D16" s="136"/>
    </row>
    <row r="17" spans="1:4" ht="15.75" x14ac:dyDescent="0.25">
      <c r="A17" s="139" t="s">
        <v>254</v>
      </c>
      <c r="B17" s="140">
        <f>'FLUXO DIAGNOSTICO'!H33</f>
        <v>14000</v>
      </c>
      <c r="C17" s="141">
        <f t="shared" si="0"/>
        <v>3.5383933369020563E-2</v>
      </c>
      <c r="D17" s="136"/>
    </row>
    <row r="18" spans="1:4" ht="16.5" thickBot="1" x14ac:dyDescent="0.3">
      <c r="A18" s="137" t="s">
        <v>285</v>
      </c>
      <c r="B18" s="142">
        <f>SUM(B5:B17)</f>
        <v>395659.79999999993</v>
      </c>
      <c r="C18" s="143">
        <f t="shared" si="0"/>
        <v>1</v>
      </c>
      <c r="D18" s="144"/>
    </row>
    <row r="19" spans="1:4" x14ac:dyDescent="0.25">
      <c r="A19" s="136"/>
      <c r="B19" s="136"/>
      <c r="C19" s="136"/>
      <c r="D19" s="13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topLeftCell="A23" workbookViewId="0">
      <selection activeCell="A31" sqref="A31"/>
    </sheetView>
  </sheetViews>
  <sheetFormatPr defaultColWidth="8.85546875" defaultRowHeight="15" x14ac:dyDescent="0.2"/>
  <cols>
    <col min="1" max="1" width="29.7109375" style="1" customWidth="1"/>
    <col min="2" max="2" width="23" style="1" bestFit="1" customWidth="1"/>
    <col min="3" max="3" width="15.7109375" style="1" customWidth="1"/>
    <col min="4" max="4" width="18.7109375" style="1" customWidth="1"/>
    <col min="5" max="5" width="17" style="1" bestFit="1" customWidth="1"/>
    <col min="6" max="6" width="15.7109375" style="1" bestFit="1" customWidth="1"/>
    <col min="7" max="7" width="13.85546875" style="1" customWidth="1"/>
    <col min="8" max="8" width="10.28515625" style="1" bestFit="1" customWidth="1"/>
    <col min="9" max="16384" width="8.85546875" style="1"/>
  </cols>
  <sheetData>
    <row r="2" spans="1:6" ht="15.75" x14ac:dyDescent="0.25">
      <c r="A2" s="11" t="s">
        <v>15</v>
      </c>
    </row>
    <row r="3" spans="1:6" x14ac:dyDescent="0.25">
      <c r="D3" s="10"/>
    </row>
    <row r="4" spans="1:6" ht="15.6" x14ac:dyDescent="0.3">
      <c r="A4" s="11" t="s">
        <v>31</v>
      </c>
    </row>
    <row r="6" spans="1:6" ht="47.25" x14ac:dyDescent="0.2">
      <c r="A6" s="4" t="s">
        <v>1</v>
      </c>
      <c r="B6" s="4" t="s">
        <v>2</v>
      </c>
      <c r="C6" s="4" t="s">
        <v>3</v>
      </c>
      <c r="D6" s="4" t="s">
        <v>4</v>
      </c>
      <c r="E6" s="5" t="s">
        <v>17</v>
      </c>
      <c r="F6" s="4" t="s">
        <v>14</v>
      </c>
    </row>
    <row r="7" spans="1:6" x14ac:dyDescent="0.2">
      <c r="A7" s="3" t="s">
        <v>32</v>
      </c>
      <c r="B7" s="6">
        <v>925</v>
      </c>
      <c r="C7" s="3">
        <v>900</v>
      </c>
      <c r="D7" s="3">
        <f>C7*B7</f>
        <v>832500</v>
      </c>
      <c r="E7" s="13">
        <v>12</v>
      </c>
      <c r="F7" s="3">
        <f>D7*0.15</f>
        <v>124875</v>
      </c>
    </row>
    <row r="8" spans="1:6" x14ac:dyDescent="0.25">
      <c r="A8" s="3" t="s">
        <v>34</v>
      </c>
      <c r="B8" s="6">
        <v>463</v>
      </c>
      <c r="C8" s="3">
        <v>1000</v>
      </c>
      <c r="D8" s="3">
        <f>C8*B8</f>
        <v>463000</v>
      </c>
      <c r="E8" s="13">
        <v>10</v>
      </c>
      <c r="F8" s="3">
        <v>0</v>
      </c>
    </row>
    <row r="9" spans="1:6" x14ac:dyDescent="0.2">
      <c r="A9" s="3" t="s">
        <v>33</v>
      </c>
      <c r="B9" s="6">
        <v>462</v>
      </c>
      <c r="C9" s="3">
        <v>800</v>
      </c>
      <c r="D9" s="3">
        <f>C9*B9</f>
        <v>369600</v>
      </c>
      <c r="E9" s="13">
        <v>15</v>
      </c>
      <c r="F9" s="3">
        <f>D9*(1/3)</f>
        <v>123200</v>
      </c>
    </row>
    <row r="10" spans="1:6" ht="15.6" x14ac:dyDescent="0.3">
      <c r="A10" s="8" t="s">
        <v>9</v>
      </c>
      <c r="B10" s="9">
        <f>SUM(B7:B9)</f>
        <v>1850</v>
      </c>
      <c r="C10" s="2"/>
      <c r="D10" s="8">
        <f>SUM(D7:D9)</f>
        <v>1665100</v>
      </c>
      <c r="E10" s="8"/>
      <c r="F10" s="8">
        <f>SUM(F7:F9)</f>
        <v>248075</v>
      </c>
    </row>
    <row r="13" spans="1:6" ht="15.75" x14ac:dyDescent="0.25">
      <c r="A13" s="11" t="s">
        <v>30</v>
      </c>
    </row>
    <row r="15" spans="1:6" ht="47.25" x14ac:dyDescent="0.2">
      <c r="A15" s="4" t="s">
        <v>1</v>
      </c>
      <c r="B15" s="4" t="s">
        <v>18</v>
      </c>
      <c r="C15" s="4" t="s">
        <v>16</v>
      </c>
      <c r="D15" s="4" t="s">
        <v>4</v>
      </c>
      <c r="E15" s="5" t="s">
        <v>17</v>
      </c>
      <c r="F15" s="5" t="s">
        <v>19</v>
      </c>
    </row>
    <row r="16" spans="1:6" ht="17.45" x14ac:dyDescent="0.25">
      <c r="A16" s="3" t="s">
        <v>20</v>
      </c>
      <c r="B16" s="12" t="s">
        <v>36</v>
      </c>
      <c r="C16" s="12">
        <v>1</v>
      </c>
      <c r="D16" s="3">
        <v>480000</v>
      </c>
      <c r="E16" s="13">
        <v>30</v>
      </c>
      <c r="F16" s="3">
        <v>450000</v>
      </c>
    </row>
    <row r="17" spans="1:6" ht="18" x14ac:dyDescent="0.2">
      <c r="A17" s="3" t="s">
        <v>21</v>
      </c>
      <c r="B17" s="12" t="s">
        <v>37</v>
      </c>
      <c r="C17" s="12">
        <v>3</v>
      </c>
      <c r="D17" s="3">
        <v>90000</v>
      </c>
      <c r="E17" s="13">
        <v>20</v>
      </c>
      <c r="F17" s="3">
        <v>50000</v>
      </c>
    </row>
    <row r="18" spans="1:6" ht="18" x14ac:dyDescent="0.2">
      <c r="A18" s="3" t="s">
        <v>22</v>
      </c>
      <c r="B18" s="12" t="s">
        <v>39</v>
      </c>
      <c r="C18" s="12">
        <v>1</v>
      </c>
      <c r="D18" s="3">
        <v>70000</v>
      </c>
      <c r="E18" s="13">
        <v>25</v>
      </c>
      <c r="F18" s="3">
        <v>50000</v>
      </c>
    </row>
    <row r="19" spans="1:6" x14ac:dyDescent="0.25">
      <c r="A19" s="3" t="s">
        <v>23</v>
      </c>
      <c r="B19" s="12" t="s">
        <v>40</v>
      </c>
      <c r="C19" s="12" t="s">
        <v>38</v>
      </c>
      <c r="D19" s="3">
        <v>280000</v>
      </c>
      <c r="E19" s="13">
        <v>15</v>
      </c>
      <c r="F19" s="3">
        <v>120000</v>
      </c>
    </row>
    <row r="20" spans="1:6" x14ac:dyDescent="0.25">
      <c r="A20" s="3" t="s">
        <v>24</v>
      </c>
      <c r="B20" s="12" t="s">
        <v>41</v>
      </c>
      <c r="C20" s="12">
        <v>65</v>
      </c>
      <c r="D20" s="3">
        <v>21000</v>
      </c>
      <c r="E20" s="13">
        <v>25</v>
      </c>
      <c r="F20" s="3">
        <v>18000</v>
      </c>
    </row>
    <row r="21" spans="1:6" ht="18" x14ac:dyDescent="0.2">
      <c r="A21" s="3" t="s">
        <v>25</v>
      </c>
      <c r="B21" s="12" t="s">
        <v>42</v>
      </c>
      <c r="C21" s="12">
        <v>1</v>
      </c>
      <c r="D21" s="3">
        <v>60000</v>
      </c>
      <c r="E21" s="13">
        <v>10</v>
      </c>
      <c r="F21" s="3">
        <v>20000</v>
      </c>
    </row>
    <row r="22" spans="1:6" x14ac:dyDescent="0.2">
      <c r="A22" s="3" t="s">
        <v>26</v>
      </c>
      <c r="B22" s="12" t="s">
        <v>43</v>
      </c>
      <c r="C22" s="12">
        <v>30</v>
      </c>
      <c r="D22" s="3">
        <v>60000</v>
      </c>
      <c r="E22" s="13">
        <v>15</v>
      </c>
      <c r="F22" s="3">
        <v>20000</v>
      </c>
    </row>
    <row r="23" spans="1:6" x14ac:dyDescent="0.2">
      <c r="A23" s="3" t="s">
        <v>27</v>
      </c>
      <c r="B23" s="12" t="s">
        <v>44</v>
      </c>
      <c r="C23" s="12">
        <v>9</v>
      </c>
      <c r="D23" s="3">
        <v>18000</v>
      </c>
      <c r="E23" s="13">
        <v>15</v>
      </c>
      <c r="F23" s="3">
        <v>9000</v>
      </c>
    </row>
    <row r="24" spans="1:6" ht="18" x14ac:dyDescent="0.2">
      <c r="A24" s="3" t="s">
        <v>22</v>
      </c>
      <c r="B24" s="12" t="s">
        <v>45</v>
      </c>
      <c r="C24" s="12">
        <v>2</v>
      </c>
      <c r="D24" s="3">
        <v>50000</v>
      </c>
      <c r="E24" s="13">
        <v>10</v>
      </c>
      <c r="F24" s="3">
        <v>10000</v>
      </c>
    </row>
    <row r="25" spans="1:6" ht="18" x14ac:dyDescent="0.2">
      <c r="A25" s="3" t="s">
        <v>28</v>
      </c>
      <c r="B25" s="12" t="s">
        <v>46</v>
      </c>
      <c r="C25" s="12">
        <v>1</v>
      </c>
      <c r="D25" s="3">
        <v>36000</v>
      </c>
      <c r="E25" s="13">
        <v>20</v>
      </c>
      <c r="F25" s="3">
        <v>12000</v>
      </c>
    </row>
    <row r="26" spans="1:6" x14ac:dyDescent="0.2">
      <c r="A26" s="3" t="s">
        <v>29</v>
      </c>
      <c r="B26" s="12" t="s">
        <v>47</v>
      </c>
      <c r="C26" s="12">
        <v>1</v>
      </c>
      <c r="D26" s="3">
        <v>25000</v>
      </c>
      <c r="E26" s="13">
        <v>15</v>
      </c>
      <c r="F26" s="3">
        <v>15000</v>
      </c>
    </row>
    <row r="27" spans="1:6" ht="15.75" x14ac:dyDescent="0.25">
      <c r="A27" s="8" t="s">
        <v>9</v>
      </c>
      <c r="B27" s="9"/>
      <c r="C27" s="2"/>
      <c r="D27" s="8">
        <f>SUM(D16:D26)</f>
        <v>1190000</v>
      </c>
      <c r="E27" s="8"/>
      <c r="F27" s="8">
        <f>SUM(F16:F26)</f>
        <v>774000</v>
      </c>
    </row>
    <row r="30" spans="1:6" ht="15.75" x14ac:dyDescent="0.25">
      <c r="A30" s="11" t="s">
        <v>48</v>
      </c>
    </row>
    <row r="32" spans="1:6" ht="47.25" x14ac:dyDescent="0.2">
      <c r="A32" s="4" t="s">
        <v>1</v>
      </c>
      <c r="B32" s="4" t="s">
        <v>18</v>
      </c>
      <c r="C32" s="4" t="s">
        <v>16</v>
      </c>
      <c r="D32" s="4" t="s">
        <v>4</v>
      </c>
      <c r="E32" s="5" t="s">
        <v>17</v>
      </c>
      <c r="F32" s="5" t="s">
        <v>19</v>
      </c>
    </row>
    <row r="33" spans="1:8" x14ac:dyDescent="0.2">
      <c r="A33" s="3" t="s">
        <v>255</v>
      </c>
      <c r="B33" s="12" t="s">
        <v>256</v>
      </c>
      <c r="C33" s="12">
        <v>1</v>
      </c>
      <c r="D33" s="3">
        <v>100000</v>
      </c>
      <c r="E33" s="13">
        <v>15</v>
      </c>
      <c r="F33" s="3">
        <v>25000</v>
      </c>
    </row>
    <row r="34" spans="1:8" x14ac:dyDescent="0.2">
      <c r="A34" s="3" t="s">
        <v>49</v>
      </c>
      <c r="B34" s="12" t="s">
        <v>50</v>
      </c>
      <c r="C34" s="12">
        <v>1</v>
      </c>
      <c r="D34" s="3">
        <v>70000</v>
      </c>
      <c r="E34" s="13">
        <v>5</v>
      </c>
      <c r="F34" s="3">
        <v>30000</v>
      </c>
    </row>
    <row r="35" spans="1:8" x14ac:dyDescent="0.2">
      <c r="A35" s="3" t="s">
        <v>51</v>
      </c>
      <c r="B35" s="12" t="s">
        <v>52</v>
      </c>
      <c r="C35" s="12">
        <v>1</v>
      </c>
      <c r="D35" s="3">
        <v>12000</v>
      </c>
      <c r="E35" s="13">
        <v>12</v>
      </c>
      <c r="F35" s="3">
        <v>3000</v>
      </c>
    </row>
    <row r="36" spans="1:8" x14ac:dyDescent="0.2">
      <c r="A36" s="3" t="s">
        <v>53</v>
      </c>
      <c r="B36" s="12" t="s">
        <v>54</v>
      </c>
      <c r="C36" s="12">
        <v>1</v>
      </c>
      <c r="D36" s="3">
        <v>6000</v>
      </c>
      <c r="E36" s="13">
        <v>13</v>
      </c>
      <c r="F36" s="3">
        <v>800</v>
      </c>
    </row>
    <row r="37" spans="1:8" x14ac:dyDescent="0.2">
      <c r="A37" s="3" t="s">
        <v>55</v>
      </c>
      <c r="B37" s="12" t="s">
        <v>56</v>
      </c>
      <c r="C37" s="12">
        <v>1</v>
      </c>
      <c r="D37" s="3">
        <v>15000</v>
      </c>
      <c r="E37" s="13">
        <v>10</v>
      </c>
      <c r="F37" s="3">
        <v>1000</v>
      </c>
    </row>
    <row r="38" spans="1:8" x14ac:dyDescent="0.2">
      <c r="A38" s="3" t="s">
        <v>57</v>
      </c>
      <c r="B38" s="12"/>
      <c r="C38" s="12">
        <v>1</v>
      </c>
      <c r="D38" s="3">
        <v>20000</v>
      </c>
      <c r="E38" s="13">
        <v>10</v>
      </c>
      <c r="F38" s="3">
        <v>2000</v>
      </c>
    </row>
    <row r="39" spans="1:8" x14ac:dyDescent="0.2">
      <c r="A39" s="3" t="s">
        <v>58</v>
      </c>
      <c r="B39" s="12"/>
      <c r="C39" s="12">
        <v>1</v>
      </c>
      <c r="D39" s="3">
        <v>15000</v>
      </c>
      <c r="E39" s="13">
        <v>10</v>
      </c>
      <c r="F39" s="3">
        <v>2000</v>
      </c>
    </row>
    <row r="40" spans="1:8" x14ac:dyDescent="0.2">
      <c r="A40" s="3" t="s">
        <v>59</v>
      </c>
      <c r="B40" s="12"/>
      <c r="C40" s="12">
        <v>1</v>
      </c>
      <c r="D40" s="3">
        <v>20000</v>
      </c>
      <c r="E40" s="13">
        <v>15</v>
      </c>
      <c r="F40" s="3">
        <v>4000</v>
      </c>
    </row>
    <row r="41" spans="1:8" x14ac:dyDescent="0.2">
      <c r="A41" s="3" t="s">
        <v>51</v>
      </c>
      <c r="B41" s="12" t="s">
        <v>60</v>
      </c>
      <c r="C41" s="12">
        <v>1</v>
      </c>
      <c r="D41" s="3">
        <v>15000</v>
      </c>
      <c r="E41" s="13">
        <v>10</v>
      </c>
      <c r="F41" s="3">
        <v>2000</v>
      </c>
    </row>
    <row r="42" spans="1:8" ht="15.75" x14ac:dyDescent="0.25">
      <c r="A42" s="8" t="s">
        <v>9</v>
      </c>
      <c r="B42" s="9"/>
      <c r="C42" s="2"/>
      <c r="D42" s="8">
        <f>SUM(D33:D41)</f>
        <v>273000</v>
      </c>
      <c r="E42" s="8"/>
      <c r="F42" s="8">
        <f>SUM(F33:F41)</f>
        <v>69800</v>
      </c>
    </row>
    <row r="45" spans="1:8" ht="15.75" x14ac:dyDescent="0.25">
      <c r="A45" s="11" t="s">
        <v>73</v>
      </c>
    </row>
    <row r="47" spans="1:8" x14ac:dyDescent="0.2">
      <c r="A47" s="145" t="s">
        <v>61</v>
      </c>
      <c r="B47" s="146" t="s">
        <v>112</v>
      </c>
      <c r="C47" s="146"/>
      <c r="D47" s="146"/>
      <c r="E47" s="146" t="s">
        <v>62</v>
      </c>
      <c r="F47" s="146"/>
      <c r="G47" s="146"/>
      <c r="H47" s="14" t="s">
        <v>63</v>
      </c>
    </row>
    <row r="48" spans="1:8" ht="30" x14ac:dyDescent="0.2">
      <c r="A48" s="145"/>
      <c r="B48" s="15" t="s">
        <v>64</v>
      </c>
      <c r="C48" s="15" t="s">
        <v>65</v>
      </c>
      <c r="D48" s="15" t="s">
        <v>66</v>
      </c>
      <c r="E48" s="15" t="s">
        <v>64</v>
      </c>
      <c r="F48" s="15" t="s">
        <v>65</v>
      </c>
      <c r="G48" s="15" t="s">
        <v>66</v>
      </c>
      <c r="H48" s="15" t="s">
        <v>64</v>
      </c>
    </row>
    <row r="49" spans="1:8" ht="15.75" x14ac:dyDescent="0.25">
      <c r="A49" s="16" t="s">
        <v>67</v>
      </c>
      <c r="B49" s="17">
        <f>'EVOLUÇÃO DO REBANHO'!B34</f>
        <v>180</v>
      </c>
      <c r="C49" s="18">
        <f>'EVOLUÇÃO DO REBANHO'!C34</f>
        <v>650</v>
      </c>
      <c r="D49" s="19">
        <f>'EVOLUÇÃO DO REBANHO'!D34</f>
        <v>117000</v>
      </c>
      <c r="E49" s="17">
        <f>'EVOLUÇÃO DO REBANHO'!E34</f>
        <v>0</v>
      </c>
      <c r="F49" s="19">
        <f>'EVOLUÇÃO DO REBANHO'!F34</f>
        <v>650</v>
      </c>
      <c r="G49" s="19">
        <f>'EVOLUÇÃO DO REBANHO'!G34</f>
        <v>0</v>
      </c>
      <c r="H49" s="20">
        <f>'EVOLUÇÃO DO REBANHO'!H34</f>
        <v>180</v>
      </c>
    </row>
    <row r="50" spans="1:8" ht="15.75" x14ac:dyDescent="0.25">
      <c r="A50" s="16" t="s">
        <v>68</v>
      </c>
      <c r="B50" s="17">
        <f>'EVOLUÇÃO DO REBANHO'!B35</f>
        <v>212</v>
      </c>
      <c r="C50" s="18">
        <f>'EVOLUÇÃO DO REBANHO'!C35</f>
        <v>800</v>
      </c>
      <c r="D50" s="19">
        <f>'EVOLUÇÃO DO REBANHO'!D35</f>
        <v>169600</v>
      </c>
      <c r="E50" s="17">
        <f>'EVOLUÇÃO DO REBANHO'!E35</f>
        <v>0</v>
      </c>
      <c r="F50" s="19">
        <f>'EVOLUÇÃO DO REBANHO'!F35</f>
        <v>800</v>
      </c>
      <c r="G50" s="19">
        <f>'EVOLUÇÃO DO REBANHO'!G35</f>
        <v>0</v>
      </c>
      <c r="H50" s="20">
        <f>'EVOLUÇÃO DO REBANHO'!H35</f>
        <v>212</v>
      </c>
    </row>
    <row r="51" spans="1:8" ht="15.75" x14ac:dyDescent="0.25">
      <c r="A51" s="16" t="s">
        <v>69</v>
      </c>
      <c r="B51" s="17">
        <f>'EVOLUÇÃO DO REBANHO'!B36</f>
        <v>209</v>
      </c>
      <c r="C51" s="18">
        <f>'EVOLUÇÃO DO REBANHO'!C36</f>
        <v>950</v>
      </c>
      <c r="D51" s="19">
        <f>'EVOLUÇÃO DO REBANHO'!D36</f>
        <v>198550</v>
      </c>
      <c r="E51" s="17">
        <f>'EVOLUÇÃO DO REBANHO'!E36</f>
        <v>0</v>
      </c>
      <c r="F51" s="19">
        <f>'EVOLUÇÃO DO REBANHO'!F36</f>
        <v>950</v>
      </c>
      <c r="G51" s="19">
        <f>'EVOLUÇÃO DO REBANHO'!G36</f>
        <v>0</v>
      </c>
      <c r="H51" s="20">
        <f>'EVOLUÇÃO DO REBANHO'!H36</f>
        <v>209</v>
      </c>
    </row>
    <row r="52" spans="1:8" ht="15.75" x14ac:dyDescent="0.25">
      <c r="A52" s="16" t="s">
        <v>160</v>
      </c>
      <c r="B52" s="17">
        <f>'EVOLUÇÃO DO REBANHO'!B37</f>
        <v>504</v>
      </c>
      <c r="C52" s="18">
        <f>'EVOLUÇÃO DO REBANHO'!C37</f>
        <v>1250</v>
      </c>
      <c r="D52" s="19">
        <f>'EVOLUÇÃO DO REBANHO'!D37</f>
        <v>630000</v>
      </c>
      <c r="E52" s="17">
        <f>'EVOLUÇÃO DO REBANHO'!E37</f>
        <v>99</v>
      </c>
      <c r="F52" s="19">
        <f>'EVOLUÇÃO DO REBANHO'!F37</f>
        <v>1250</v>
      </c>
      <c r="G52" s="19">
        <f>'EVOLUÇÃO DO REBANHO'!G37</f>
        <v>123750</v>
      </c>
      <c r="H52" s="20">
        <f>'EVOLUÇÃO DO REBANHO'!H37</f>
        <v>603</v>
      </c>
    </row>
    <row r="53" spans="1:8" ht="15.75" x14ac:dyDescent="0.25">
      <c r="A53" s="16" t="s">
        <v>70</v>
      </c>
      <c r="B53" s="17">
        <f>'EVOLUÇÃO DO REBANHO'!B38</f>
        <v>180</v>
      </c>
      <c r="C53" s="18">
        <f>'EVOLUÇÃO DO REBANHO'!C38</f>
        <v>800</v>
      </c>
      <c r="D53" s="19">
        <f>'EVOLUÇÃO DO REBANHO'!D38</f>
        <v>144000</v>
      </c>
      <c r="E53" s="17">
        <f>'EVOLUÇÃO DO REBANHO'!E38</f>
        <v>0</v>
      </c>
      <c r="F53" s="19">
        <f>'EVOLUÇÃO DO REBANHO'!F38</f>
        <v>800</v>
      </c>
      <c r="G53" s="19">
        <f>'EVOLUÇÃO DO REBANHO'!G38</f>
        <v>0</v>
      </c>
      <c r="H53" s="20">
        <f>'EVOLUÇÃO DO REBANHO'!H38</f>
        <v>180</v>
      </c>
    </row>
    <row r="54" spans="1:8" ht="15.75" x14ac:dyDescent="0.25">
      <c r="A54" s="16" t="s">
        <v>71</v>
      </c>
      <c r="B54" s="17">
        <f>'EVOLUÇÃO DO REBANHO'!B39</f>
        <v>203</v>
      </c>
      <c r="C54" s="18">
        <f>'EVOLUÇÃO DO REBANHO'!C39</f>
        <v>1050</v>
      </c>
      <c r="D54" s="19">
        <f>'EVOLUÇÃO DO REBANHO'!D39</f>
        <v>213150</v>
      </c>
      <c r="E54" s="17">
        <f>'EVOLUÇÃO DO REBANHO'!E39</f>
        <v>0</v>
      </c>
      <c r="F54" s="19">
        <f>'EVOLUÇÃO DO REBANHO'!F39</f>
        <v>1050</v>
      </c>
      <c r="G54" s="19">
        <f>'EVOLUÇÃO DO REBANHO'!G39</f>
        <v>0</v>
      </c>
      <c r="H54" s="20">
        <f>'EVOLUÇÃO DO REBANHO'!H39</f>
        <v>203</v>
      </c>
    </row>
    <row r="55" spans="1:8" ht="15.75" x14ac:dyDescent="0.25">
      <c r="A55" s="16" t="s">
        <v>74</v>
      </c>
      <c r="B55" s="17">
        <f>'EVOLUÇÃO DO REBANHO'!B40</f>
        <v>2</v>
      </c>
      <c r="C55" s="18">
        <f>'EVOLUÇÃO DO REBANHO'!C40</f>
        <v>1650</v>
      </c>
      <c r="D55" s="19">
        <f>'EVOLUÇÃO DO REBANHO'!D40</f>
        <v>3300</v>
      </c>
      <c r="E55" s="17">
        <f>'EVOLUÇÃO DO REBANHO'!E40</f>
        <v>198</v>
      </c>
      <c r="F55" s="19">
        <f>'EVOLUÇÃO DO REBANHO'!F40</f>
        <v>1650</v>
      </c>
      <c r="G55" s="19">
        <f>'EVOLUÇÃO DO REBANHO'!G40</f>
        <v>326700</v>
      </c>
      <c r="H55" s="20">
        <f>'EVOLUÇÃO DO REBANHO'!H40</f>
        <v>200</v>
      </c>
    </row>
    <row r="56" spans="1:8" ht="15.75" x14ac:dyDescent="0.25">
      <c r="A56" s="16" t="s">
        <v>72</v>
      </c>
      <c r="B56" s="17">
        <f>'EVOLUÇÃO DO REBANHO'!B41</f>
        <v>20</v>
      </c>
      <c r="C56" s="18">
        <f>'EVOLUÇÃO DO REBANHO'!C41</f>
        <v>4000</v>
      </c>
      <c r="D56" s="19">
        <f>'EVOLUÇÃO DO REBANHO'!D41</f>
        <v>80000</v>
      </c>
      <c r="E56" s="17">
        <f>'EVOLUÇÃO DO REBANHO'!E41</f>
        <v>0</v>
      </c>
      <c r="F56" s="19">
        <f>'EVOLUÇÃO DO REBANHO'!F41</f>
        <v>4000</v>
      </c>
      <c r="G56" s="19">
        <f>'EVOLUÇÃO DO REBANHO'!G41</f>
        <v>0</v>
      </c>
      <c r="H56" s="20">
        <f>'EVOLUÇÃO DO REBANHO'!H41</f>
        <v>20</v>
      </c>
    </row>
    <row r="57" spans="1:8" ht="15.75" x14ac:dyDescent="0.25">
      <c r="A57" s="21" t="s">
        <v>9</v>
      </c>
      <c r="B57" s="20">
        <f>SUM(B49:B56)</f>
        <v>1510</v>
      </c>
      <c r="C57" s="21"/>
      <c r="D57" s="22">
        <f>SUM(D49:D56)</f>
        <v>1555600</v>
      </c>
      <c r="E57" s="20">
        <f>SUM(E49:E56)</f>
        <v>297</v>
      </c>
      <c r="F57" s="21"/>
      <c r="G57" s="22">
        <f>SUM(G49:G56)</f>
        <v>450450</v>
      </c>
      <c r="H57" s="20">
        <f>SUM(H49:H56)</f>
        <v>1807</v>
      </c>
    </row>
    <row r="61" spans="1:8" x14ac:dyDescent="0.2">
      <c r="A61" s="147" t="s">
        <v>61</v>
      </c>
      <c r="B61" s="146" t="s">
        <v>137</v>
      </c>
      <c r="C61" s="146"/>
      <c r="D61" s="146"/>
    </row>
    <row r="62" spans="1:8" x14ac:dyDescent="0.2">
      <c r="A62" s="148"/>
      <c r="B62" s="15" t="s">
        <v>64</v>
      </c>
      <c r="C62" s="15" t="s">
        <v>65</v>
      </c>
      <c r="D62" s="15" t="s">
        <v>66</v>
      </c>
    </row>
    <row r="63" spans="1:8" x14ac:dyDescent="0.2">
      <c r="A63" s="16" t="s">
        <v>138</v>
      </c>
      <c r="B63" s="17">
        <v>15</v>
      </c>
      <c r="C63" s="18">
        <v>2000</v>
      </c>
      <c r="D63" s="19">
        <f>B63*C63</f>
        <v>30000</v>
      </c>
    </row>
    <row r="64" spans="1:8" ht="15.75" x14ac:dyDescent="0.25">
      <c r="A64" s="21" t="s">
        <v>9</v>
      </c>
      <c r="B64" s="20">
        <f>SUM(B56:B63)</f>
        <v>1545</v>
      </c>
      <c r="C64" s="21"/>
      <c r="D64" s="22">
        <f>SUM(D63:D63)</f>
        <v>30000</v>
      </c>
    </row>
    <row r="68" spans="4:4" x14ac:dyDescent="0.2">
      <c r="D68" s="10">
        <f>D64+D57+D42+D27+D10</f>
        <v>4713700</v>
      </c>
    </row>
  </sheetData>
  <mergeCells count="5">
    <mergeCell ref="A47:A48"/>
    <mergeCell ref="B47:D47"/>
    <mergeCell ref="E47:G47"/>
    <mergeCell ref="A61:A62"/>
    <mergeCell ref="B61:D6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07"/>
  <sheetViews>
    <sheetView topLeftCell="BS1" zoomScaleNormal="100" workbookViewId="0">
      <selection activeCell="A5" sqref="A5:A13"/>
    </sheetView>
  </sheetViews>
  <sheetFormatPr defaultRowHeight="15" x14ac:dyDescent="0.25"/>
  <cols>
    <col min="1" max="1" width="37.140625" bestFit="1" customWidth="1"/>
    <col min="2" max="2" width="13.7109375" customWidth="1"/>
    <col min="3" max="3" width="11.28515625" bestFit="1" customWidth="1"/>
    <col min="4" max="4" width="17.5703125" customWidth="1"/>
    <col min="5" max="5" width="10.42578125" customWidth="1"/>
    <col min="6" max="6" width="11.7109375" customWidth="1"/>
    <col min="7" max="7" width="17" customWidth="1"/>
    <col min="8" max="8" width="10.7109375" customWidth="1"/>
    <col min="9" max="9" width="14" customWidth="1"/>
    <col min="10" max="10" width="10.28515625" customWidth="1"/>
    <col min="11" max="11" width="11.28515625" bestFit="1" customWidth="1"/>
    <col min="12" max="12" width="15.7109375" bestFit="1" customWidth="1"/>
    <col min="13" max="13" width="10.5703125" customWidth="1"/>
    <col min="14" max="14" width="9.85546875" customWidth="1"/>
    <col min="15" max="15" width="14.85546875" customWidth="1"/>
    <col min="16" max="16" width="10.28515625" customWidth="1"/>
    <col min="17" max="17" width="14" customWidth="1"/>
    <col min="18" max="18" width="10.28515625" customWidth="1"/>
    <col min="19" max="19" width="11.28515625" bestFit="1" customWidth="1"/>
    <col min="20" max="20" width="15.7109375" bestFit="1" customWidth="1"/>
    <col min="21" max="21" width="9.7109375" customWidth="1"/>
    <col min="22" max="22" width="9.85546875" customWidth="1"/>
    <col min="23" max="23" width="14.85546875" customWidth="1"/>
    <col min="24" max="24" width="10" customWidth="1"/>
    <col min="25" max="25" width="13.5703125" customWidth="1"/>
    <col min="26" max="26" width="10.85546875" customWidth="1"/>
    <col min="27" max="27" width="11.28515625" bestFit="1" customWidth="1"/>
    <col min="28" max="28" width="15.7109375" bestFit="1" customWidth="1"/>
    <col min="29" max="30" width="11.28515625" customWidth="1"/>
    <col min="31" max="31" width="15.42578125" customWidth="1"/>
    <col min="32" max="32" width="10.28515625" customWidth="1"/>
    <col min="33" max="33" width="14.42578125" customWidth="1"/>
    <col min="34" max="34" width="10.7109375" customWidth="1"/>
    <col min="35" max="35" width="11.28515625" bestFit="1" customWidth="1"/>
    <col min="36" max="36" width="15.7109375" bestFit="1" customWidth="1"/>
    <col min="37" max="37" width="10.28515625" customWidth="1"/>
    <col min="38" max="38" width="10.85546875" customWidth="1"/>
    <col min="39" max="39" width="14.85546875" customWidth="1"/>
    <col min="40" max="40" width="10.42578125" customWidth="1"/>
    <col min="41" max="41" width="13.85546875" customWidth="1"/>
    <col min="42" max="42" width="10" customWidth="1"/>
    <col min="43" max="43" width="11.28515625" bestFit="1" customWidth="1"/>
    <col min="44" max="44" width="15.7109375" bestFit="1" customWidth="1"/>
    <col min="45" max="45" width="10.28515625" customWidth="1"/>
    <col min="46" max="46" width="10.42578125" customWidth="1"/>
    <col min="47" max="47" width="15.42578125" customWidth="1"/>
    <col min="48" max="48" width="10.28515625" customWidth="1"/>
    <col min="49" max="49" width="13.85546875" customWidth="1"/>
    <col min="50" max="50" width="10.5703125" customWidth="1"/>
    <col min="51" max="51" width="11.28515625" bestFit="1" customWidth="1"/>
    <col min="52" max="52" width="15.7109375" bestFit="1" customWidth="1"/>
    <col min="53" max="53" width="10.28515625" customWidth="1"/>
    <col min="54" max="54" width="10.5703125" customWidth="1"/>
    <col min="55" max="55" width="15.140625" customWidth="1"/>
    <col min="56" max="56" width="10.28515625" customWidth="1"/>
    <col min="57" max="57" width="13.5703125" customWidth="1"/>
    <col min="58" max="58" width="10.42578125" customWidth="1"/>
    <col min="59" max="59" width="11.28515625" bestFit="1" customWidth="1"/>
    <col min="60" max="60" width="15.7109375" bestFit="1" customWidth="1"/>
    <col min="61" max="62" width="10.28515625" customWidth="1"/>
    <col min="63" max="63" width="15.140625" customWidth="1"/>
    <col min="64" max="64" width="10.42578125" customWidth="1"/>
    <col min="65" max="65" width="14.140625" customWidth="1"/>
    <col min="66" max="66" width="10.7109375" customWidth="1"/>
    <col min="67" max="67" width="11.28515625" bestFit="1" customWidth="1"/>
    <col min="68" max="68" width="15.7109375" bestFit="1" customWidth="1"/>
    <col min="69" max="70" width="10.28515625" customWidth="1"/>
    <col min="71" max="71" width="15.28515625" customWidth="1"/>
    <col min="72" max="72" width="10.5703125" customWidth="1"/>
    <col min="73" max="73" width="13.85546875" customWidth="1"/>
    <col min="74" max="74" width="10.5703125" customWidth="1"/>
    <col min="75" max="75" width="11.28515625" bestFit="1" customWidth="1"/>
    <col min="76" max="76" width="15.7109375" bestFit="1" customWidth="1"/>
    <col min="77" max="77" width="10" customWidth="1"/>
    <col min="78" max="78" width="10.42578125" customWidth="1"/>
    <col min="79" max="79" width="14.85546875" customWidth="1"/>
    <col min="80" max="80" width="10.7109375" customWidth="1"/>
    <col min="81" max="81" width="14" customWidth="1"/>
    <col min="82" max="82" width="11.28515625" customWidth="1"/>
    <col min="83" max="83" width="11.28515625" bestFit="1" customWidth="1"/>
    <col min="84" max="84" width="15.7109375" bestFit="1" customWidth="1"/>
  </cols>
  <sheetData>
    <row r="1" spans="1:90" ht="18" x14ac:dyDescent="0.25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23"/>
      <c r="CH1" s="23"/>
    </row>
    <row r="2" spans="1:90" ht="15.75" x14ac:dyDescent="0.25">
      <c r="A2" s="49"/>
      <c r="B2" s="49"/>
      <c r="C2" s="49"/>
      <c r="D2" s="49"/>
      <c r="E2" s="152" t="s">
        <v>77</v>
      </c>
      <c r="F2" s="152"/>
      <c r="G2" s="152"/>
      <c r="H2" s="152"/>
      <c r="I2" s="152"/>
      <c r="J2" s="49"/>
      <c r="K2" s="49"/>
      <c r="L2" s="49"/>
      <c r="M2" s="153" t="s">
        <v>78</v>
      </c>
      <c r="N2" s="155"/>
      <c r="O2" s="155"/>
      <c r="P2" s="155"/>
      <c r="Q2" s="154"/>
      <c r="R2" s="49"/>
      <c r="S2" s="49"/>
      <c r="T2" s="49"/>
      <c r="U2" s="153" t="s">
        <v>79</v>
      </c>
      <c r="V2" s="155"/>
      <c r="W2" s="155"/>
      <c r="X2" s="155"/>
      <c r="Y2" s="154"/>
      <c r="Z2" s="49"/>
      <c r="AA2" s="49"/>
      <c r="AB2" s="49"/>
      <c r="AC2" s="153" t="s">
        <v>80</v>
      </c>
      <c r="AD2" s="155"/>
      <c r="AE2" s="155"/>
      <c r="AF2" s="155"/>
      <c r="AG2" s="154"/>
      <c r="AH2" s="49"/>
      <c r="AI2" s="49"/>
      <c r="AJ2" s="49"/>
      <c r="AK2" s="153" t="s">
        <v>81</v>
      </c>
      <c r="AL2" s="155"/>
      <c r="AM2" s="155"/>
      <c r="AN2" s="155"/>
      <c r="AO2" s="154"/>
      <c r="AP2" s="49"/>
      <c r="AQ2" s="49"/>
      <c r="AR2" s="49"/>
      <c r="AS2" s="153" t="s">
        <v>82</v>
      </c>
      <c r="AT2" s="155"/>
      <c r="AU2" s="155"/>
      <c r="AV2" s="155"/>
      <c r="AW2" s="154"/>
      <c r="AX2" s="49"/>
      <c r="AY2" s="49"/>
      <c r="AZ2" s="49"/>
      <c r="BA2" s="153" t="s">
        <v>83</v>
      </c>
      <c r="BB2" s="155"/>
      <c r="BC2" s="155"/>
      <c r="BD2" s="155"/>
      <c r="BE2" s="154"/>
      <c r="BF2" s="49"/>
      <c r="BG2" s="49"/>
      <c r="BH2" s="49"/>
      <c r="BI2" s="153" t="s">
        <v>84</v>
      </c>
      <c r="BJ2" s="155"/>
      <c r="BK2" s="155"/>
      <c r="BL2" s="155"/>
      <c r="BM2" s="154"/>
      <c r="BN2" s="49"/>
      <c r="BO2" s="49"/>
      <c r="BP2" s="49"/>
      <c r="BQ2" s="153" t="s">
        <v>85</v>
      </c>
      <c r="BR2" s="155"/>
      <c r="BS2" s="155"/>
      <c r="BT2" s="155"/>
      <c r="BU2" s="154"/>
      <c r="BV2" s="49"/>
      <c r="BW2" s="49"/>
      <c r="BX2" s="49"/>
      <c r="BY2" s="153" t="s">
        <v>86</v>
      </c>
      <c r="BZ2" s="155"/>
      <c r="CA2" s="155"/>
      <c r="CB2" s="155"/>
      <c r="CC2" s="154"/>
      <c r="CD2" s="49"/>
      <c r="CE2" s="49"/>
      <c r="CF2" s="49"/>
      <c r="CG2" s="26"/>
      <c r="CH2" s="26"/>
      <c r="CI2" s="1"/>
      <c r="CJ2" s="1"/>
      <c r="CK2" s="1"/>
      <c r="CL2" s="1"/>
    </row>
    <row r="3" spans="1:90" ht="15.6" x14ac:dyDescent="0.3">
      <c r="A3" s="42"/>
      <c r="B3" s="152" t="s">
        <v>159</v>
      </c>
      <c r="C3" s="152"/>
      <c r="D3" s="152"/>
      <c r="E3" s="50" t="s">
        <v>87</v>
      </c>
      <c r="F3" s="152" t="s">
        <v>88</v>
      </c>
      <c r="G3" s="152"/>
      <c r="H3" s="152" t="s">
        <v>89</v>
      </c>
      <c r="I3" s="152"/>
      <c r="J3" s="152" t="s">
        <v>90</v>
      </c>
      <c r="K3" s="152"/>
      <c r="L3" s="152"/>
      <c r="M3" s="50" t="s">
        <v>87</v>
      </c>
      <c r="N3" s="153" t="s">
        <v>88</v>
      </c>
      <c r="O3" s="154"/>
      <c r="P3" s="153" t="s">
        <v>89</v>
      </c>
      <c r="Q3" s="154"/>
      <c r="R3" s="152" t="s">
        <v>91</v>
      </c>
      <c r="S3" s="152"/>
      <c r="T3" s="152"/>
      <c r="U3" s="50" t="s">
        <v>87</v>
      </c>
      <c r="V3" s="153" t="s">
        <v>88</v>
      </c>
      <c r="W3" s="154"/>
      <c r="X3" s="153" t="s">
        <v>89</v>
      </c>
      <c r="Y3" s="154"/>
      <c r="Z3" s="152" t="s">
        <v>92</v>
      </c>
      <c r="AA3" s="152"/>
      <c r="AB3" s="152"/>
      <c r="AC3" s="50" t="s">
        <v>87</v>
      </c>
      <c r="AD3" s="153" t="s">
        <v>88</v>
      </c>
      <c r="AE3" s="154"/>
      <c r="AF3" s="153" t="s">
        <v>89</v>
      </c>
      <c r="AG3" s="154"/>
      <c r="AH3" s="152" t="s">
        <v>93</v>
      </c>
      <c r="AI3" s="152"/>
      <c r="AJ3" s="152"/>
      <c r="AK3" s="50" t="s">
        <v>87</v>
      </c>
      <c r="AL3" s="153" t="s">
        <v>88</v>
      </c>
      <c r="AM3" s="154"/>
      <c r="AN3" s="153" t="s">
        <v>89</v>
      </c>
      <c r="AO3" s="154"/>
      <c r="AP3" s="152" t="s">
        <v>94</v>
      </c>
      <c r="AQ3" s="152"/>
      <c r="AR3" s="152"/>
      <c r="AS3" s="50" t="s">
        <v>87</v>
      </c>
      <c r="AT3" s="153" t="s">
        <v>88</v>
      </c>
      <c r="AU3" s="154"/>
      <c r="AV3" s="153" t="s">
        <v>89</v>
      </c>
      <c r="AW3" s="154"/>
      <c r="AX3" s="152" t="s">
        <v>95</v>
      </c>
      <c r="AY3" s="152"/>
      <c r="AZ3" s="152"/>
      <c r="BA3" s="50" t="s">
        <v>87</v>
      </c>
      <c r="BB3" s="153" t="s">
        <v>88</v>
      </c>
      <c r="BC3" s="154"/>
      <c r="BD3" s="153" t="s">
        <v>89</v>
      </c>
      <c r="BE3" s="154"/>
      <c r="BF3" s="152" t="s">
        <v>96</v>
      </c>
      <c r="BG3" s="152"/>
      <c r="BH3" s="152"/>
      <c r="BI3" s="50" t="s">
        <v>87</v>
      </c>
      <c r="BJ3" s="153" t="s">
        <v>88</v>
      </c>
      <c r="BK3" s="154"/>
      <c r="BL3" s="153" t="s">
        <v>89</v>
      </c>
      <c r="BM3" s="154"/>
      <c r="BN3" s="152" t="s">
        <v>97</v>
      </c>
      <c r="BO3" s="152"/>
      <c r="BP3" s="152"/>
      <c r="BQ3" s="50" t="s">
        <v>87</v>
      </c>
      <c r="BR3" s="153" t="s">
        <v>88</v>
      </c>
      <c r="BS3" s="154"/>
      <c r="BT3" s="153" t="s">
        <v>89</v>
      </c>
      <c r="BU3" s="154"/>
      <c r="BV3" s="152" t="s">
        <v>98</v>
      </c>
      <c r="BW3" s="152"/>
      <c r="BX3" s="152"/>
      <c r="BY3" s="50" t="s">
        <v>87</v>
      </c>
      <c r="BZ3" s="153" t="s">
        <v>88</v>
      </c>
      <c r="CA3" s="154"/>
      <c r="CB3" s="153" t="s">
        <v>89</v>
      </c>
      <c r="CC3" s="154"/>
      <c r="CD3" s="152" t="s">
        <v>99</v>
      </c>
      <c r="CE3" s="152"/>
      <c r="CF3" s="152"/>
      <c r="CG3" s="26"/>
      <c r="CH3" s="26"/>
      <c r="CI3" s="1"/>
      <c r="CJ3" s="1"/>
      <c r="CK3" s="1"/>
      <c r="CL3" s="1"/>
    </row>
    <row r="4" spans="1:90" ht="47.25" x14ac:dyDescent="0.25">
      <c r="A4" s="51" t="s">
        <v>100</v>
      </c>
      <c r="B4" s="51" t="s">
        <v>64</v>
      </c>
      <c r="C4" s="51" t="s">
        <v>65</v>
      </c>
      <c r="D4" s="51" t="s">
        <v>66</v>
      </c>
      <c r="E4" s="51" t="s">
        <v>64</v>
      </c>
      <c r="F4" s="51" t="s">
        <v>64</v>
      </c>
      <c r="G4" s="51" t="s">
        <v>66</v>
      </c>
      <c r="H4" s="51" t="s">
        <v>64</v>
      </c>
      <c r="I4" s="51" t="s">
        <v>66</v>
      </c>
      <c r="J4" s="51" t="s">
        <v>64</v>
      </c>
      <c r="K4" s="51" t="s">
        <v>65</v>
      </c>
      <c r="L4" s="51" t="s">
        <v>66</v>
      </c>
      <c r="M4" s="51" t="s">
        <v>64</v>
      </c>
      <c r="N4" s="51" t="s">
        <v>64</v>
      </c>
      <c r="O4" s="51" t="s">
        <v>66</v>
      </c>
      <c r="P4" s="51" t="s">
        <v>64</v>
      </c>
      <c r="Q4" s="51" t="s">
        <v>66</v>
      </c>
      <c r="R4" s="51" t="s">
        <v>64</v>
      </c>
      <c r="S4" s="51" t="s">
        <v>65</v>
      </c>
      <c r="T4" s="51" t="s">
        <v>66</v>
      </c>
      <c r="U4" s="51" t="s">
        <v>64</v>
      </c>
      <c r="V4" s="51" t="s">
        <v>64</v>
      </c>
      <c r="W4" s="51" t="s">
        <v>66</v>
      </c>
      <c r="X4" s="51" t="s">
        <v>64</v>
      </c>
      <c r="Y4" s="51" t="s">
        <v>66</v>
      </c>
      <c r="Z4" s="51" t="s">
        <v>64</v>
      </c>
      <c r="AA4" s="51" t="s">
        <v>65</v>
      </c>
      <c r="AB4" s="51" t="s">
        <v>66</v>
      </c>
      <c r="AC4" s="51" t="s">
        <v>64</v>
      </c>
      <c r="AD4" s="51" t="s">
        <v>64</v>
      </c>
      <c r="AE4" s="51" t="s">
        <v>66</v>
      </c>
      <c r="AF4" s="51" t="s">
        <v>64</v>
      </c>
      <c r="AG4" s="51" t="s">
        <v>66</v>
      </c>
      <c r="AH4" s="51" t="s">
        <v>64</v>
      </c>
      <c r="AI4" s="51" t="s">
        <v>65</v>
      </c>
      <c r="AJ4" s="51" t="s">
        <v>66</v>
      </c>
      <c r="AK4" s="51" t="s">
        <v>64</v>
      </c>
      <c r="AL4" s="51" t="s">
        <v>64</v>
      </c>
      <c r="AM4" s="51" t="s">
        <v>66</v>
      </c>
      <c r="AN4" s="51" t="s">
        <v>64</v>
      </c>
      <c r="AO4" s="51" t="s">
        <v>66</v>
      </c>
      <c r="AP4" s="51" t="s">
        <v>64</v>
      </c>
      <c r="AQ4" s="51" t="s">
        <v>65</v>
      </c>
      <c r="AR4" s="51" t="s">
        <v>66</v>
      </c>
      <c r="AS4" s="51" t="s">
        <v>64</v>
      </c>
      <c r="AT4" s="51" t="s">
        <v>64</v>
      </c>
      <c r="AU4" s="51" t="s">
        <v>66</v>
      </c>
      <c r="AV4" s="51" t="s">
        <v>64</v>
      </c>
      <c r="AW4" s="51" t="s">
        <v>66</v>
      </c>
      <c r="AX4" s="51" t="s">
        <v>64</v>
      </c>
      <c r="AY4" s="51" t="s">
        <v>65</v>
      </c>
      <c r="AZ4" s="51" t="s">
        <v>66</v>
      </c>
      <c r="BA4" s="51" t="s">
        <v>64</v>
      </c>
      <c r="BB4" s="51" t="s">
        <v>64</v>
      </c>
      <c r="BC4" s="51" t="s">
        <v>66</v>
      </c>
      <c r="BD4" s="51" t="s">
        <v>64</v>
      </c>
      <c r="BE4" s="51" t="s">
        <v>66</v>
      </c>
      <c r="BF4" s="51" t="s">
        <v>64</v>
      </c>
      <c r="BG4" s="51" t="s">
        <v>65</v>
      </c>
      <c r="BH4" s="51" t="s">
        <v>66</v>
      </c>
      <c r="BI4" s="51" t="s">
        <v>64</v>
      </c>
      <c r="BJ4" s="51" t="s">
        <v>64</v>
      </c>
      <c r="BK4" s="51" t="s">
        <v>66</v>
      </c>
      <c r="BL4" s="51" t="s">
        <v>64</v>
      </c>
      <c r="BM4" s="51" t="s">
        <v>66</v>
      </c>
      <c r="BN4" s="51" t="s">
        <v>64</v>
      </c>
      <c r="BO4" s="51" t="s">
        <v>65</v>
      </c>
      <c r="BP4" s="51" t="s">
        <v>66</v>
      </c>
      <c r="BQ4" s="51" t="s">
        <v>64</v>
      </c>
      <c r="BR4" s="51" t="s">
        <v>64</v>
      </c>
      <c r="BS4" s="51" t="s">
        <v>66</v>
      </c>
      <c r="BT4" s="51" t="s">
        <v>64</v>
      </c>
      <c r="BU4" s="51" t="s">
        <v>66</v>
      </c>
      <c r="BV4" s="51" t="s">
        <v>64</v>
      </c>
      <c r="BW4" s="51" t="s">
        <v>65</v>
      </c>
      <c r="BX4" s="51" t="s">
        <v>66</v>
      </c>
      <c r="BY4" s="51" t="s">
        <v>64</v>
      </c>
      <c r="BZ4" s="51" t="s">
        <v>64</v>
      </c>
      <c r="CA4" s="51" t="s">
        <v>66</v>
      </c>
      <c r="CB4" s="51" t="s">
        <v>64</v>
      </c>
      <c r="CC4" s="51" t="s">
        <v>66</v>
      </c>
      <c r="CD4" s="51" t="s">
        <v>64</v>
      </c>
      <c r="CE4" s="51" t="s">
        <v>65</v>
      </c>
      <c r="CF4" s="51" t="s">
        <v>66</v>
      </c>
      <c r="CG4" s="26"/>
      <c r="CH4" s="26"/>
      <c r="CI4" s="1"/>
      <c r="CJ4" s="1"/>
      <c r="CK4" s="1"/>
      <c r="CL4" s="1"/>
    </row>
    <row r="5" spans="1:90" ht="15.75" x14ac:dyDescent="0.25">
      <c r="A5" s="42" t="s">
        <v>67</v>
      </c>
      <c r="B5" s="43">
        <v>180</v>
      </c>
      <c r="C5" s="44">
        <v>650</v>
      </c>
      <c r="D5" s="44">
        <f>B5*C5</f>
        <v>117000</v>
      </c>
      <c r="E5" s="52">
        <v>3</v>
      </c>
      <c r="F5" s="53"/>
      <c r="G5" s="45">
        <f t="shared" ref="G5:G11" si="0">F5*C5</f>
        <v>0</v>
      </c>
      <c r="H5" s="42"/>
      <c r="I5" s="42"/>
      <c r="J5" s="43">
        <f>H15/2</f>
        <v>180</v>
      </c>
      <c r="K5" s="44">
        <f>C5</f>
        <v>650</v>
      </c>
      <c r="L5" s="45">
        <f>J5*K5</f>
        <v>117000</v>
      </c>
      <c r="M5" s="52">
        <v>3</v>
      </c>
      <c r="N5" s="53"/>
      <c r="O5" s="45">
        <f t="shared" ref="O5:O11" si="1">N5*K5</f>
        <v>0</v>
      </c>
      <c r="P5" s="42"/>
      <c r="Q5" s="42"/>
      <c r="R5" s="43">
        <f>P15/2</f>
        <v>216</v>
      </c>
      <c r="S5" s="44">
        <f>K5</f>
        <v>650</v>
      </c>
      <c r="T5" s="45">
        <f>R5*S5</f>
        <v>140400</v>
      </c>
      <c r="U5" s="52">
        <v>3</v>
      </c>
      <c r="V5" s="53"/>
      <c r="W5" s="45">
        <f t="shared" ref="W5:W11" si="2">V5*S5</f>
        <v>0</v>
      </c>
      <c r="X5" s="42"/>
      <c r="Y5" s="42"/>
      <c r="Z5" s="43">
        <f>X15/2</f>
        <v>216</v>
      </c>
      <c r="AA5" s="44">
        <f>S5</f>
        <v>650</v>
      </c>
      <c r="AB5" s="45">
        <f>Z5*AA5</f>
        <v>140400</v>
      </c>
      <c r="AC5" s="52">
        <v>3</v>
      </c>
      <c r="AD5" s="53"/>
      <c r="AE5" s="45">
        <f t="shared" ref="AE5:AE11" si="3">AD5*AA5</f>
        <v>0</v>
      </c>
      <c r="AF5" s="42"/>
      <c r="AG5" s="42"/>
      <c r="AH5" s="43">
        <f>AF15/2</f>
        <v>216</v>
      </c>
      <c r="AI5" s="44">
        <f>AA5</f>
        <v>650</v>
      </c>
      <c r="AJ5" s="45">
        <f>AH5*AI5</f>
        <v>140400</v>
      </c>
      <c r="AK5" s="52">
        <v>3</v>
      </c>
      <c r="AL5" s="53"/>
      <c r="AM5" s="45">
        <f t="shared" ref="AM5:AM11" si="4">AL5*AI5</f>
        <v>0</v>
      </c>
      <c r="AN5" s="42"/>
      <c r="AO5" s="42"/>
      <c r="AP5" s="43">
        <f>AN15/2</f>
        <v>216</v>
      </c>
      <c r="AQ5" s="44">
        <f>AI5</f>
        <v>650</v>
      </c>
      <c r="AR5" s="45">
        <f>AP5*AQ5</f>
        <v>140400</v>
      </c>
      <c r="AS5" s="52">
        <v>3</v>
      </c>
      <c r="AT5" s="53"/>
      <c r="AU5" s="45">
        <f t="shared" ref="AU5:AU11" si="5">AT5*AQ5</f>
        <v>0</v>
      </c>
      <c r="AV5" s="42"/>
      <c r="AW5" s="42"/>
      <c r="AX5" s="43">
        <f>AV15/2</f>
        <v>216</v>
      </c>
      <c r="AY5" s="44">
        <f>AQ5</f>
        <v>650</v>
      </c>
      <c r="AZ5" s="45">
        <f>AX5*AY5</f>
        <v>140400</v>
      </c>
      <c r="BA5" s="52">
        <v>3</v>
      </c>
      <c r="BB5" s="53"/>
      <c r="BC5" s="45">
        <f t="shared" ref="BC5:BC11" si="6">BB5*AY5</f>
        <v>0</v>
      </c>
      <c r="BD5" s="42"/>
      <c r="BE5" s="42"/>
      <c r="BF5" s="43">
        <f>BD15/2</f>
        <v>216</v>
      </c>
      <c r="BG5" s="44">
        <f>AY5</f>
        <v>650</v>
      </c>
      <c r="BH5" s="45">
        <f>BF5*BG5</f>
        <v>140400</v>
      </c>
      <c r="BI5" s="52">
        <v>3</v>
      </c>
      <c r="BJ5" s="53"/>
      <c r="BK5" s="45">
        <f t="shared" ref="BK5:BK11" si="7">BJ5*BG5</f>
        <v>0</v>
      </c>
      <c r="BL5" s="42"/>
      <c r="BM5" s="42"/>
      <c r="BN5" s="43">
        <f>BL15/2</f>
        <v>216</v>
      </c>
      <c r="BO5" s="44">
        <f>BG5</f>
        <v>650</v>
      </c>
      <c r="BP5" s="45">
        <f>BN5*BO5</f>
        <v>140400</v>
      </c>
      <c r="BQ5" s="52">
        <v>3</v>
      </c>
      <c r="BR5" s="53"/>
      <c r="BS5" s="45">
        <f t="shared" ref="BS5:BS11" si="8">BR5*BO5</f>
        <v>0</v>
      </c>
      <c r="BT5" s="42"/>
      <c r="BU5" s="42"/>
      <c r="BV5" s="43">
        <f>BT15/2</f>
        <v>216</v>
      </c>
      <c r="BW5" s="44">
        <f>BO5</f>
        <v>650</v>
      </c>
      <c r="BX5" s="45">
        <f>BV5*BW5</f>
        <v>140400</v>
      </c>
      <c r="BY5" s="52">
        <v>3</v>
      </c>
      <c r="BZ5" s="53"/>
      <c r="CA5" s="45">
        <f t="shared" ref="CA5:CA11" si="9">BZ5*BW5</f>
        <v>0</v>
      </c>
      <c r="CB5" s="42"/>
      <c r="CC5" s="42"/>
      <c r="CD5" s="43">
        <f>CB15/2</f>
        <v>216</v>
      </c>
      <c r="CE5" s="44">
        <f>BW5</f>
        <v>650</v>
      </c>
      <c r="CF5" s="45">
        <f>CD5*CE5</f>
        <v>140400</v>
      </c>
      <c r="CG5" s="26"/>
      <c r="CH5" s="26"/>
      <c r="CI5" s="1"/>
      <c r="CJ5" s="1"/>
      <c r="CK5" s="1"/>
      <c r="CL5" s="1"/>
    </row>
    <row r="6" spans="1:90" ht="15.6" x14ac:dyDescent="0.3">
      <c r="A6" s="42" t="s">
        <v>68</v>
      </c>
      <c r="B6" s="43">
        <v>212</v>
      </c>
      <c r="C6" s="44">
        <v>800</v>
      </c>
      <c r="D6" s="44">
        <f t="shared" ref="D6:D12" si="10">B6*C6</f>
        <v>169600</v>
      </c>
      <c r="E6" s="52">
        <v>3</v>
      </c>
      <c r="F6" s="53"/>
      <c r="G6" s="45">
        <f t="shared" si="0"/>
        <v>0</v>
      </c>
      <c r="H6" s="42"/>
      <c r="I6" s="42"/>
      <c r="J6" s="43">
        <f>(B5-E5-F5+H5)</f>
        <v>177</v>
      </c>
      <c r="K6" s="44">
        <f t="shared" ref="K6:K12" si="11">C6</f>
        <v>800</v>
      </c>
      <c r="L6" s="45">
        <f t="shared" ref="L6:L12" si="12">J6*K6</f>
        <v>141600</v>
      </c>
      <c r="M6" s="52">
        <v>3</v>
      </c>
      <c r="N6" s="53"/>
      <c r="O6" s="45">
        <f t="shared" si="1"/>
        <v>0</v>
      </c>
      <c r="P6" s="42"/>
      <c r="Q6" s="42"/>
      <c r="R6" s="43">
        <f>(J5-M5-N5+P5)</f>
        <v>177</v>
      </c>
      <c r="S6" s="44">
        <f t="shared" ref="S6:S12" si="13">K6</f>
        <v>800</v>
      </c>
      <c r="T6" s="45">
        <f t="shared" ref="T6:T12" si="14">R6*S6</f>
        <v>141600</v>
      </c>
      <c r="U6" s="52">
        <v>3</v>
      </c>
      <c r="V6" s="53"/>
      <c r="W6" s="45">
        <f t="shared" si="2"/>
        <v>0</v>
      </c>
      <c r="X6" s="42"/>
      <c r="Y6" s="42"/>
      <c r="Z6" s="43">
        <f>(R5-U5-V5+X5)</f>
        <v>213</v>
      </c>
      <c r="AA6" s="44">
        <f t="shared" ref="AA6:AA12" si="15">S6</f>
        <v>800</v>
      </c>
      <c r="AB6" s="45">
        <f t="shared" ref="AB6:AB12" si="16">Z6*AA6</f>
        <v>170400</v>
      </c>
      <c r="AC6" s="52">
        <v>3</v>
      </c>
      <c r="AD6" s="53"/>
      <c r="AE6" s="45">
        <f t="shared" si="3"/>
        <v>0</v>
      </c>
      <c r="AF6" s="42"/>
      <c r="AG6" s="42"/>
      <c r="AH6" s="43">
        <f>(Z5-AC5-AD5+AF5)</f>
        <v>213</v>
      </c>
      <c r="AI6" s="44">
        <f t="shared" ref="AI6:AI12" si="17">AA6</f>
        <v>800</v>
      </c>
      <c r="AJ6" s="45">
        <f t="shared" ref="AJ6:AJ12" si="18">AH6*AI6</f>
        <v>170400</v>
      </c>
      <c r="AK6" s="52">
        <v>3</v>
      </c>
      <c r="AL6" s="53"/>
      <c r="AM6" s="45">
        <f t="shared" si="4"/>
        <v>0</v>
      </c>
      <c r="AN6" s="42"/>
      <c r="AO6" s="42"/>
      <c r="AP6" s="43">
        <f>(AH5-AK5-AL5+AN5)</f>
        <v>213</v>
      </c>
      <c r="AQ6" s="44">
        <f t="shared" ref="AQ6:AQ12" si="19">AI6</f>
        <v>800</v>
      </c>
      <c r="AR6" s="45">
        <f t="shared" ref="AR6:AR12" si="20">AP6*AQ6</f>
        <v>170400</v>
      </c>
      <c r="AS6" s="52">
        <v>3</v>
      </c>
      <c r="AT6" s="53"/>
      <c r="AU6" s="45">
        <f t="shared" si="5"/>
        <v>0</v>
      </c>
      <c r="AV6" s="42"/>
      <c r="AW6" s="42"/>
      <c r="AX6" s="43">
        <f>(AP5-AS5-AT5+AV5)</f>
        <v>213</v>
      </c>
      <c r="AY6" s="44">
        <f t="shared" ref="AY6:AY12" si="21">AQ6</f>
        <v>800</v>
      </c>
      <c r="AZ6" s="45">
        <f t="shared" ref="AZ6:AZ12" si="22">AX6*AY6</f>
        <v>170400</v>
      </c>
      <c r="BA6" s="52">
        <v>3</v>
      </c>
      <c r="BB6" s="53"/>
      <c r="BC6" s="45">
        <f t="shared" si="6"/>
        <v>0</v>
      </c>
      <c r="BD6" s="42"/>
      <c r="BE6" s="42"/>
      <c r="BF6" s="43">
        <f>(AX5-BA5-BB5+BD5)</f>
        <v>213</v>
      </c>
      <c r="BG6" s="44">
        <f t="shared" ref="BG6:BG12" si="23">AY6</f>
        <v>800</v>
      </c>
      <c r="BH6" s="45">
        <f t="shared" ref="BH6:BH12" si="24">BF6*BG6</f>
        <v>170400</v>
      </c>
      <c r="BI6" s="52">
        <v>3</v>
      </c>
      <c r="BJ6" s="53"/>
      <c r="BK6" s="45">
        <f t="shared" si="7"/>
        <v>0</v>
      </c>
      <c r="BL6" s="42"/>
      <c r="BM6" s="42"/>
      <c r="BN6" s="43">
        <f>(BF5-BI5-BJ5+BL5)</f>
        <v>213</v>
      </c>
      <c r="BO6" s="44">
        <f t="shared" ref="BO6:BO12" si="25">BG6</f>
        <v>800</v>
      </c>
      <c r="BP6" s="45">
        <f t="shared" ref="BP6:BP12" si="26">BN6*BO6</f>
        <v>170400</v>
      </c>
      <c r="BQ6" s="52">
        <v>3</v>
      </c>
      <c r="BR6" s="53"/>
      <c r="BS6" s="45">
        <f t="shared" si="8"/>
        <v>0</v>
      </c>
      <c r="BT6" s="42"/>
      <c r="BU6" s="42"/>
      <c r="BV6" s="43">
        <f>(BN5-BQ5-BR5+BT5)</f>
        <v>213</v>
      </c>
      <c r="BW6" s="44">
        <f t="shared" ref="BW6:BW12" si="27">BO6</f>
        <v>800</v>
      </c>
      <c r="BX6" s="45">
        <f t="shared" ref="BX6:BX12" si="28">BV6*BW6</f>
        <v>170400</v>
      </c>
      <c r="BY6" s="52">
        <v>3</v>
      </c>
      <c r="BZ6" s="53"/>
      <c r="CA6" s="45">
        <f t="shared" si="9"/>
        <v>0</v>
      </c>
      <c r="CB6" s="42"/>
      <c r="CC6" s="42"/>
      <c r="CD6" s="43">
        <f>(BV5-BY5-BZ5+CB5)</f>
        <v>213</v>
      </c>
      <c r="CE6" s="44">
        <f t="shared" ref="CE6:CE12" si="29">BW6</f>
        <v>800</v>
      </c>
      <c r="CF6" s="45">
        <f t="shared" ref="CF6:CF12" si="30">CD6*CE6</f>
        <v>170400</v>
      </c>
      <c r="CG6" s="26"/>
      <c r="CH6" s="26"/>
      <c r="CI6" s="1"/>
      <c r="CJ6" s="1"/>
      <c r="CK6" s="1"/>
      <c r="CL6" s="1"/>
    </row>
    <row r="7" spans="1:90" ht="15.6" x14ac:dyDescent="0.3">
      <c r="A7" s="42" t="s">
        <v>69</v>
      </c>
      <c r="B7" s="43">
        <v>209</v>
      </c>
      <c r="C7" s="44">
        <v>950</v>
      </c>
      <c r="D7" s="44">
        <f t="shared" si="10"/>
        <v>198550</v>
      </c>
      <c r="E7" s="52">
        <v>2</v>
      </c>
      <c r="F7" s="53"/>
      <c r="G7" s="45">
        <f t="shared" si="0"/>
        <v>0</v>
      </c>
      <c r="H7" s="42"/>
      <c r="I7" s="42"/>
      <c r="J7" s="43">
        <f>(B6-E6-F6+H6)</f>
        <v>209</v>
      </c>
      <c r="K7" s="44">
        <f t="shared" si="11"/>
        <v>950</v>
      </c>
      <c r="L7" s="45">
        <f t="shared" si="12"/>
        <v>198550</v>
      </c>
      <c r="M7" s="52">
        <v>2</v>
      </c>
      <c r="N7" s="53">
        <v>20</v>
      </c>
      <c r="O7" s="45">
        <f t="shared" si="1"/>
        <v>19000</v>
      </c>
      <c r="P7" s="42"/>
      <c r="Q7" s="42"/>
      <c r="R7" s="43">
        <f>(J6-M6-N6+P6)</f>
        <v>174</v>
      </c>
      <c r="S7" s="44">
        <f t="shared" si="13"/>
        <v>950</v>
      </c>
      <c r="T7" s="45">
        <f t="shared" si="14"/>
        <v>165300</v>
      </c>
      <c r="U7" s="52">
        <v>2</v>
      </c>
      <c r="V7" s="53">
        <v>20</v>
      </c>
      <c r="W7" s="45">
        <f t="shared" si="2"/>
        <v>19000</v>
      </c>
      <c r="X7" s="42"/>
      <c r="Y7" s="42"/>
      <c r="Z7" s="43">
        <f>(R6-U6-V6+X6)</f>
        <v>174</v>
      </c>
      <c r="AA7" s="44">
        <f t="shared" si="15"/>
        <v>950</v>
      </c>
      <c r="AB7" s="45">
        <f t="shared" si="16"/>
        <v>165300</v>
      </c>
      <c r="AC7" s="52">
        <v>2</v>
      </c>
      <c r="AD7" s="53">
        <v>20</v>
      </c>
      <c r="AE7" s="45">
        <f t="shared" si="3"/>
        <v>19000</v>
      </c>
      <c r="AF7" s="42"/>
      <c r="AG7" s="42"/>
      <c r="AH7" s="43">
        <f>(Z6-AC6-AD6+AF6)</f>
        <v>210</v>
      </c>
      <c r="AI7" s="44">
        <f t="shared" si="17"/>
        <v>950</v>
      </c>
      <c r="AJ7" s="45">
        <f t="shared" si="18"/>
        <v>199500</v>
      </c>
      <c r="AK7" s="52">
        <v>2</v>
      </c>
      <c r="AL7" s="53">
        <v>20</v>
      </c>
      <c r="AM7" s="45">
        <f t="shared" si="4"/>
        <v>19000</v>
      </c>
      <c r="AN7" s="42"/>
      <c r="AO7" s="42"/>
      <c r="AP7" s="43">
        <f>(AH6-AK6-AL6+AN6)</f>
        <v>210</v>
      </c>
      <c r="AQ7" s="44">
        <f t="shared" si="19"/>
        <v>950</v>
      </c>
      <c r="AR7" s="45">
        <f t="shared" si="20"/>
        <v>199500</v>
      </c>
      <c r="AS7" s="52">
        <v>2</v>
      </c>
      <c r="AT7" s="53">
        <v>20</v>
      </c>
      <c r="AU7" s="45">
        <f t="shared" si="5"/>
        <v>19000</v>
      </c>
      <c r="AV7" s="42"/>
      <c r="AW7" s="42"/>
      <c r="AX7" s="43">
        <f>(AP6-AS6-AT6+AV6)</f>
        <v>210</v>
      </c>
      <c r="AY7" s="44">
        <f t="shared" si="21"/>
        <v>950</v>
      </c>
      <c r="AZ7" s="45">
        <f t="shared" si="22"/>
        <v>199500</v>
      </c>
      <c r="BA7" s="52">
        <v>2</v>
      </c>
      <c r="BB7" s="53">
        <v>20</v>
      </c>
      <c r="BC7" s="45">
        <f t="shared" si="6"/>
        <v>19000</v>
      </c>
      <c r="BD7" s="42"/>
      <c r="BE7" s="42"/>
      <c r="BF7" s="43">
        <f>(AX6-BA6-BB6+BD6)</f>
        <v>210</v>
      </c>
      <c r="BG7" s="44">
        <f t="shared" si="23"/>
        <v>950</v>
      </c>
      <c r="BH7" s="45">
        <f t="shared" si="24"/>
        <v>199500</v>
      </c>
      <c r="BI7" s="52">
        <v>2</v>
      </c>
      <c r="BJ7" s="53">
        <v>20</v>
      </c>
      <c r="BK7" s="45">
        <f t="shared" si="7"/>
        <v>19000</v>
      </c>
      <c r="BL7" s="42"/>
      <c r="BM7" s="42"/>
      <c r="BN7" s="43">
        <f>(BF6-BI6-BJ6+BL6)</f>
        <v>210</v>
      </c>
      <c r="BO7" s="44">
        <f t="shared" si="25"/>
        <v>950</v>
      </c>
      <c r="BP7" s="45">
        <f t="shared" si="26"/>
        <v>199500</v>
      </c>
      <c r="BQ7" s="52">
        <v>2</v>
      </c>
      <c r="BR7" s="53">
        <v>20</v>
      </c>
      <c r="BS7" s="45">
        <f t="shared" si="8"/>
        <v>19000</v>
      </c>
      <c r="BT7" s="42"/>
      <c r="BU7" s="42"/>
      <c r="BV7" s="43">
        <f>(BN6-BQ6-BR6+BT6)</f>
        <v>210</v>
      </c>
      <c r="BW7" s="44">
        <f t="shared" si="27"/>
        <v>950</v>
      </c>
      <c r="BX7" s="45">
        <f t="shared" si="28"/>
        <v>199500</v>
      </c>
      <c r="BY7" s="52">
        <v>2</v>
      </c>
      <c r="BZ7" s="53">
        <v>20</v>
      </c>
      <c r="CA7" s="45">
        <f t="shared" si="9"/>
        <v>19000</v>
      </c>
      <c r="CB7" s="42"/>
      <c r="CC7" s="42"/>
      <c r="CD7" s="43">
        <f>(BV6-BY6-BZ6+CB6)</f>
        <v>210</v>
      </c>
      <c r="CE7" s="44">
        <f t="shared" si="29"/>
        <v>950</v>
      </c>
      <c r="CF7" s="45">
        <f t="shared" si="30"/>
        <v>199500</v>
      </c>
      <c r="CG7" s="26"/>
      <c r="CH7" s="26"/>
      <c r="CI7" s="1"/>
      <c r="CJ7" s="1"/>
      <c r="CK7" s="1"/>
      <c r="CL7" s="1"/>
    </row>
    <row r="8" spans="1:90" ht="15.6" x14ac:dyDescent="0.3">
      <c r="A8" s="42" t="s">
        <v>160</v>
      </c>
      <c r="B8" s="43">
        <v>603</v>
      </c>
      <c r="C8" s="44">
        <v>1250</v>
      </c>
      <c r="D8" s="44">
        <f t="shared" si="10"/>
        <v>753750</v>
      </c>
      <c r="E8" s="52">
        <v>4</v>
      </c>
      <c r="F8" s="53">
        <v>99</v>
      </c>
      <c r="G8" s="45">
        <f t="shared" si="0"/>
        <v>123750</v>
      </c>
      <c r="H8" s="42"/>
      <c r="I8" s="42"/>
      <c r="J8" s="43">
        <f>(B7-E7-F7+H7)+(B8-E8-F8+H8)</f>
        <v>707</v>
      </c>
      <c r="K8" s="44">
        <f t="shared" si="11"/>
        <v>1250</v>
      </c>
      <c r="L8" s="45">
        <f t="shared" si="12"/>
        <v>883750</v>
      </c>
      <c r="M8" s="52">
        <v>4</v>
      </c>
      <c r="N8" s="53">
        <v>103</v>
      </c>
      <c r="O8" s="45">
        <f t="shared" si="1"/>
        <v>128750</v>
      </c>
      <c r="P8" s="42"/>
      <c r="Q8" s="42"/>
      <c r="R8" s="43">
        <f>(J7-M7-N7+P7)+(J8-M8-N8+P8)</f>
        <v>787</v>
      </c>
      <c r="S8" s="44">
        <f t="shared" si="13"/>
        <v>1250</v>
      </c>
      <c r="T8" s="45">
        <f t="shared" si="14"/>
        <v>983750</v>
      </c>
      <c r="U8" s="52">
        <v>4</v>
      </c>
      <c r="V8" s="53">
        <v>183</v>
      </c>
      <c r="W8" s="45">
        <f t="shared" si="2"/>
        <v>228750</v>
      </c>
      <c r="X8" s="42"/>
      <c r="Y8" s="42"/>
      <c r="Z8" s="43">
        <f>(R7-U7-V7+X7)+(R8-U8-V8+X8)</f>
        <v>752</v>
      </c>
      <c r="AA8" s="44">
        <f t="shared" si="15"/>
        <v>1250</v>
      </c>
      <c r="AB8" s="45">
        <f t="shared" si="16"/>
        <v>940000</v>
      </c>
      <c r="AC8" s="52">
        <v>4</v>
      </c>
      <c r="AD8" s="53">
        <v>148</v>
      </c>
      <c r="AE8" s="45">
        <f t="shared" si="3"/>
        <v>185000</v>
      </c>
      <c r="AF8" s="42"/>
      <c r="AG8" s="42"/>
      <c r="AH8" s="43">
        <f>(Z7-AC7-AD7+AF7)+(Z8-AC8-AD8+AF8)</f>
        <v>752</v>
      </c>
      <c r="AI8" s="44">
        <f t="shared" si="17"/>
        <v>1250</v>
      </c>
      <c r="AJ8" s="45">
        <f t="shared" si="18"/>
        <v>940000</v>
      </c>
      <c r="AK8" s="52">
        <v>4</v>
      </c>
      <c r="AL8" s="53">
        <v>148</v>
      </c>
      <c r="AM8" s="45">
        <f t="shared" si="4"/>
        <v>185000</v>
      </c>
      <c r="AN8" s="42"/>
      <c r="AO8" s="42"/>
      <c r="AP8" s="43">
        <f>(AH7-AK7-AL7+AN7)+(AH8-AK8-AL8+AN8)</f>
        <v>788</v>
      </c>
      <c r="AQ8" s="44">
        <f t="shared" si="19"/>
        <v>1250</v>
      </c>
      <c r="AR8" s="45">
        <f t="shared" si="20"/>
        <v>985000</v>
      </c>
      <c r="AS8" s="52">
        <v>4</v>
      </c>
      <c r="AT8" s="53">
        <v>184</v>
      </c>
      <c r="AU8" s="45">
        <f t="shared" si="5"/>
        <v>230000</v>
      </c>
      <c r="AV8" s="42"/>
      <c r="AW8" s="42"/>
      <c r="AX8" s="43">
        <f>(AP7-AS7-AT7+AV7)+(AP8-AS8-AT8+AV8)</f>
        <v>788</v>
      </c>
      <c r="AY8" s="44">
        <f t="shared" si="21"/>
        <v>1250</v>
      </c>
      <c r="AZ8" s="45">
        <f t="shared" si="22"/>
        <v>985000</v>
      </c>
      <c r="BA8" s="52">
        <v>4</v>
      </c>
      <c r="BB8" s="53">
        <v>184</v>
      </c>
      <c r="BC8" s="45">
        <f t="shared" si="6"/>
        <v>230000</v>
      </c>
      <c r="BD8" s="42"/>
      <c r="BE8" s="42"/>
      <c r="BF8" s="43">
        <f>(AX7-BA7-BB7+BD7)+(AX8-BA8-BB8+BD8)</f>
        <v>788</v>
      </c>
      <c r="BG8" s="44">
        <f t="shared" si="23"/>
        <v>1250</v>
      </c>
      <c r="BH8" s="45">
        <f t="shared" si="24"/>
        <v>985000</v>
      </c>
      <c r="BI8" s="52">
        <v>4</v>
      </c>
      <c r="BJ8" s="53">
        <v>184</v>
      </c>
      <c r="BK8" s="45">
        <f t="shared" si="7"/>
        <v>230000</v>
      </c>
      <c r="BL8" s="42"/>
      <c r="BM8" s="42"/>
      <c r="BN8" s="43">
        <f>(BF7-BI7-BJ7+BL7)+(BF8-BI8-BJ8+BL8)</f>
        <v>788</v>
      </c>
      <c r="BO8" s="44">
        <f t="shared" si="25"/>
        <v>1250</v>
      </c>
      <c r="BP8" s="45">
        <f t="shared" si="26"/>
        <v>985000</v>
      </c>
      <c r="BQ8" s="52">
        <v>4</v>
      </c>
      <c r="BR8" s="53">
        <v>184</v>
      </c>
      <c r="BS8" s="45">
        <f t="shared" si="8"/>
        <v>230000</v>
      </c>
      <c r="BT8" s="42"/>
      <c r="BU8" s="42"/>
      <c r="BV8" s="43">
        <f>(BN7-BQ7-BR7+BT7)+(BN8-BQ8-BR8+BT8)</f>
        <v>788</v>
      </c>
      <c r="BW8" s="44">
        <f t="shared" si="27"/>
        <v>1250</v>
      </c>
      <c r="BX8" s="45">
        <f t="shared" si="28"/>
        <v>985000</v>
      </c>
      <c r="BY8" s="52">
        <v>4</v>
      </c>
      <c r="BZ8" s="53">
        <v>184</v>
      </c>
      <c r="CA8" s="45">
        <f t="shared" si="9"/>
        <v>230000</v>
      </c>
      <c r="CB8" s="42"/>
      <c r="CC8" s="42"/>
      <c r="CD8" s="43">
        <f>(BV7-BY7-BZ7+CB7)+(BV8-BY8-BZ8+CB8)</f>
        <v>788</v>
      </c>
      <c r="CE8" s="44">
        <f t="shared" si="29"/>
        <v>1250</v>
      </c>
      <c r="CF8" s="45">
        <f t="shared" si="30"/>
        <v>985000</v>
      </c>
      <c r="CG8" s="26"/>
      <c r="CH8" s="26"/>
      <c r="CI8" s="1"/>
      <c r="CJ8" s="1"/>
      <c r="CK8" s="1"/>
      <c r="CL8" s="1"/>
    </row>
    <row r="9" spans="1:90" ht="15.75" x14ac:dyDescent="0.25">
      <c r="A9" s="42" t="s">
        <v>70</v>
      </c>
      <c r="B9" s="43">
        <v>180</v>
      </c>
      <c r="C9" s="44">
        <v>800</v>
      </c>
      <c r="D9" s="44">
        <f t="shared" si="10"/>
        <v>144000</v>
      </c>
      <c r="E9" s="52">
        <v>3</v>
      </c>
      <c r="F9" s="53"/>
      <c r="G9" s="45">
        <f t="shared" si="0"/>
        <v>0</v>
      </c>
      <c r="H9" s="42"/>
      <c r="I9" s="18"/>
      <c r="J9" s="43">
        <f>J5</f>
        <v>180</v>
      </c>
      <c r="K9" s="44">
        <f t="shared" si="11"/>
        <v>800</v>
      </c>
      <c r="L9" s="45">
        <f t="shared" si="12"/>
        <v>144000</v>
      </c>
      <c r="M9" s="52">
        <v>3</v>
      </c>
      <c r="N9" s="53"/>
      <c r="O9" s="45">
        <f t="shared" si="1"/>
        <v>0</v>
      </c>
      <c r="P9" s="42"/>
      <c r="Q9" s="18">
        <f>P9*900</f>
        <v>0</v>
      </c>
      <c r="R9" s="43">
        <f>R5</f>
        <v>216</v>
      </c>
      <c r="S9" s="44">
        <f t="shared" si="13"/>
        <v>800</v>
      </c>
      <c r="T9" s="45">
        <f t="shared" si="14"/>
        <v>172800</v>
      </c>
      <c r="U9" s="52">
        <v>3</v>
      </c>
      <c r="V9" s="53"/>
      <c r="W9" s="45">
        <f t="shared" si="2"/>
        <v>0</v>
      </c>
      <c r="X9" s="42"/>
      <c r="Y9" s="18"/>
      <c r="Z9" s="43">
        <f>Z5</f>
        <v>216</v>
      </c>
      <c r="AA9" s="44">
        <f t="shared" si="15"/>
        <v>800</v>
      </c>
      <c r="AB9" s="45">
        <f t="shared" si="16"/>
        <v>172800</v>
      </c>
      <c r="AC9" s="52">
        <v>3</v>
      </c>
      <c r="AD9" s="53"/>
      <c r="AE9" s="45">
        <f t="shared" si="3"/>
        <v>0</v>
      </c>
      <c r="AF9" s="42"/>
      <c r="AG9" s="18"/>
      <c r="AH9" s="43">
        <f>AH5</f>
        <v>216</v>
      </c>
      <c r="AI9" s="44">
        <f t="shared" si="17"/>
        <v>800</v>
      </c>
      <c r="AJ9" s="45">
        <f t="shared" si="18"/>
        <v>172800</v>
      </c>
      <c r="AK9" s="52">
        <v>3</v>
      </c>
      <c r="AL9" s="53"/>
      <c r="AM9" s="45">
        <f t="shared" si="4"/>
        <v>0</v>
      </c>
      <c r="AN9" s="42"/>
      <c r="AO9" s="18"/>
      <c r="AP9" s="43">
        <f>AP5</f>
        <v>216</v>
      </c>
      <c r="AQ9" s="44">
        <f t="shared" si="19"/>
        <v>800</v>
      </c>
      <c r="AR9" s="45">
        <f t="shared" si="20"/>
        <v>172800</v>
      </c>
      <c r="AS9" s="52">
        <v>3</v>
      </c>
      <c r="AT9" s="53"/>
      <c r="AU9" s="45">
        <f t="shared" si="5"/>
        <v>0</v>
      </c>
      <c r="AV9" s="42"/>
      <c r="AW9" s="18"/>
      <c r="AX9" s="43">
        <f>AX5</f>
        <v>216</v>
      </c>
      <c r="AY9" s="44">
        <f t="shared" si="21"/>
        <v>800</v>
      </c>
      <c r="AZ9" s="45">
        <f t="shared" si="22"/>
        <v>172800</v>
      </c>
      <c r="BA9" s="52">
        <v>3</v>
      </c>
      <c r="BB9" s="53"/>
      <c r="BC9" s="45">
        <f t="shared" si="6"/>
        <v>0</v>
      </c>
      <c r="BD9" s="42"/>
      <c r="BE9" s="18"/>
      <c r="BF9" s="43">
        <f>BF5</f>
        <v>216</v>
      </c>
      <c r="BG9" s="44">
        <f t="shared" si="23"/>
        <v>800</v>
      </c>
      <c r="BH9" s="45">
        <f t="shared" si="24"/>
        <v>172800</v>
      </c>
      <c r="BI9" s="52">
        <v>3</v>
      </c>
      <c r="BJ9" s="53"/>
      <c r="BK9" s="45">
        <f t="shared" si="7"/>
        <v>0</v>
      </c>
      <c r="BL9" s="42"/>
      <c r="BM9" s="18"/>
      <c r="BN9" s="43">
        <f>BN5</f>
        <v>216</v>
      </c>
      <c r="BO9" s="44">
        <f t="shared" si="25"/>
        <v>800</v>
      </c>
      <c r="BP9" s="45">
        <f t="shared" si="26"/>
        <v>172800</v>
      </c>
      <c r="BQ9" s="52">
        <v>3</v>
      </c>
      <c r="BR9" s="53"/>
      <c r="BS9" s="45">
        <f t="shared" si="8"/>
        <v>0</v>
      </c>
      <c r="BT9" s="42"/>
      <c r="BU9" s="18"/>
      <c r="BV9" s="43">
        <f>BV5</f>
        <v>216</v>
      </c>
      <c r="BW9" s="44">
        <f t="shared" si="27"/>
        <v>800</v>
      </c>
      <c r="BX9" s="45">
        <f t="shared" si="28"/>
        <v>172800</v>
      </c>
      <c r="BY9" s="52">
        <v>3</v>
      </c>
      <c r="BZ9" s="53"/>
      <c r="CA9" s="45">
        <f t="shared" si="9"/>
        <v>0</v>
      </c>
      <c r="CB9" s="42"/>
      <c r="CC9" s="18"/>
      <c r="CD9" s="43">
        <f>CD5</f>
        <v>216</v>
      </c>
      <c r="CE9" s="44">
        <f t="shared" si="29"/>
        <v>800</v>
      </c>
      <c r="CF9" s="45">
        <f t="shared" si="30"/>
        <v>172800</v>
      </c>
      <c r="CG9" s="26"/>
      <c r="CH9" s="26"/>
      <c r="CI9" s="1"/>
      <c r="CJ9" s="1"/>
      <c r="CK9" s="1"/>
      <c r="CL9" s="1"/>
    </row>
    <row r="10" spans="1:90" ht="15.6" x14ac:dyDescent="0.3">
      <c r="A10" s="42" t="s">
        <v>71</v>
      </c>
      <c r="B10" s="43">
        <v>203</v>
      </c>
      <c r="C10" s="44">
        <v>1050</v>
      </c>
      <c r="D10" s="44">
        <f t="shared" si="10"/>
        <v>213150</v>
      </c>
      <c r="E10" s="52">
        <v>3</v>
      </c>
      <c r="F10" s="53"/>
      <c r="G10" s="45">
        <f t="shared" si="0"/>
        <v>0</v>
      </c>
      <c r="H10" s="42">
        <v>35</v>
      </c>
      <c r="I10" s="18">
        <f>H10*C10</f>
        <v>36750</v>
      </c>
      <c r="J10" s="43">
        <f>(B9-E9-F9+H9)</f>
        <v>177</v>
      </c>
      <c r="K10" s="44">
        <f t="shared" si="11"/>
        <v>1050</v>
      </c>
      <c r="L10" s="45">
        <f t="shared" si="12"/>
        <v>185850</v>
      </c>
      <c r="M10" s="52">
        <v>3</v>
      </c>
      <c r="N10" s="53"/>
      <c r="O10" s="45">
        <f t="shared" si="1"/>
        <v>0</v>
      </c>
      <c r="P10" s="42"/>
      <c r="Q10" s="18"/>
      <c r="R10" s="43">
        <f>(J9-M9-N9+P9)</f>
        <v>177</v>
      </c>
      <c r="S10" s="44">
        <f t="shared" si="13"/>
        <v>1050</v>
      </c>
      <c r="T10" s="45">
        <f t="shared" si="14"/>
        <v>185850</v>
      </c>
      <c r="U10" s="52">
        <v>3</v>
      </c>
      <c r="V10" s="53"/>
      <c r="W10" s="45">
        <f t="shared" si="2"/>
        <v>0</v>
      </c>
      <c r="X10" s="42"/>
      <c r="Y10" s="18"/>
      <c r="Z10" s="43">
        <f>(R9-U9-V9+X9)</f>
        <v>213</v>
      </c>
      <c r="AA10" s="44">
        <f t="shared" si="15"/>
        <v>1050</v>
      </c>
      <c r="AB10" s="45">
        <f t="shared" si="16"/>
        <v>223650</v>
      </c>
      <c r="AC10" s="52">
        <v>3</v>
      </c>
      <c r="AD10" s="53"/>
      <c r="AE10" s="45">
        <f t="shared" si="3"/>
        <v>0</v>
      </c>
      <c r="AF10" s="42"/>
      <c r="AG10" s="18"/>
      <c r="AH10" s="43">
        <f>(Z9-AC9-AD9+AF9)</f>
        <v>213</v>
      </c>
      <c r="AI10" s="44">
        <f t="shared" si="17"/>
        <v>1050</v>
      </c>
      <c r="AJ10" s="45">
        <f t="shared" si="18"/>
        <v>223650</v>
      </c>
      <c r="AK10" s="52">
        <v>3</v>
      </c>
      <c r="AL10" s="53"/>
      <c r="AM10" s="45">
        <f t="shared" si="4"/>
        <v>0</v>
      </c>
      <c r="AN10" s="42"/>
      <c r="AO10" s="18"/>
      <c r="AP10" s="43">
        <f>(AH9-AK9-AL9+AN9)</f>
        <v>213</v>
      </c>
      <c r="AQ10" s="44">
        <f t="shared" si="19"/>
        <v>1050</v>
      </c>
      <c r="AR10" s="45">
        <f t="shared" si="20"/>
        <v>223650</v>
      </c>
      <c r="AS10" s="52">
        <v>3</v>
      </c>
      <c r="AT10" s="53"/>
      <c r="AU10" s="45">
        <f t="shared" si="5"/>
        <v>0</v>
      </c>
      <c r="AV10" s="42"/>
      <c r="AW10" s="18"/>
      <c r="AX10" s="43">
        <f>(AP9-AS9-AT9+AV9)</f>
        <v>213</v>
      </c>
      <c r="AY10" s="44">
        <f t="shared" si="21"/>
        <v>1050</v>
      </c>
      <c r="AZ10" s="45">
        <f t="shared" si="22"/>
        <v>223650</v>
      </c>
      <c r="BA10" s="52">
        <v>3</v>
      </c>
      <c r="BB10" s="53"/>
      <c r="BC10" s="45">
        <f t="shared" si="6"/>
        <v>0</v>
      </c>
      <c r="BD10" s="42"/>
      <c r="BE10" s="18"/>
      <c r="BF10" s="43">
        <f>(AX9-BA9-BB9+BD9)</f>
        <v>213</v>
      </c>
      <c r="BG10" s="44">
        <f t="shared" si="23"/>
        <v>1050</v>
      </c>
      <c r="BH10" s="45">
        <f t="shared" si="24"/>
        <v>223650</v>
      </c>
      <c r="BI10" s="52">
        <v>3</v>
      </c>
      <c r="BJ10" s="53"/>
      <c r="BK10" s="45">
        <f t="shared" si="7"/>
        <v>0</v>
      </c>
      <c r="BL10" s="42"/>
      <c r="BM10" s="18"/>
      <c r="BN10" s="43">
        <f>(BF9-BI9-BJ9+BL9)</f>
        <v>213</v>
      </c>
      <c r="BO10" s="44">
        <f t="shared" si="25"/>
        <v>1050</v>
      </c>
      <c r="BP10" s="45">
        <f t="shared" si="26"/>
        <v>223650</v>
      </c>
      <c r="BQ10" s="52">
        <v>3</v>
      </c>
      <c r="BR10" s="53"/>
      <c r="BS10" s="45">
        <f t="shared" si="8"/>
        <v>0</v>
      </c>
      <c r="BT10" s="42"/>
      <c r="BU10" s="18"/>
      <c r="BV10" s="43">
        <f>(BN9-BQ9-BR9+BT9)</f>
        <v>213</v>
      </c>
      <c r="BW10" s="44">
        <f t="shared" si="27"/>
        <v>1050</v>
      </c>
      <c r="BX10" s="45">
        <f t="shared" si="28"/>
        <v>223650</v>
      </c>
      <c r="BY10" s="52">
        <v>3</v>
      </c>
      <c r="BZ10" s="53"/>
      <c r="CA10" s="45">
        <f t="shared" si="9"/>
        <v>0</v>
      </c>
      <c r="CB10" s="42"/>
      <c r="CC10" s="18"/>
      <c r="CD10" s="43">
        <f>(BV9-BY9-BZ9+CB9)</f>
        <v>213</v>
      </c>
      <c r="CE10" s="44">
        <f t="shared" si="29"/>
        <v>1050</v>
      </c>
      <c r="CF10" s="45">
        <f t="shared" si="30"/>
        <v>223650</v>
      </c>
      <c r="CG10" s="26"/>
      <c r="CH10" s="26"/>
      <c r="CI10" s="1"/>
      <c r="CJ10" s="1"/>
      <c r="CK10" s="1"/>
      <c r="CL10" s="1"/>
    </row>
    <row r="11" spans="1:90" ht="15.6" x14ac:dyDescent="0.3">
      <c r="A11" s="42" t="s">
        <v>74</v>
      </c>
      <c r="B11" s="43">
        <v>200</v>
      </c>
      <c r="C11" s="44">
        <v>1650</v>
      </c>
      <c r="D11" s="44">
        <f t="shared" si="10"/>
        <v>330000</v>
      </c>
      <c r="E11" s="52">
        <v>2</v>
      </c>
      <c r="F11" s="53">
        <v>198</v>
      </c>
      <c r="G11" s="45">
        <f t="shared" si="0"/>
        <v>326700</v>
      </c>
      <c r="H11" s="42"/>
      <c r="I11" s="42"/>
      <c r="J11" s="43">
        <f>(B10-E10-F10+H10)</f>
        <v>235</v>
      </c>
      <c r="K11" s="44">
        <f t="shared" si="11"/>
        <v>1650</v>
      </c>
      <c r="L11" s="45">
        <f t="shared" si="12"/>
        <v>387750</v>
      </c>
      <c r="M11" s="52">
        <v>2</v>
      </c>
      <c r="N11" s="53">
        <v>233</v>
      </c>
      <c r="O11" s="45">
        <f t="shared" si="1"/>
        <v>384450</v>
      </c>
      <c r="P11" s="42"/>
      <c r="Q11" s="42"/>
      <c r="R11" s="43">
        <f>(J10-M10-N10+P10)</f>
        <v>174</v>
      </c>
      <c r="S11" s="44">
        <f t="shared" si="13"/>
        <v>1650</v>
      </c>
      <c r="T11" s="45">
        <f t="shared" si="14"/>
        <v>287100</v>
      </c>
      <c r="U11" s="52">
        <v>2</v>
      </c>
      <c r="V11" s="53">
        <v>172</v>
      </c>
      <c r="W11" s="45">
        <f t="shared" si="2"/>
        <v>283800</v>
      </c>
      <c r="X11" s="42"/>
      <c r="Y11" s="42"/>
      <c r="Z11" s="43">
        <f>(R10-U10-V10+X10)</f>
        <v>174</v>
      </c>
      <c r="AA11" s="44">
        <f t="shared" si="15"/>
        <v>1650</v>
      </c>
      <c r="AB11" s="45">
        <f t="shared" si="16"/>
        <v>287100</v>
      </c>
      <c r="AC11" s="52">
        <v>2</v>
      </c>
      <c r="AD11" s="53">
        <v>172</v>
      </c>
      <c r="AE11" s="45">
        <f t="shared" si="3"/>
        <v>283800</v>
      </c>
      <c r="AF11" s="42"/>
      <c r="AG11" s="42"/>
      <c r="AH11" s="43">
        <f>(Z10-AC10-AD10+AF10)</f>
        <v>210</v>
      </c>
      <c r="AI11" s="44">
        <f t="shared" si="17"/>
        <v>1650</v>
      </c>
      <c r="AJ11" s="45">
        <f t="shared" si="18"/>
        <v>346500</v>
      </c>
      <c r="AK11" s="52">
        <v>2</v>
      </c>
      <c r="AL11" s="53">
        <v>208</v>
      </c>
      <c r="AM11" s="45">
        <f t="shared" si="4"/>
        <v>343200</v>
      </c>
      <c r="AN11" s="42"/>
      <c r="AO11" s="42"/>
      <c r="AP11" s="43">
        <f>(AH10-AK10-AL10+AN10)</f>
        <v>210</v>
      </c>
      <c r="AQ11" s="44">
        <f t="shared" si="19"/>
        <v>1650</v>
      </c>
      <c r="AR11" s="45">
        <f t="shared" si="20"/>
        <v>346500</v>
      </c>
      <c r="AS11" s="52">
        <v>2</v>
      </c>
      <c r="AT11" s="53">
        <v>208</v>
      </c>
      <c r="AU11" s="45">
        <f t="shared" si="5"/>
        <v>343200</v>
      </c>
      <c r="AV11" s="42"/>
      <c r="AW11" s="42"/>
      <c r="AX11" s="43">
        <f>(AP10-AS10-AT10+AV10)</f>
        <v>210</v>
      </c>
      <c r="AY11" s="44">
        <f t="shared" si="21"/>
        <v>1650</v>
      </c>
      <c r="AZ11" s="45">
        <f t="shared" si="22"/>
        <v>346500</v>
      </c>
      <c r="BA11" s="52">
        <v>2</v>
      </c>
      <c r="BB11" s="53">
        <v>208</v>
      </c>
      <c r="BC11" s="45">
        <f t="shared" si="6"/>
        <v>343200</v>
      </c>
      <c r="BD11" s="42"/>
      <c r="BE11" s="42"/>
      <c r="BF11" s="43">
        <f>(AX10-BA10-BB10+BD10)</f>
        <v>210</v>
      </c>
      <c r="BG11" s="44">
        <f t="shared" si="23"/>
        <v>1650</v>
      </c>
      <c r="BH11" s="45">
        <f t="shared" si="24"/>
        <v>346500</v>
      </c>
      <c r="BI11" s="52">
        <v>2</v>
      </c>
      <c r="BJ11" s="53">
        <v>208</v>
      </c>
      <c r="BK11" s="45">
        <f t="shared" si="7"/>
        <v>343200</v>
      </c>
      <c r="BL11" s="42"/>
      <c r="BM11" s="42"/>
      <c r="BN11" s="43">
        <f>(BF10-BI10-BJ10+BL10)</f>
        <v>210</v>
      </c>
      <c r="BO11" s="44">
        <f t="shared" si="25"/>
        <v>1650</v>
      </c>
      <c r="BP11" s="45">
        <f t="shared" si="26"/>
        <v>346500</v>
      </c>
      <c r="BQ11" s="52">
        <v>2</v>
      </c>
      <c r="BR11" s="53">
        <v>208</v>
      </c>
      <c r="BS11" s="45">
        <f t="shared" si="8"/>
        <v>343200</v>
      </c>
      <c r="BT11" s="42"/>
      <c r="BU11" s="42"/>
      <c r="BV11" s="43">
        <f>(BN10-BQ10-BR10+BT10)</f>
        <v>210</v>
      </c>
      <c r="BW11" s="44">
        <f t="shared" si="27"/>
        <v>1650</v>
      </c>
      <c r="BX11" s="45">
        <f t="shared" si="28"/>
        <v>346500</v>
      </c>
      <c r="BY11" s="52">
        <v>2</v>
      </c>
      <c r="BZ11" s="53">
        <v>208</v>
      </c>
      <c r="CA11" s="45">
        <f t="shared" si="9"/>
        <v>343200</v>
      </c>
      <c r="CB11" s="42"/>
      <c r="CC11" s="42"/>
      <c r="CD11" s="43">
        <f>(BV10-BY10-BZ10+CB10)</f>
        <v>210</v>
      </c>
      <c r="CE11" s="44">
        <f t="shared" si="29"/>
        <v>1650</v>
      </c>
      <c r="CF11" s="45">
        <f t="shared" si="30"/>
        <v>346500</v>
      </c>
      <c r="CG11" s="26"/>
      <c r="CH11" s="26"/>
      <c r="CI11" s="1"/>
      <c r="CJ11" s="1"/>
      <c r="CK11" s="1"/>
      <c r="CL11" s="1"/>
    </row>
    <row r="12" spans="1:90" ht="15.6" x14ac:dyDescent="0.3">
      <c r="A12" s="42" t="s">
        <v>72</v>
      </c>
      <c r="B12" s="43">
        <v>20</v>
      </c>
      <c r="C12" s="44">
        <v>4000</v>
      </c>
      <c r="D12" s="44">
        <f t="shared" si="10"/>
        <v>80000</v>
      </c>
      <c r="E12" s="52">
        <v>0</v>
      </c>
      <c r="F12" s="53">
        <v>4</v>
      </c>
      <c r="G12" s="45">
        <f>F12*2200</f>
        <v>8800</v>
      </c>
      <c r="H12" s="42">
        <v>8</v>
      </c>
      <c r="I12" s="54">
        <f>H12*4000</f>
        <v>32000</v>
      </c>
      <c r="J12" s="43">
        <f>(B12-E12-F12+H12)</f>
        <v>24</v>
      </c>
      <c r="K12" s="44">
        <f t="shared" si="11"/>
        <v>4000</v>
      </c>
      <c r="L12" s="45">
        <f t="shared" si="12"/>
        <v>96000</v>
      </c>
      <c r="M12" s="52">
        <v>0</v>
      </c>
      <c r="N12" s="53">
        <v>3</v>
      </c>
      <c r="O12" s="45">
        <f>N12*2200</f>
        <v>6600</v>
      </c>
      <c r="P12" s="42">
        <v>3</v>
      </c>
      <c r="Q12" s="54">
        <f>P12*4000</f>
        <v>12000</v>
      </c>
      <c r="R12" s="43">
        <f>(J12-M12-N12+P12)</f>
        <v>24</v>
      </c>
      <c r="S12" s="44">
        <f t="shared" si="13"/>
        <v>4000</v>
      </c>
      <c r="T12" s="45">
        <f t="shared" si="14"/>
        <v>96000</v>
      </c>
      <c r="U12" s="52">
        <v>0</v>
      </c>
      <c r="V12" s="53">
        <v>3</v>
      </c>
      <c r="W12" s="45">
        <f>V12*2200</f>
        <v>6600</v>
      </c>
      <c r="X12" s="42">
        <v>3</v>
      </c>
      <c r="Y12" s="54">
        <f>X12*4000</f>
        <v>12000</v>
      </c>
      <c r="Z12" s="43">
        <f>(R12-U12-V12+X12)</f>
        <v>24</v>
      </c>
      <c r="AA12" s="44">
        <f t="shared" si="15"/>
        <v>4000</v>
      </c>
      <c r="AB12" s="45">
        <f t="shared" si="16"/>
        <v>96000</v>
      </c>
      <c r="AC12" s="52">
        <v>0</v>
      </c>
      <c r="AD12" s="53">
        <v>3</v>
      </c>
      <c r="AE12" s="45">
        <f>AD12*2200</f>
        <v>6600</v>
      </c>
      <c r="AF12" s="42">
        <v>3</v>
      </c>
      <c r="AG12" s="54">
        <f>AF12*4000</f>
        <v>12000</v>
      </c>
      <c r="AH12" s="43">
        <f>(Z12-AC12-AD12+AF12)</f>
        <v>24</v>
      </c>
      <c r="AI12" s="44">
        <f t="shared" si="17"/>
        <v>4000</v>
      </c>
      <c r="AJ12" s="45">
        <f t="shared" si="18"/>
        <v>96000</v>
      </c>
      <c r="AK12" s="52">
        <v>0</v>
      </c>
      <c r="AL12" s="53">
        <v>3</v>
      </c>
      <c r="AM12" s="45">
        <f>AL12*2200</f>
        <v>6600</v>
      </c>
      <c r="AN12" s="42">
        <v>3</v>
      </c>
      <c r="AO12" s="54">
        <f>AN12*4000</f>
        <v>12000</v>
      </c>
      <c r="AP12" s="43">
        <f>(AH12-AK12-AL12+AN12)</f>
        <v>24</v>
      </c>
      <c r="AQ12" s="44">
        <f t="shared" si="19"/>
        <v>4000</v>
      </c>
      <c r="AR12" s="45">
        <f t="shared" si="20"/>
        <v>96000</v>
      </c>
      <c r="AS12" s="52">
        <v>0</v>
      </c>
      <c r="AT12" s="53">
        <v>3</v>
      </c>
      <c r="AU12" s="45">
        <f>AT12*2200</f>
        <v>6600</v>
      </c>
      <c r="AV12" s="42">
        <v>3</v>
      </c>
      <c r="AW12" s="54">
        <f>AV12*4000</f>
        <v>12000</v>
      </c>
      <c r="AX12" s="43">
        <f>(AP12-AS12-AT12+AV12)</f>
        <v>24</v>
      </c>
      <c r="AY12" s="44">
        <f t="shared" si="21"/>
        <v>4000</v>
      </c>
      <c r="AZ12" s="45">
        <f t="shared" si="22"/>
        <v>96000</v>
      </c>
      <c r="BA12" s="52">
        <v>0</v>
      </c>
      <c r="BB12" s="53">
        <v>3</v>
      </c>
      <c r="BC12" s="45">
        <f>BB12*2200</f>
        <v>6600</v>
      </c>
      <c r="BD12" s="42">
        <v>3</v>
      </c>
      <c r="BE12" s="54">
        <f>BD12*4000</f>
        <v>12000</v>
      </c>
      <c r="BF12" s="43">
        <f>(AX12-BA12-BB12+BD12)</f>
        <v>24</v>
      </c>
      <c r="BG12" s="44">
        <f t="shared" si="23"/>
        <v>4000</v>
      </c>
      <c r="BH12" s="45">
        <f t="shared" si="24"/>
        <v>96000</v>
      </c>
      <c r="BI12" s="52">
        <v>0</v>
      </c>
      <c r="BJ12" s="53">
        <v>3</v>
      </c>
      <c r="BK12" s="45">
        <f>BJ12*2200</f>
        <v>6600</v>
      </c>
      <c r="BL12" s="42">
        <v>3</v>
      </c>
      <c r="BM12" s="54">
        <f>BL12*4000</f>
        <v>12000</v>
      </c>
      <c r="BN12" s="43">
        <f>(BF12-BI12-BJ12+BL12)</f>
        <v>24</v>
      </c>
      <c r="BO12" s="44">
        <f t="shared" si="25"/>
        <v>4000</v>
      </c>
      <c r="BP12" s="45">
        <f t="shared" si="26"/>
        <v>96000</v>
      </c>
      <c r="BQ12" s="52">
        <v>0</v>
      </c>
      <c r="BR12" s="53">
        <v>3</v>
      </c>
      <c r="BS12" s="45">
        <f>BR12*2200</f>
        <v>6600</v>
      </c>
      <c r="BT12" s="42">
        <v>3</v>
      </c>
      <c r="BU12" s="54">
        <f>BT12*4000</f>
        <v>12000</v>
      </c>
      <c r="BV12" s="43">
        <f>(BN12-BQ12-BR12+BT12)</f>
        <v>24</v>
      </c>
      <c r="BW12" s="44">
        <f t="shared" si="27"/>
        <v>4000</v>
      </c>
      <c r="BX12" s="45">
        <f t="shared" si="28"/>
        <v>96000</v>
      </c>
      <c r="BY12" s="52">
        <v>0</v>
      </c>
      <c r="BZ12" s="53">
        <v>3</v>
      </c>
      <c r="CA12" s="45">
        <f>BZ12*2200</f>
        <v>6600</v>
      </c>
      <c r="CB12" s="42">
        <v>3</v>
      </c>
      <c r="CC12" s="54">
        <f>CB12*4000</f>
        <v>12000</v>
      </c>
      <c r="CD12" s="43">
        <f>(BV12-BY12-BZ12+CB12)</f>
        <v>24</v>
      </c>
      <c r="CE12" s="44">
        <f t="shared" si="29"/>
        <v>4000</v>
      </c>
      <c r="CF12" s="45">
        <f t="shared" si="30"/>
        <v>96000</v>
      </c>
      <c r="CG12" s="26"/>
      <c r="CH12" s="26"/>
      <c r="CI12" s="1"/>
      <c r="CJ12" s="1"/>
      <c r="CK12" s="1"/>
      <c r="CL12" s="1"/>
    </row>
    <row r="13" spans="1:90" ht="15.6" x14ac:dyDescent="0.3">
      <c r="A13" s="55" t="s">
        <v>9</v>
      </c>
      <c r="B13" s="56">
        <f>SUM(B5:B12)</f>
        <v>1807</v>
      </c>
      <c r="C13" s="44"/>
      <c r="D13" s="57">
        <f t="shared" ref="D13:J13" si="31">SUM(D5:D12)</f>
        <v>2006050</v>
      </c>
      <c r="E13" s="58">
        <f t="shared" si="31"/>
        <v>20</v>
      </c>
      <c r="F13" s="56">
        <f t="shared" si="31"/>
        <v>301</v>
      </c>
      <c r="G13" s="57">
        <f t="shared" si="31"/>
        <v>459250</v>
      </c>
      <c r="H13" s="56">
        <f t="shared" si="31"/>
        <v>43</v>
      </c>
      <c r="I13" s="57">
        <f t="shared" si="31"/>
        <v>68750</v>
      </c>
      <c r="J13" s="56">
        <f t="shared" si="31"/>
        <v>1889</v>
      </c>
      <c r="K13" s="56"/>
      <c r="L13" s="57">
        <f t="shared" ref="L13:R13" si="32">SUM(L5:L12)</f>
        <v>2154500</v>
      </c>
      <c r="M13" s="58">
        <f t="shared" si="32"/>
        <v>20</v>
      </c>
      <c r="N13" s="56">
        <f t="shared" si="32"/>
        <v>359</v>
      </c>
      <c r="O13" s="57">
        <f t="shared" si="32"/>
        <v>538800</v>
      </c>
      <c r="P13" s="56">
        <f t="shared" si="32"/>
        <v>3</v>
      </c>
      <c r="Q13" s="57">
        <f t="shared" si="32"/>
        <v>12000</v>
      </c>
      <c r="R13" s="56">
        <f t="shared" si="32"/>
        <v>1945</v>
      </c>
      <c r="S13" s="56"/>
      <c r="T13" s="57">
        <f t="shared" ref="T13:Z13" si="33">SUM(T5:T12)</f>
        <v>2172800</v>
      </c>
      <c r="U13" s="58">
        <f t="shared" si="33"/>
        <v>20</v>
      </c>
      <c r="V13" s="56">
        <f t="shared" si="33"/>
        <v>378</v>
      </c>
      <c r="W13" s="57">
        <f t="shared" si="33"/>
        <v>538150</v>
      </c>
      <c r="X13" s="56">
        <f t="shared" si="33"/>
        <v>3</v>
      </c>
      <c r="Y13" s="57">
        <f t="shared" si="33"/>
        <v>12000</v>
      </c>
      <c r="Z13" s="56">
        <f t="shared" si="33"/>
        <v>1982</v>
      </c>
      <c r="AA13" s="56"/>
      <c r="AB13" s="57">
        <f t="shared" ref="AB13:AH13" si="34">SUM(AB5:AB12)</f>
        <v>2195650</v>
      </c>
      <c r="AC13" s="58">
        <f t="shared" si="34"/>
        <v>20</v>
      </c>
      <c r="AD13" s="56">
        <f t="shared" si="34"/>
        <v>343</v>
      </c>
      <c r="AE13" s="57">
        <f t="shared" si="34"/>
        <v>494400</v>
      </c>
      <c r="AF13" s="56">
        <f t="shared" si="34"/>
        <v>3</v>
      </c>
      <c r="AG13" s="57">
        <f t="shared" si="34"/>
        <v>12000</v>
      </c>
      <c r="AH13" s="56">
        <f t="shared" si="34"/>
        <v>2054</v>
      </c>
      <c r="AI13" s="56"/>
      <c r="AJ13" s="57">
        <f t="shared" ref="AJ13:AP13" si="35">SUM(AJ5:AJ12)</f>
        <v>2289250</v>
      </c>
      <c r="AK13" s="58">
        <f t="shared" si="35"/>
        <v>20</v>
      </c>
      <c r="AL13" s="56">
        <f t="shared" si="35"/>
        <v>379</v>
      </c>
      <c r="AM13" s="57">
        <f t="shared" si="35"/>
        <v>553800</v>
      </c>
      <c r="AN13" s="56">
        <f t="shared" si="35"/>
        <v>3</v>
      </c>
      <c r="AO13" s="57">
        <f t="shared" si="35"/>
        <v>12000</v>
      </c>
      <c r="AP13" s="56">
        <f t="shared" si="35"/>
        <v>2090</v>
      </c>
      <c r="AQ13" s="56"/>
      <c r="AR13" s="57">
        <f t="shared" ref="AR13:AX13" si="36">SUM(AR5:AR12)</f>
        <v>2334250</v>
      </c>
      <c r="AS13" s="58">
        <f t="shared" si="36"/>
        <v>20</v>
      </c>
      <c r="AT13" s="56">
        <f t="shared" si="36"/>
        <v>415</v>
      </c>
      <c r="AU13" s="57">
        <f t="shared" si="36"/>
        <v>598800</v>
      </c>
      <c r="AV13" s="56">
        <f t="shared" si="36"/>
        <v>3</v>
      </c>
      <c r="AW13" s="57">
        <f t="shared" si="36"/>
        <v>12000</v>
      </c>
      <c r="AX13" s="56">
        <f t="shared" si="36"/>
        <v>2090</v>
      </c>
      <c r="AY13" s="56"/>
      <c r="AZ13" s="57">
        <f t="shared" ref="AZ13:BF13" si="37">SUM(AZ5:AZ12)</f>
        <v>2334250</v>
      </c>
      <c r="BA13" s="58">
        <f t="shared" si="37"/>
        <v>20</v>
      </c>
      <c r="BB13" s="56">
        <f t="shared" si="37"/>
        <v>415</v>
      </c>
      <c r="BC13" s="57">
        <f t="shared" si="37"/>
        <v>598800</v>
      </c>
      <c r="BD13" s="56">
        <f t="shared" si="37"/>
        <v>3</v>
      </c>
      <c r="BE13" s="57">
        <f t="shared" si="37"/>
        <v>12000</v>
      </c>
      <c r="BF13" s="56">
        <f t="shared" si="37"/>
        <v>2090</v>
      </c>
      <c r="BG13" s="56"/>
      <c r="BH13" s="57">
        <f t="shared" ref="BH13:BN13" si="38">SUM(BH5:BH12)</f>
        <v>2334250</v>
      </c>
      <c r="BI13" s="58">
        <f t="shared" si="38"/>
        <v>20</v>
      </c>
      <c r="BJ13" s="56">
        <f t="shared" si="38"/>
        <v>415</v>
      </c>
      <c r="BK13" s="57">
        <f t="shared" si="38"/>
        <v>598800</v>
      </c>
      <c r="BL13" s="56">
        <f t="shared" si="38"/>
        <v>3</v>
      </c>
      <c r="BM13" s="57">
        <f t="shared" si="38"/>
        <v>12000</v>
      </c>
      <c r="BN13" s="56">
        <f t="shared" si="38"/>
        <v>2090</v>
      </c>
      <c r="BO13" s="56"/>
      <c r="BP13" s="57">
        <f t="shared" ref="BP13:BV13" si="39">SUM(BP5:BP12)</f>
        <v>2334250</v>
      </c>
      <c r="BQ13" s="58">
        <f t="shared" si="39"/>
        <v>20</v>
      </c>
      <c r="BR13" s="56">
        <f t="shared" si="39"/>
        <v>415</v>
      </c>
      <c r="BS13" s="57">
        <f t="shared" si="39"/>
        <v>598800</v>
      </c>
      <c r="BT13" s="56">
        <f t="shared" si="39"/>
        <v>3</v>
      </c>
      <c r="BU13" s="57">
        <f t="shared" si="39"/>
        <v>12000</v>
      </c>
      <c r="BV13" s="56">
        <f t="shared" si="39"/>
        <v>2090</v>
      </c>
      <c r="BW13" s="56"/>
      <c r="BX13" s="57">
        <f t="shared" ref="BX13:CD13" si="40">SUM(BX5:BX12)</f>
        <v>2334250</v>
      </c>
      <c r="BY13" s="58">
        <f t="shared" si="40"/>
        <v>20</v>
      </c>
      <c r="BZ13" s="56">
        <f t="shared" si="40"/>
        <v>415</v>
      </c>
      <c r="CA13" s="57">
        <f t="shared" si="40"/>
        <v>598800</v>
      </c>
      <c r="CB13" s="56">
        <f t="shared" si="40"/>
        <v>3</v>
      </c>
      <c r="CC13" s="57">
        <f t="shared" si="40"/>
        <v>12000</v>
      </c>
      <c r="CD13" s="56">
        <f t="shared" si="40"/>
        <v>2090</v>
      </c>
      <c r="CE13" s="56"/>
      <c r="CF13" s="57">
        <f>SUM(CF5:CF12)</f>
        <v>2334250</v>
      </c>
      <c r="CG13" s="26"/>
      <c r="CH13" s="26"/>
      <c r="CI13" s="1"/>
      <c r="CJ13" s="1"/>
      <c r="CK13" s="1"/>
      <c r="CL13" s="1"/>
    </row>
    <row r="14" spans="1:90" ht="16.149999999999999" thickBot="1" x14ac:dyDescent="0.3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26"/>
      <c r="CH14" s="26"/>
      <c r="CI14" s="1"/>
      <c r="CJ14" s="1"/>
      <c r="CK14" s="1"/>
      <c r="CL14" s="1"/>
    </row>
    <row r="15" spans="1:90" ht="16.5" thickBot="1" x14ac:dyDescent="0.3">
      <c r="A15" s="63" t="s">
        <v>161</v>
      </c>
      <c r="B15" s="49"/>
      <c r="C15" s="62"/>
      <c r="D15" s="49"/>
      <c r="E15" s="49"/>
      <c r="F15" s="49"/>
      <c r="G15" s="49"/>
      <c r="H15" s="61">
        <v>360</v>
      </c>
      <c r="I15" s="49"/>
      <c r="J15" s="49"/>
      <c r="K15" s="62"/>
      <c r="L15" s="49"/>
      <c r="M15" s="49"/>
      <c r="N15" s="49"/>
      <c r="O15" s="49"/>
      <c r="P15" s="61">
        <v>432</v>
      </c>
      <c r="Q15" s="49"/>
      <c r="R15" s="49"/>
      <c r="S15" s="62"/>
      <c r="T15" s="49"/>
      <c r="U15" s="49"/>
      <c r="V15" s="49"/>
      <c r="W15" s="49"/>
      <c r="X15" s="61">
        <v>432</v>
      </c>
      <c r="Y15" s="49"/>
      <c r="Z15" s="49"/>
      <c r="AA15" s="62"/>
      <c r="AB15" s="117"/>
      <c r="AC15" s="49"/>
      <c r="AD15" s="49"/>
      <c r="AE15" s="49"/>
      <c r="AF15" s="61">
        <v>432</v>
      </c>
      <c r="AG15" s="49"/>
      <c r="AH15" s="49"/>
      <c r="AI15" s="62"/>
      <c r="AJ15" s="117"/>
      <c r="AK15" s="49"/>
      <c r="AL15" s="49"/>
      <c r="AM15" s="49"/>
      <c r="AN15" s="61">
        <v>432</v>
      </c>
      <c r="AO15" s="49"/>
      <c r="AP15" s="49"/>
      <c r="AQ15" s="62"/>
      <c r="AR15" s="117"/>
      <c r="AS15" s="49"/>
      <c r="AT15" s="49"/>
      <c r="AU15" s="49"/>
      <c r="AV15" s="61">
        <v>432</v>
      </c>
      <c r="AW15" s="49"/>
      <c r="AX15" s="49"/>
      <c r="AY15" s="62"/>
      <c r="AZ15" s="117"/>
      <c r="BA15" s="49"/>
      <c r="BB15" s="49"/>
      <c r="BC15" s="49"/>
      <c r="BD15" s="61">
        <v>432</v>
      </c>
      <c r="BE15" s="49"/>
      <c r="BF15" s="49"/>
      <c r="BG15" s="62"/>
      <c r="BH15" s="117"/>
      <c r="BI15" s="49"/>
      <c r="BJ15" s="49"/>
      <c r="BK15" s="49"/>
      <c r="BL15" s="61">
        <v>432</v>
      </c>
      <c r="BM15" s="49"/>
      <c r="BN15" s="49"/>
      <c r="BO15" s="62"/>
      <c r="BP15" s="117"/>
      <c r="BQ15" s="49"/>
      <c r="BR15" s="49"/>
      <c r="BS15" s="49"/>
      <c r="BT15" s="61">
        <v>432</v>
      </c>
      <c r="BU15" s="49"/>
      <c r="BV15" s="49"/>
      <c r="BW15" s="62"/>
      <c r="BX15" s="117"/>
      <c r="BY15" s="59"/>
      <c r="BZ15" s="59"/>
      <c r="CA15" s="59"/>
      <c r="CB15" s="61">
        <v>432</v>
      </c>
      <c r="CC15" s="59"/>
      <c r="CD15" s="49"/>
      <c r="CE15" s="62"/>
      <c r="CF15" s="117"/>
      <c r="CG15" s="26"/>
      <c r="CH15" s="26"/>
      <c r="CI15" s="1"/>
      <c r="CJ15" s="1"/>
      <c r="CK15" s="1"/>
      <c r="CL15" s="1"/>
    </row>
    <row r="16" spans="1:90" ht="16.149999999999999" thickBot="1" x14ac:dyDescent="0.35">
      <c r="A16" s="63" t="s">
        <v>75</v>
      </c>
      <c r="B16" s="49"/>
      <c r="C16" s="49"/>
      <c r="D16" s="49"/>
      <c r="E16" s="49"/>
      <c r="F16" s="49"/>
      <c r="G16" s="49"/>
      <c r="H16" s="64">
        <f>H15/(B8-E8-F8)</f>
        <v>0.72</v>
      </c>
      <c r="I16" s="49"/>
      <c r="J16" s="49"/>
      <c r="K16" s="62"/>
      <c r="L16" s="49"/>
      <c r="M16" s="49"/>
      <c r="N16" s="49"/>
      <c r="O16" s="49"/>
      <c r="P16" s="64">
        <f>P15/(J8-M8-N8)</f>
        <v>0.72</v>
      </c>
      <c r="Q16" s="49"/>
      <c r="R16" s="49"/>
      <c r="S16" s="49"/>
      <c r="T16" s="49"/>
      <c r="U16" s="49"/>
      <c r="V16" s="49"/>
      <c r="W16" s="49"/>
      <c r="X16" s="64">
        <f>X15/(R8-U8-V8)</f>
        <v>0.72</v>
      </c>
      <c r="Y16" s="49"/>
      <c r="Z16" s="49"/>
      <c r="AA16" s="49"/>
      <c r="AB16" s="49"/>
      <c r="AC16" s="49"/>
      <c r="AD16" s="49"/>
      <c r="AE16" s="49"/>
      <c r="AF16" s="64">
        <f>AF15/(Z8-AC8-AD8)</f>
        <v>0.72</v>
      </c>
      <c r="AG16" s="49"/>
      <c r="AH16" s="49"/>
      <c r="AI16" s="49"/>
      <c r="AJ16" s="49"/>
      <c r="AK16" s="49"/>
      <c r="AL16" s="49"/>
      <c r="AM16" s="49"/>
      <c r="AN16" s="64">
        <f>AN15/(AH8-AK8-AL8)</f>
        <v>0.72</v>
      </c>
      <c r="AO16" s="49"/>
      <c r="AP16" s="49"/>
      <c r="AQ16" s="49"/>
      <c r="AR16" s="49"/>
      <c r="AS16" s="49"/>
      <c r="AT16" s="49"/>
      <c r="AU16" s="49"/>
      <c r="AV16" s="64">
        <f>AV15/(AP8-AS8-AT8)</f>
        <v>0.72</v>
      </c>
      <c r="AW16" s="49"/>
      <c r="AX16" s="49"/>
      <c r="AY16" s="49"/>
      <c r="AZ16" s="49"/>
      <c r="BA16" s="49"/>
      <c r="BB16" s="49"/>
      <c r="BC16" s="49"/>
      <c r="BD16" s="64">
        <f>BD15/(AX8-BA8-BB8)</f>
        <v>0.72</v>
      </c>
      <c r="BE16" s="49"/>
      <c r="BF16" s="49"/>
      <c r="BG16" s="49"/>
      <c r="BH16" s="49"/>
      <c r="BI16" s="49"/>
      <c r="BJ16" s="49"/>
      <c r="BK16" s="49"/>
      <c r="BL16" s="64">
        <f>BL15/(BF8-BI8-BJ8)</f>
        <v>0.72</v>
      </c>
      <c r="BM16" s="49"/>
      <c r="BN16" s="49"/>
      <c r="BO16" s="49"/>
      <c r="BP16" s="49"/>
      <c r="BQ16" s="49"/>
      <c r="BR16" s="49"/>
      <c r="BS16" s="49"/>
      <c r="BT16" s="64">
        <f>BT15/(BN8-BQ8-BR8)</f>
        <v>0.72</v>
      </c>
      <c r="BU16" s="49"/>
      <c r="BV16" s="49"/>
      <c r="BW16" s="49"/>
      <c r="BX16" s="49"/>
      <c r="BY16" s="49"/>
      <c r="BZ16" s="49"/>
      <c r="CA16" s="49"/>
      <c r="CB16" s="64">
        <f>CB15/(BV8-BY8-BZ8)</f>
        <v>0.72</v>
      </c>
      <c r="CC16" s="49"/>
      <c r="CD16" s="49"/>
      <c r="CE16" s="49"/>
      <c r="CF16" s="49"/>
      <c r="CG16" s="26"/>
      <c r="CH16" s="26"/>
      <c r="CI16" s="1"/>
      <c r="CJ16" s="1"/>
      <c r="CK16" s="1"/>
      <c r="CL16" s="1"/>
    </row>
    <row r="17" spans="1:90" ht="16.149999999999999" thickBot="1" x14ac:dyDescent="0.35">
      <c r="A17" s="49"/>
      <c r="B17" s="49"/>
      <c r="C17" s="49"/>
      <c r="D17" s="49"/>
      <c r="E17" s="62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26"/>
      <c r="CH17" s="26"/>
      <c r="CI17" s="1"/>
      <c r="CJ17" s="1"/>
      <c r="CK17" s="1"/>
      <c r="CL17" s="1"/>
    </row>
    <row r="18" spans="1:90" ht="15.6" x14ac:dyDescent="0.3">
      <c r="A18" s="49"/>
      <c r="B18" s="49"/>
      <c r="C18" s="49"/>
      <c r="D18" s="49"/>
      <c r="E18" s="65"/>
      <c r="F18" s="59"/>
      <c r="G18" s="49"/>
      <c r="H18" s="66" t="s">
        <v>162</v>
      </c>
      <c r="I18" s="67"/>
      <c r="J18" s="67"/>
      <c r="K18" s="67"/>
      <c r="L18" s="68">
        <f>G13</f>
        <v>459250</v>
      </c>
      <c r="M18" s="49"/>
      <c r="N18" s="49"/>
      <c r="O18" s="49"/>
      <c r="P18" s="66" t="s">
        <v>163</v>
      </c>
      <c r="Q18" s="67"/>
      <c r="R18" s="67"/>
      <c r="S18" s="67"/>
      <c r="T18" s="68">
        <f>O13</f>
        <v>538800</v>
      </c>
      <c r="U18" s="49"/>
      <c r="V18" s="49"/>
      <c r="W18" s="49"/>
      <c r="X18" s="66" t="s">
        <v>164</v>
      </c>
      <c r="Y18" s="67"/>
      <c r="Z18" s="67"/>
      <c r="AA18" s="67"/>
      <c r="AB18" s="68">
        <f>W13</f>
        <v>538150</v>
      </c>
      <c r="AC18" s="49"/>
      <c r="AD18" s="49"/>
      <c r="AE18" s="49"/>
      <c r="AF18" s="66" t="s">
        <v>165</v>
      </c>
      <c r="AG18" s="67"/>
      <c r="AH18" s="67"/>
      <c r="AI18" s="67"/>
      <c r="AJ18" s="68">
        <f>AE13</f>
        <v>494400</v>
      </c>
      <c r="AK18" s="49"/>
      <c r="AL18" s="49"/>
      <c r="AM18" s="49"/>
      <c r="AN18" s="66" t="s">
        <v>166</v>
      </c>
      <c r="AO18" s="67"/>
      <c r="AP18" s="67"/>
      <c r="AQ18" s="67"/>
      <c r="AR18" s="68">
        <f>AM13</f>
        <v>553800</v>
      </c>
      <c r="AS18" s="49"/>
      <c r="AT18" s="49"/>
      <c r="AU18" s="49"/>
      <c r="AV18" s="66" t="s">
        <v>167</v>
      </c>
      <c r="AW18" s="67"/>
      <c r="AX18" s="67"/>
      <c r="AY18" s="67"/>
      <c r="AZ18" s="68">
        <f>AU13</f>
        <v>598800</v>
      </c>
      <c r="BA18" s="49"/>
      <c r="BB18" s="49"/>
      <c r="BC18" s="49"/>
      <c r="BD18" s="66" t="s">
        <v>168</v>
      </c>
      <c r="BE18" s="67"/>
      <c r="BF18" s="67"/>
      <c r="BG18" s="67"/>
      <c r="BH18" s="68">
        <f>BC13</f>
        <v>598800</v>
      </c>
      <c r="BI18" s="49"/>
      <c r="BJ18" s="49"/>
      <c r="BK18" s="49"/>
      <c r="BL18" s="66" t="s">
        <v>169</v>
      </c>
      <c r="BM18" s="67"/>
      <c r="BN18" s="67"/>
      <c r="BO18" s="67"/>
      <c r="BP18" s="68">
        <f>BK13</f>
        <v>598800</v>
      </c>
      <c r="BQ18" s="59"/>
      <c r="BR18" s="59"/>
      <c r="BS18" s="59"/>
      <c r="BT18" s="66" t="s">
        <v>170</v>
      </c>
      <c r="BU18" s="67"/>
      <c r="BV18" s="67"/>
      <c r="BW18" s="67"/>
      <c r="BX18" s="68">
        <f>BS13</f>
        <v>598800</v>
      </c>
      <c r="BY18" s="59"/>
      <c r="BZ18" s="59"/>
      <c r="CA18" s="59"/>
      <c r="CB18" s="66" t="s">
        <v>171</v>
      </c>
      <c r="CC18" s="67"/>
      <c r="CD18" s="67"/>
      <c r="CE18" s="67"/>
      <c r="CF18" s="68">
        <f>CA13</f>
        <v>598800</v>
      </c>
      <c r="CG18" s="26"/>
      <c r="CH18" s="26"/>
      <c r="CI18" s="1"/>
      <c r="CJ18" s="1"/>
      <c r="CK18" s="1"/>
      <c r="CL18" s="1"/>
    </row>
    <row r="19" spans="1:90" ht="15.75" x14ac:dyDescent="0.25">
      <c r="A19" s="151" t="s">
        <v>172</v>
      </c>
      <c r="B19" s="150" t="s">
        <v>173</v>
      </c>
      <c r="C19" s="150"/>
      <c r="D19" s="150" t="s">
        <v>233</v>
      </c>
      <c r="E19" s="150"/>
      <c r="F19" s="59"/>
      <c r="G19" s="49"/>
      <c r="H19" s="69" t="s">
        <v>101</v>
      </c>
      <c r="I19" s="70"/>
      <c r="J19" s="70"/>
      <c r="K19" s="70"/>
      <c r="L19" s="71">
        <f>L13-D13</f>
        <v>148450</v>
      </c>
      <c r="M19" s="49"/>
      <c r="N19" s="49"/>
      <c r="O19" s="49"/>
      <c r="P19" s="69" t="s">
        <v>101</v>
      </c>
      <c r="Q19" s="70"/>
      <c r="R19" s="70"/>
      <c r="S19" s="70"/>
      <c r="T19" s="71">
        <f>T13-L13</f>
        <v>18300</v>
      </c>
      <c r="U19" s="49"/>
      <c r="V19" s="49"/>
      <c r="W19" s="49"/>
      <c r="X19" s="69" t="s">
        <v>101</v>
      </c>
      <c r="Y19" s="70"/>
      <c r="Z19" s="70"/>
      <c r="AA19" s="70"/>
      <c r="AB19" s="71">
        <f>AB13-T13</f>
        <v>22850</v>
      </c>
      <c r="AC19" s="49"/>
      <c r="AD19" s="49"/>
      <c r="AE19" s="49"/>
      <c r="AF19" s="69" t="s">
        <v>101</v>
      </c>
      <c r="AG19" s="70"/>
      <c r="AH19" s="70"/>
      <c r="AI19" s="70"/>
      <c r="AJ19" s="71">
        <f>AJ13-AB13</f>
        <v>93600</v>
      </c>
      <c r="AK19" s="49"/>
      <c r="AL19" s="49"/>
      <c r="AM19" s="49"/>
      <c r="AN19" s="69" t="s">
        <v>101</v>
      </c>
      <c r="AO19" s="70"/>
      <c r="AP19" s="70"/>
      <c r="AQ19" s="70"/>
      <c r="AR19" s="71">
        <f>AR13-AJ13</f>
        <v>45000</v>
      </c>
      <c r="AS19" s="49"/>
      <c r="AT19" s="49"/>
      <c r="AU19" s="49"/>
      <c r="AV19" s="69" t="s">
        <v>101</v>
      </c>
      <c r="AW19" s="70"/>
      <c r="AX19" s="70"/>
      <c r="AY19" s="70"/>
      <c r="AZ19" s="71">
        <f>AZ13-AR13</f>
        <v>0</v>
      </c>
      <c r="BA19" s="49"/>
      <c r="BB19" s="49"/>
      <c r="BC19" s="49"/>
      <c r="BD19" s="69" t="s">
        <v>101</v>
      </c>
      <c r="BE19" s="70"/>
      <c r="BF19" s="70"/>
      <c r="BG19" s="70"/>
      <c r="BH19" s="71">
        <f>BH13-AZ13</f>
        <v>0</v>
      </c>
      <c r="BI19" s="49"/>
      <c r="BJ19" s="49"/>
      <c r="BK19" s="49"/>
      <c r="BL19" s="69" t="s">
        <v>101</v>
      </c>
      <c r="BM19" s="70"/>
      <c r="BN19" s="70"/>
      <c r="BO19" s="70"/>
      <c r="BP19" s="71">
        <f>BP13-BH13</f>
        <v>0</v>
      </c>
      <c r="BQ19" s="59"/>
      <c r="BR19" s="59"/>
      <c r="BS19" s="59"/>
      <c r="BT19" s="69" t="s">
        <v>101</v>
      </c>
      <c r="BU19" s="70"/>
      <c r="BV19" s="70"/>
      <c r="BW19" s="70"/>
      <c r="BX19" s="71">
        <f>BX13-BP13</f>
        <v>0</v>
      </c>
      <c r="BY19" s="59"/>
      <c r="BZ19" s="59"/>
      <c r="CA19" s="59"/>
      <c r="CB19" s="69" t="s">
        <v>101</v>
      </c>
      <c r="CC19" s="70"/>
      <c r="CD19" s="70"/>
      <c r="CE19" s="70"/>
      <c r="CF19" s="71">
        <f>CF13-BX13</f>
        <v>0</v>
      </c>
      <c r="CG19" s="26"/>
      <c r="CH19" s="26"/>
      <c r="CI19" s="1"/>
      <c r="CJ19" s="1"/>
      <c r="CK19" s="1"/>
      <c r="CL19" s="1"/>
    </row>
    <row r="20" spans="1:90" ht="16.5" thickBot="1" x14ac:dyDescent="0.3">
      <c r="A20" s="151"/>
      <c r="B20" s="72" t="s">
        <v>175</v>
      </c>
      <c r="C20" s="72" t="s">
        <v>176</v>
      </c>
      <c r="D20" s="72" t="s">
        <v>175</v>
      </c>
      <c r="E20" s="72" t="s">
        <v>176</v>
      </c>
      <c r="F20" s="73"/>
      <c r="G20" s="73"/>
      <c r="H20" s="74" t="s">
        <v>177</v>
      </c>
      <c r="I20" s="75"/>
      <c r="J20" s="75"/>
      <c r="K20" s="75"/>
      <c r="L20" s="76">
        <f>G13+(L13-D13)</f>
        <v>607700</v>
      </c>
      <c r="M20" s="73"/>
      <c r="N20" s="73"/>
      <c r="O20" s="73"/>
      <c r="P20" s="74" t="s">
        <v>178</v>
      </c>
      <c r="Q20" s="75"/>
      <c r="R20" s="75"/>
      <c r="S20" s="75"/>
      <c r="T20" s="76">
        <f>O13+(T13-L13)</f>
        <v>557100</v>
      </c>
      <c r="U20" s="73"/>
      <c r="V20" s="73"/>
      <c r="W20" s="73"/>
      <c r="X20" s="74" t="s">
        <v>179</v>
      </c>
      <c r="Y20" s="75"/>
      <c r="Z20" s="75"/>
      <c r="AA20" s="75"/>
      <c r="AB20" s="76">
        <f>W13+(AB13-T13)</f>
        <v>561000</v>
      </c>
      <c r="AC20" s="73"/>
      <c r="AD20" s="73"/>
      <c r="AE20" s="73"/>
      <c r="AF20" s="74" t="s">
        <v>180</v>
      </c>
      <c r="AG20" s="75"/>
      <c r="AH20" s="75"/>
      <c r="AI20" s="75"/>
      <c r="AJ20" s="76">
        <f>AE13+(AJ13-AB13)</f>
        <v>588000</v>
      </c>
      <c r="AK20" s="73"/>
      <c r="AL20" s="73"/>
      <c r="AM20" s="73"/>
      <c r="AN20" s="74" t="s">
        <v>181</v>
      </c>
      <c r="AO20" s="75"/>
      <c r="AP20" s="75"/>
      <c r="AQ20" s="75"/>
      <c r="AR20" s="76">
        <f>AM13+(AR13-AJ13)</f>
        <v>598800</v>
      </c>
      <c r="AS20" s="73"/>
      <c r="AT20" s="73"/>
      <c r="AU20" s="73"/>
      <c r="AV20" s="74" t="s">
        <v>182</v>
      </c>
      <c r="AW20" s="75"/>
      <c r="AX20" s="75"/>
      <c r="AY20" s="75"/>
      <c r="AZ20" s="76">
        <f>AU13+(AZ13-AR13)</f>
        <v>598800</v>
      </c>
      <c r="BA20" s="73"/>
      <c r="BB20" s="73"/>
      <c r="BC20" s="73"/>
      <c r="BD20" s="74" t="s">
        <v>183</v>
      </c>
      <c r="BE20" s="75"/>
      <c r="BF20" s="75"/>
      <c r="BG20" s="75"/>
      <c r="BH20" s="76">
        <f>BC13+(BH13-AZ13)</f>
        <v>598800</v>
      </c>
      <c r="BI20" s="73"/>
      <c r="BJ20" s="73"/>
      <c r="BK20" s="73"/>
      <c r="BL20" s="74" t="s">
        <v>184</v>
      </c>
      <c r="BM20" s="75"/>
      <c r="BN20" s="75"/>
      <c r="BO20" s="75"/>
      <c r="BP20" s="76">
        <f>BK13+(BP13-BH13)</f>
        <v>598800</v>
      </c>
      <c r="BQ20" s="59"/>
      <c r="BR20" s="59"/>
      <c r="BS20" s="59"/>
      <c r="BT20" s="74" t="s">
        <v>185</v>
      </c>
      <c r="BU20" s="75"/>
      <c r="BV20" s="75"/>
      <c r="BW20" s="75"/>
      <c r="BX20" s="76">
        <f>BS13+(BX13-BP13)</f>
        <v>598800</v>
      </c>
      <c r="BY20" s="59"/>
      <c r="BZ20" s="59"/>
      <c r="CA20" s="59"/>
      <c r="CB20" s="74" t="s">
        <v>186</v>
      </c>
      <c r="CC20" s="75"/>
      <c r="CD20" s="75"/>
      <c r="CE20" s="75"/>
      <c r="CF20" s="76">
        <f>CA13+(CF13-BX13)</f>
        <v>598800</v>
      </c>
      <c r="CG20" s="26"/>
      <c r="CH20" s="26"/>
      <c r="CI20" s="1"/>
      <c r="CJ20" s="1"/>
      <c r="CK20" s="1"/>
      <c r="CL20" s="1"/>
    </row>
    <row r="21" spans="1:90" ht="16.5" thickBot="1" x14ac:dyDescent="0.3">
      <c r="A21" s="42" t="s">
        <v>67</v>
      </c>
      <c r="B21" s="77">
        <f>E5/B5</f>
        <v>1.6666666666666666E-2</v>
      </c>
      <c r="C21" s="77">
        <f>F5/B5</f>
        <v>0</v>
      </c>
      <c r="D21" s="77">
        <f t="shared" ref="D21:D28" si="41">AS5/AP5</f>
        <v>1.3888888888888888E-2</v>
      </c>
      <c r="E21" s="77">
        <f t="shared" ref="E21:E28" si="42">AT5/AP5</f>
        <v>0</v>
      </c>
      <c r="F21" s="49"/>
      <c r="G21" s="49"/>
      <c r="H21" s="60" t="s">
        <v>102</v>
      </c>
      <c r="I21" s="78"/>
      <c r="J21" s="78"/>
      <c r="K21" s="78"/>
      <c r="L21" s="79">
        <f>I13</f>
        <v>68750</v>
      </c>
      <c r="M21" s="49"/>
      <c r="N21" s="49"/>
      <c r="O21" s="49"/>
      <c r="P21" s="60" t="s">
        <v>103</v>
      </c>
      <c r="Q21" s="78"/>
      <c r="R21" s="78"/>
      <c r="S21" s="78"/>
      <c r="T21" s="79">
        <f>Q13</f>
        <v>12000</v>
      </c>
      <c r="U21" s="49"/>
      <c r="V21" s="49"/>
      <c r="W21" s="49"/>
      <c r="X21" s="60" t="s">
        <v>104</v>
      </c>
      <c r="Y21" s="78"/>
      <c r="Z21" s="78"/>
      <c r="AA21" s="78"/>
      <c r="AB21" s="79">
        <f>Y13</f>
        <v>12000</v>
      </c>
      <c r="AD21" s="49"/>
      <c r="AE21" s="49"/>
      <c r="AF21" s="60" t="s">
        <v>105</v>
      </c>
      <c r="AG21" s="78"/>
      <c r="AH21" s="78"/>
      <c r="AI21" s="78"/>
      <c r="AJ21" s="79">
        <f>AG13</f>
        <v>12000</v>
      </c>
      <c r="AK21" s="49"/>
      <c r="AL21" s="49"/>
      <c r="AM21" s="49"/>
      <c r="AN21" s="60" t="s">
        <v>106</v>
      </c>
      <c r="AO21" s="78"/>
      <c r="AP21" s="78"/>
      <c r="AQ21" s="78"/>
      <c r="AR21" s="79">
        <f>AO13</f>
        <v>12000</v>
      </c>
      <c r="AS21" s="49"/>
      <c r="AT21" s="49"/>
      <c r="AU21" s="49"/>
      <c r="AV21" s="60" t="s">
        <v>107</v>
      </c>
      <c r="AW21" s="78"/>
      <c r="AX21" s="78"/>
      <c r="AY21" s="78"/>
      <c r="AZ21" s="79">
        <f>AW13</f>
        <v>12000</v>
      </c>
      <c r="BA21" s="49"/>
      <c r="BB21" s="49"/>
      <c r="BC21" s="49"/>
      <c r="BD21" s="60" t="s">
        <v>108</v>
      </c>
      <c r="BE21" s="78"/>
      <c r="BF21" s="78"/>
      <c r="BG21" s="78"/>
      <c r="BH21" s="79">
        <f>BE13</f>
        <v>12000</v>
      </c>
      <c r="BI21" s="49"/>
      <c r="BJ21" s="49"/>
      <c r="BK21" s="49"/>
      <c r="BL21" s="60" t="s">
        <v>109</v>
      </c>
      <c r="BM21" s="78"/>
      <c r="BN21" s="78"/>
      <c r="BO21" s="78"/>
      <c r="BP21" s="79">
        <f>BM13</f>
        <v>12000</v>
      </c>
      <c r="BQ21" s="59"/>
      <c r="BR21" s="59"/>
      <c r="BS21" s="59"/>
      <c r="BT21" s="60" t="s">
        <v>110</v>
      </c>
      <c r="BU21" s="78"/>
      <c r="BV21" s="78"/>
      <c r="BW21" s="78"/>
      <c r="BX21" s="79">
        <f>BU13</f>
        <v>12000</v>
      </c>
      <c r="BY21" s="59"/>
      <c r="BZ21" s="59"/>
      <c r="CA21" s="59"/>
      <c r="CB21" s="60" t="s">
        <v>111</v>
      </c>
      <c r="CC21" s="78"/>
      <c r="CD21" s="78"/>
      <c r="CE21" s="78"/>
      <c r="CF21" s="79">
        <f>CC13</f>
        <v>12000</v>
      </c>
      <c r="CG21" s="26"/>
      <c r="CH21" s="26"/>
      <c r="CI21" s="1"/>
      <c r="CJ21" s="1"/>
      <c r="CK21" s="1"/>
      <c r="CL21" s="1"/>
    </row>
    <row r="22" spans="1:90" ht="15.75" x14ac:dyDescent="0.25">
      <c r="A22" s="42" t="s">
        <v>68</v>
      </c>
      <c r="B22" s="77">
        <f>E6/B6</f>
        <v>1.4150943396226415E-2</v>
      </c>
      <c r="C22" s="77">
        <f>F6/B6</f>
        <v>0</v>
      </c>
      <c r="D22" s="77">
        <f t="shared" si="41"/>
        <v>1.4084507042253521E-2</v>
      </c>
      <c r="E22" s="77">
        <f t="shared" si="42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65"/>
      <c r="AS22" s="49"/>
      <c r="AT22" s="49"/>
      <c r="AU22" s="49"/>
      <c r="AV22" s="49"/>
      <c r="AW22" s="49"/>
      <c r="AX22" s="49"/>
      <c r="AY22" s="49"/>
      <c r="AZ22" s="65"/>
      <c r="BA22" s="49"/>
      <c r="BB22" s="49"/>
      <c r="BC22" s="49"/>
      <c r="BD22" s="49"/>
      <c r="BE22" s="49"/>
      <c r="BF22" s="49"/>
      <c r="BG22" s="49"/>
      <c r="BH22" s="65"/>
      <c r="BI22" s="49"/>
      <c r="BJ22" s="49"/>
      <c r="BK22" s="49"/>
      <c r="BL22" s="49"/>
      <c r="BM22" s="49"/>
      <c r="BN22" s="49"/>
      <c r="BO22" s="49"/>
      <c r="BP22" s="65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26"/>
      <c r="CH22" s="26"/>
      <c r="CI22" s="1"/>
      <c r="CJ22" s="1"/>
      <c r="CK22" s="1"/>
      <c r="CL22" s="1"/>
    </row>
    <row r="23" spans="1:90" ht="15.75" x14ac:dyDescent="0.25">
      <c r="A23" s="42" t="s">
        <v>69</v>
      </c>
      <c r="B23" s="77">
        <f>E7/B7</f>
        <v>9.5693779904306216E-3</v>
      </c>
      <c r="C23" s="77">
        <f>F7/B7</f>
        <v>0</v>
      </c>
      <c r="D23" s="77">
        <f t="shared" si="41"/>
        <v>9.5238095238095247E-3</v>
      </c>
      <c r="E23" s="77">
        <f t="shared" si="42"/>
        <v>9.5238095238095233E-2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49"/>
      <c r="S23" s="49"/>
      <c r="T23" s="49"/>
      <c r="U23" s="59"/>
      <c r="V23" s="59"/>
      <c r="W23" s="59"/>
      <c r="X23" s="59"/>
      <c r="Y23" s="59"/>
      <c r="Z23" s="59"/>
      <c r="AA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26"/>
      <c r="CH23" s="26"/>
      <c r="CI23" s="1"/>
      <c r="CJ23" s="1"/>
      <c r="CK23" s="1"/>
      <c r="CL23" s="1"/>
    </row>
    <row r="24" spans="1:90" ht="15.75" x14ac:dyDescent="0.25">
      <c r="A24" s="42" t="s">
        <v>160</v>
      </c>
      <c r="B24" s="77">
        <f>E8/B8</f>
        <v>6.6334991708126038E-3</v>
      </c>
      <c r="C24" s="77">
        <f>F8/B8</f>
        <v>0.16417910447761194</v>
      </c>
      <c r="D24" s="77">
        <f t="shared" si="41"/>
        <v>5.076142131979695E-3</v>
      </c>
      <c r="E24" s="77">
        <f t="shared" si="42"/>
        <v>0.233502538071066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49"/>
      <c r="S24" s="49"/>
      <c r="T24" s="49"/>
      <c r="U24" s="59"/>
      <c r="V24" s="59"/>
      <c r="W24" s="59"/>
      <c r="X24" s="59"/>
      <c r="Y24" s="59"/>
      <c r="Z24" s="59"/>
      <c r="AA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26"/>
      <c r="CH24" s="26"/>
      <c r="CI24" s="1"/>
      <c r="CJ24" s="1"/>
      <c r="CK24" s="1"/>
      <c r="CL24" s="1"/>
    </row>
    <row r="25" spans="1:90" ht="15.75" x14ac:dyDescent="0.25">
      <c r="A25" s="42" t="s">
        <v>70</v>
      </c>
      <c r="B25" s="77">
        <f t="shared" ref="B25:B28" si="43">E9/B9</f>
        <v>1.6666666666666666E-2</v>
      </c>
      <c r="C25" s="77">
        <f t="shared" ref="C25:C28" si="44">F9/B9</f>
        <v>0</v>
      </c>
      <c r="D25" s="77">
        <f t="shared" si="41"/>
        <v>1.3888888888888888E-2</v>
      </c>
      <c r="E25" s="77">
        <f t="shared" si="42"/>
        <v>0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49"/>
      <c r="S25" s="49"/>
      <c r="T25" s="49"/>
      <c r="U25" s="59"/>
      <c r="V25" s="59"/>
      <c r="W25" s="59"/>
      <c r="X25" s="59"/>
      <c r="Y25" s="59"/>
      <c r="Z25" s="59"/>
      <c r="AA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26"/>
      <c r="CH25" s="26"/>
      <c r="CI25" s="1"/>
      <c r="CJ25" s="1"/>
      <c r="CK25" s="1"/>
      <c r="CL25" s="1"/>
    </row>
    <row r="26" spans="1:90" ht="15.75" x14ac:dyDescent="0.25">
      <c r="A26" s="42" t="s">
        <v>71</v>
      </c>
      <c r="B26" s="77">
        <f t="shared" si="43"/>
        <v>1.4778325123152709E-2</v>
      </c>
      <c r="C26" s="77">
        <f t="shared" si="44"/>
        <v>0</v>
      </c>
      <c r="D26" s="77">
        <f t="shared" si="41"/>
        <v>1.4084507042253521E-2</v>
      </c>
      <c r="E26" s="77">
        <f t="shared" si="42"/>
        <v>0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49"/>
      <c r="S26" s="49"/>
      <c r="T26" s="49"/>
      <c r="U26" s="59"/>
      <c r="V26" s="59"/>
      <c r="W26" s="59"/>
      <c r="X26" s="59"/>
      <c r="Y26" s="59"/>
      <c r="Z26" s="59"/>
      <c r="AA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26"/>
      <c r="CH26" s="26"/>
      <c r="CI26" s="1"/>
      <c r="CJ26" s="1"/>
      <c r="CK26" s="1"/>
      <c r="CL26" s="1"/>
    </row>
    <row r="27" spans="1:90" ht="15.75" x14ac:dyDescent="0.25">
      <c r="A27" s="42" t="s">
        <v>74</v>
      </c>
      <c r="B27" s="77">
        <f t="shared" si="43"/>
        <v>0.01</v>
      </c>
      <c r="C27" s="77">
        <f t="shared" si="44"/>
        <v>0.99</v>
      </c>
      <c r="D27" s="77">
        <f t="shared" si="41"/>
        <v>9.5238095238095247E-3</v>
      </c>
      <c r="E27" s="77">
        <f t="shared" si="42"/>
        <v>0.99047619047619051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9"/>
      <c r="S27" s="49"/>
      <c r="T27" s="49"/>
      <c r="U27" s="59"/>
      <c r="V27" s="59"/>
      <c r="W27" s="59"/>
      <c r="X27" s="59"/>
      <c r="Y27" s="59"/>
      <c r="Z27" s="59"/>
      <c r="AA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26"/>
      <c r="CH27" s="26"/>
      <c r="CI27" s="1"/>
      <c r="CJ27" s="1"/>
      <c r="CK27" s="1"/>
      <c r="CL27" s="1"/>
    </row>
    <row r="28" spans="1:90" ht="15.6" customHeight="1" x14ac:dyDescent="0.25">
      <c r="A28" s="42" t="s">
        <v>72</v>
      </c>
      <c r="B28" s="77">
        <f t="shared" si="43"/>
        <v>0</v>
      </c>
      <c r="C28" s="77">
        <f t="shared" si="44"/>
        <v>0.2</v>
      </c>
      <c r="D28" s="77">
        <f t="shared" si="41"/>
        <v>0</v>
      </c>
      <c r="E28" s="77">
        <f t="shared" si="42"/>
        <v>0.125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49"/>
      <c r="S28" s="49"/>
      <c r="T28" s="49"/>
      <c r="U28" s="59"/>
      <c r="V28" s="59"/>
      <c r="W28" s="59"/>
      <c r="X28" s="59"/>
      <c r="Y28" s="59"/>
      <c r="Z28" s="59"/>
      <c r="AA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26"/>
      <c r="CH28" s="26"/>
      <c r="CI28" s="1"/>
      <c r="CJ28" s="1"/>
      <c r="CK28" s="1"/>
      <c r="CL28" s="1"/>
    </row>
    <row r="29" spans="1:90" ht="15.75" x14ac:dyDescent="0.25">
      <c r="A29" s="70"/>
      <c r="B29" s="80"/>
      <c r="C29" s="80"/>
      <c r="D29" s="81"/>
      <c r="E29" s="81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26"/>
      <c r="CH29" s="26"/>
      <c r="CI29" s="1"/>
      <c r="CJ29" s="1"/>
      <c r="CK29" s="1"/>
      <c r="CL29" s="1"/>
    </row>
    <row r="30" spans="1:90" ht="15.75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26"/>
      <c r="CH30" s="26"/>
      <c r="CI30" s="1"/>
      <c r="CJ30" s="1"/>
      <c r="CK30" s="1"/>
      <c r="CL30" s="1"/>
    </row>
    <row r="31" spans="1:90" ht="15.75" x14ac:dyDescent="0.25">
      <c r="A31" s="39" t="s">
        <v>187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26"/>
      <c r="CH31" s="26"/>
      <c r="CI31" s="1"/>
      <c r="CJ31" s="1"/>
      <c r="CK31" s="1"/>
      <c r="CL31" s="1"/>
    </row>
    <row r="32" spans="1:90" ht="15.75" x14ac:dyDescent="0.25">
      <c r="A32" s="149" t="s">
        <v>61</v>
      </c>
      <c r="B32" s="150" t="s">
        <v>112</v>
      </c>
      <c r="C32" s="150"/>
      <c r="D32" s="150"/>
      <c r="E32" s="150" t="s">
        <v>62</v>
      </c>
      <c r="F32" s="150"/>
      <c r="G32" s="150"/>
      <c r="H32" s="40" t="s">
        <v>63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26"/>
      <c r="CH32" s="26"/>
      <c r="CI32" s="1"/>
      <c r="CJ32" s="1"/>
      <c r="CK32" s="1"/>
      <c r="CL32" s="1"/>
    </row>
    <row r="33" spans="1:90" ht="30" x14ac:dyDescent="0.25">
      <c r="A33" s="149"/>
      <c r="B33" s="41" t="s">
        <v>64</v>
      </c>
      <c r="C33" s="41" t="s">
        <v>65</v>
      </c>
      <c r="D33" s="41" t="s">
        <v>66</v>
      </c>
      <c r="E33" s="41" t="s">
        <v>64</v>
      </c>
      <c r="F33" s="41" t="s">
        <v>65</v>
      </c>
      <c r="G33" s="41" t="s">
        <v>66</v>
      </c>
      <c r="H33" s="41" t="s">
        <v>64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26"/>
      <c r="CH33" s="26"/>
      <c r="CI33" s="1"/>
      <c r="CJ33" s="1"/>
      <c r="CK33" s="1"/>
      <c r="CL33" s="1"/>
    </row>
    <row r="34" spans="1:90" ht="15.75" x14ac:dyDescent="0.25">
      <c r="A34" s="42" t="s">
        <v>67</v>
      </c>
      <c r="B34" s="43">
        <f>B5-F5</f>
        <v>180</v>
      </c>
      <c r="C34" s="44">
        <f>C5</f>
        <v>650</v>
      </c>
      <c r="D34" s="45">
        <f>B34*C34</f>
        <v>117000</v>
      </c>
      <c r="E34" s="43">
        <f>H34-B34</f>
        <v>0</v>
      </c>
      <c r="F34" s="45">
        <f>C34</f>
        <v>650</v>
      </c>
      <c r="G34" s="45">
        <f>E34*F34</f>
        <v>0</v>
      </c>
      <c r="H34" s="43">
        <f>B5</f>
        <v>180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26"/>
      <c r="CH34" s="26"/>
      <c r="CI34" s="1"/>
      <c r="CJ34" s="1"/>
      <c r="CK34" s="1"/>
      <c r="CL34" s="1"/>
    </row>
    <row r="35" spans="1:90" ht="15.75" x14ac:dyDescent="0.25">
      <c r="A35" s="42" t="s">
        <v>68</v>
      </c>
      <c r="B35" s="43">
        <f>B6-F6</f>
        <v>212</v>
      </c>
      <c r="C35" s="44">
        <f>C6</f>
        <v>800</v>
      </c>
      <c r="D35" s="45">
        <f t="shared" ref="D35:D41" si="45">B35*C35</f>
        <v>169600</v>
      </c>
      <c r="E35" s="43">
        <f t="shared" ref="E35:E41" si="46">H35-B35</f>
        <v>0</v>
      </c>
      <c r="F35" s="45">
        <f t="shared" ref="F35:F41" si="47">C35</f>
        <v>800</v>
      </c>
      <c r="G35" s="45">
        <f t="shared" ref="G35:G41" si="48">E35*F35</f>
        <v>0</v>
      </c>
      <c r="H35" s="43">
        <f>B6</f>
        <v>212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26"/>
      <c r="CH35" s="26"/>
      <c r="CI35" s="1"/>
      <c r="CJ35" s="1"/>
      <c r="CK35" s="1"/>
      <c r="CL35" s="1"/>
    </row>
    <row r="36" spans="1:90" ht="15.75" x14ac:dyDescent="0.25">
      <c r="A36" s="42" t="s">
        <v>69</v>
      </c>
      <c r="B36" s="43">
        <f>B7-F7</f>
        <v>209</v>
      </c>
      <c r="C36" s="44">
        <f>C7</f>
        <v>950</v>
      </c>
      <c r="D36" s="45">
        <f t="shared" si="45"/>
        <v>198550</v>
      </c>
      <c r="E36" s="43">
        <f t="shared" si="46"/>
        <v>0</v>
      </c>
      <c r="F36" s="45">
        <f t="shared" si="47"/>
        <v>950</v>
      </c>
      <c r="G36" s="45">
        <f t="shared" si="48"/>
        <v>0</v>
      </c>
      <c r="H36" s="43">
        <f>B7</f>
        <v>209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26"/>
      <c r="CH36" s="26"/>
      <c r="CI36" s="1"/>
      <c r="CJ36" s="1"/>
      <c r="CK36" s="1"/>
      <c r="CL36" s="1"/>
    </row>
    <row r="37" spans="1:90" ht="15.75" x14ac:dyDescent="0.25">
      <c r="A37" s="42" t="s">
        <v>160</v>
      </c>
      <c r="B37" s="43">
        <f>B8-F8</f>
        <v>504</v>
      </c>
      <c r="C37" s="44">
        <f>C8</f>
        <v>1250</v>
      </c>
      <c r="D37" s="45">
        <f t="shared" si="45"/>
        <v>630000</v>
      </c>
      <c r="E37" s="43">
        <f t="shared" si="46"/>
        <v>99</v>
      </c>
      <c r="F37" s="45">
        <f t="shared" si="47"/>
        <v>1250</v>
      </c>
      <c r="G37" s="45">
        <f t="shared" si="48"/>
        <v>123750</v>
      </c>
      <c r="H37" s="43">
        <f>B8</f>
        <v>603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26"/>
      <c r="CH37" s="26"/>
      <c r="CI37" s="1"/>
      <c r="CJ37" s="1"/>
      <c r="CK37" s="1"/>
      <c r="CL37" s="1"/>
    </row>
    <row r="38" spans="1:90" ht="15.75" x14ac:dyDescent="0.25">
      <c r="A38" s="42" t="s">
        <v>70</v>
      </c>
      <c r="B38" s="43">
        <f t="shared" ref="B38:B40" si="49">B9-F9</f>
        <v>180</v>
      </c>
      <c r="C38" s="44">
        <f t="shared" ref="C38:C41" si="50">C9</f>
        <v>800</v>
      </c>
      <c r="D38" s="45">
        <f t="shared" si="45"/>
        <v>144000</v>
      </c>
      <c r="E38" s="43">
        <f t="shared" si="46"/>
        <v>0</v>
      </c>
      <c r="F38" s="45">
        <f t="shared" si="47"/>
        <v>800</v>
      </c>
      <c r="G38" s="45">
        <f t="shared" si="48"/>
        <v>0</v>
      </c>
      <c r="H38" s="43">
        <f t="shared" ref="H38:H41" si="51">B9</f>
        <v>180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26"/>
      <c r="CH38" s="26"/>
      <c r="CI38" s="1"/>
      <c r="CJ38" s="1"/>
      <c r="CK38" s="1"/>
      <c r="CL38" s="1"/>
    </row>
    <row r="39" spans="1:90" ht="15.75" x14ac:dyDescent="0.25">
      <c r="A39" s="42" t="s">
        <v>71</v>
      </c>
      <c r="B39" s="43">
        <f t="shared" si="49"/>
        <v>203</v>
      </c>
      <c r="C39" s="44">
        <f t="shared" si="50"/>
        <v>1050</v>
      </c>
      <c r="D39" s="45">
        <f t="shared" si="45"/>
        <v>213150</v>
      </c>
      <c r="E39" s="43">
        <f t="shared" si="46"/>
        <v>0</v>
      </c>
      <c r="F39" s="45">
        <f t="shared" si="47"/>
        <v>1050</v>
      </c>
      <c r="G39" s="45">
        <f t="shared" si="48"/>
        <v>0</v>
      </c>
      <c r="H39" s="43">
        <f t="shared" si="51"/>
        <v>203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26"/>
      <c r="CH39" s="26"/>
      <c r="CI39" s="1"/>
      <c r="CJ39" s="1"/>
      <c r="CK39" s="1"/>
      <c r="CL39" s="1"/>
    </row>
    <row r="40" spans="1:90" ht="15.75" x14ac:dyDescent="0.25">
      <c r="A40" s="42" t="s">
        <v>74</v>
      </c>
      <c r="B40" s="43">
        <f t="shared" si="49"/>
        <v>2</v>
      </c>
      <c r="C40" s="44">
        <f t="shared" si="50"/>
        <v>1650</v>
      </c>
      <c r="D40" s="45">
        <f t="shared" si="45"/>
        <v>3300</v>
      </c>
      <c r="E40" s="43">
        <f t="shared" si="46"/>
        <v>198</v>
      </c>
      <c r="F40" s="45">
        <f t="shared" si="47"/>
        <v>1650</v>
      </c>
      <c r="G40" s="45">
        <f t="shared" si="48"/>
        <v>326700</v>
      </c>
      <c r="H40" s="43">
        <f t="shared" si="51"/>
        <v>200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26"/>
      <c r="CH40" s="26"/>
      <c r="CI40" s="1"/>
      <c r="CJ40" s="1"/>
      <c r="CK40" s="1"/>
      <c r="CL40" s="1"/>
    </row>
    <row r="41" spans="1:90" ht="15.75" x14ac:dyDescent="0.25">
      <c r="A41" s="42" t="s">
        <v>72</v>
      </c>
      <c r="B41" s="43">
        <f>B12</f>
        <v>20</v>
      </c>
      <c r="C41" s="44">
        <f t="shared" si="50"/>
        <v>4000</v>
      </c>
      <c r="D41" s="45">
        <f t="shared" si="45"/>
        <v>80000</v>
      </c>
      <c r="E41" s="43">
        <f t="shared" si="46"/>
        <v>0</v>
      </c>
      <c r="F41" s="45">
        <f t="shared" si="47"/>
        <v>4000</v>
      </c>
      <c r="G41" s="45">
        <f t="shared" si="48"/>
        <v>0</v>
      </c>
      <c r="H41" s="43">
        <f t="shared" si="51"/>
        <v>20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26"/>
      <c r="CH41" s="26"/>
      <c r="CI41" s="1"/>
      <c r="CJ41" s="1"/>
      <c r="CK41" s="1"/>
      <c r="CL41" s="1"/>
    </row>
    <row r="42" spans="1:90" ht="15.75" x14ac:dyDescent="0.25">
      <c r="A42" s="42" t="s">
        <v>9</v>
      </c>
      <c r="B42" s="43">
        <f>SUM(B34:B41)</f>
        <v>1510</v>
      </c>
      <c r="C42" s="42"/>
      <c r="D42" s="44">
        <f>SUM(D34:D41)</f>
        <v>1555600</v>
      </c>
      <c r="E42" s="43">
        <f>SUM(E34:E41)</f>
        <v>297</v>
      </c>
      <c r="F42" s="42"/>
      <c r="G42" s="44">
        <f>SUM(G34:G41)</f>
        <v>450450</v>
      </c>
      <c r="H42" s="43">
        <f>SUM(H34:H41)</f>
        <v>1807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26"/>
      <c r="CH42" s="26"/>
      <c r="CI42" s="1"/>
      <c r="CJ42" s="1"/>
      <c r="CK42" s="1"/>
      <c r="CL42" s="1"/>
    </row>
    <row r="43" spans="1:90" ht="15.75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26"/>
      <c r="CH43" s="26"/>
      <c r="CI43" s="1"/>
      <c r="CJ43" s="1"/>
      <c r="CK43" s="1"/>
      <c r="CL43" s="1"/>
    </row>
    <row r="44" spans="1:90" ht="15.6" customHeight="1" x14ac:dyDescent="0.25">
      <c r="A44" s="39" t="s">
        <v>113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26"/>
      <c r="CH44" s="26"/>
      <c r="CI44" s="1"/>
      <c r="CJ44" s="1"/>
      <c r="CK44" s="1"/>
      <c r="CL44" s="1"/>
    </row>
    <row r="45" spans="1:90" ht="15.75" x14ac:dyDescent="0.25">
      <c r="A45" s="149" t="s">
        <v>61</v>
      </c>
      <c r="B45" s="150" t="s">
        <v>112</v>
      </c>
      <c r="C45" s="150"/>
      <c r="D45" s="150"/>
      <c r="E45" s="150" t="s">
        <v>62</v>
      </c>
      <c r="F45" s="150"/>
      <c r="G45" s="150"/>
      <c r="H45" s="40" t="s">
        <v>63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26"/>
      <c r="CH45" s="26"/>
      <c r="CI45" s="1"/>
      <c r="CJ45" s="1"/>
      <c r="CK45" s="1"/>
      <c r="CL45" s="1"/>
    </row>
    <row r="46" spans="1:90" ht="30" x14ac:dyDescent="0.25">
      <c r="A46" s="149"/>
      <c r="B46" s="41" t="s">
        <v>64</v>
      </c>
      <c r="C46" s="41" t="s">
        <v>65</v>
      </c>
      <c r="D46" s="41" t="s">
        <v>66</v>
      </c>
      <c r="E46" s="41" t="s">
        <v>64</v>
      </c>
      <c r="F46" s="41" t="s">
        <v>65</v>
      </c>
      <c r="G46" s="41" t="s">
        <v>66</v>
      </c>
      <c r="H46" s="41" t="s">
        <v>64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26"/>
      <c r="CH46" s="26"/>
      <c r="CI46" s="1"/>
      <c r="CJ46" s="1"/>
      <c r="CK46" s="1"/>
      <c r="CL46" s="1"/>
    </row>
    <row r="47" spans="1:90" ht="15.75" x14ac:dyDescent="0.25">
      <c r="A47" s="42" t="s">
        <v>67</v>
      </c>
      <c r="B47" s="43">
        <f>CD5-BZ5</f>
        <v>216</v>
      </c>
      <c r="C47" s="44">
        <f>C34</f>
        <v>650</v>
      </c>
      <c r="D47" s="45">
        <f>B47*C47</f>
        <v>140400</v>
      </c>
      <c r="E47" s="43">
        <f>H47-B47</f>
        <v>0</v>
      </c>
      <c r="F47" s="45">
        <f>F34</f>
        <v>650</v>
      </c>
      <c r="G47" s="45">
        <f>E47*F47</f>
        <v>0</v>
      </c>
      <c r="H47" s="43">
        <f>CD5</f>
        <v>216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26"/>
      <c r="CH47" s="26"/>
      <c r="CI47" s="1"/>
      <c r="CJ47" s="1"/>
      <c r="CK47" s="1"/>
      <c r="CL47" s="1"/>
    </row>
    <row r="48" spans="1:90" ht="15.75" x14ac:dyDescent="0.25">
      <c r="A48" s="42" t="s">
        <v>68</v>
      </c>
      <c r="B48" s="43">
        <f>CD6-BZ6</f>
        <v>213</v>
      </c>
      <c r="C48" s="44">
        <f t="shared" ref="C48:C54" si="52">C35</f>
        <v>800</v>
      </c>
      <c r="D48" s="45">
        <f t="shared" ref="D48:D54" si="53">B48*C48</f>
        <v>170400</v>
      </c>
      <c r="E48" s="43">
        <f t="shared" ref="E48:E54" si="54">H48-B48</f>
        <v>0</v>
      </c>
      <c r="F48" s="45">
        <f t="shared" ref="F48:F54" si="55">F35</f>
        <v>800</v>
      </c>
      <c r="G48" s="45">
        <f t="shared" ref="G48:G54" si="56">E48*F48</f>
        <v>0</v>
      </c>
      <c r="H48" s="43">
        <f>CD6</f>
        <v>213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26"/>
      <c r="CH48" s="26"/>
      <c r="CI48" s="1"/>
      <c r="CJ48" s="1"/>
      <c r="CK48" s="1"/>
      <c r="CL48" s="1"/>
    </row>
    <row r="49" spans="1:90" ht="15.75" x14ac:dyDescent="0.25">
      <c r="A49" s="42" t="s">
        <v>69</v>
      </c>
      <c r="B49" s="43">
        <f>CD7-BZ7</f>
        <v>190</v>
      </c>
      <c r="C49" s="44">
        <f t="shared" si="52"/>
        <v>950</v>
      </c>
      <c r="D49" s="45">
        <f t="shared" si="53"/>
        <v>180500</v>
      </c>
      <c r="E49" s="43">
        <f t="shared" si="54"/>
        <v>20</v>
      </c>
      <c r="F49" s="45">
        <f t="shared" si="55"/>
        <v>950</v>
      </c>
      <c r="G49" s="45">
        <f t="shared" si="56"/>
        <v>19000</v>
      </c>
      <c r="H49" s="43">
        <f>CD7</f>
        <v>210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26"/>
      <c r="CH49" s="26"/>
      <c r="CI49" s="1"/>
      <c r="CJ49" s="1"/>
      <c r="CK49" s="1"/>
      <c r="CL49" s="1"/>
    </row>
    <row r="50" spans="1:90" ht="15.75" x14ac:dyDescent="0.25">
      <c r="A50" s="42" t="s">
        <v>160</v>
      </c>
      <c r="B50" s="43">
        <f>CD8-BZ8</f>
        <v>604</v>
      </c>
      <c r="C50" s="44">
        <f t="shared" si="52"/>
        <v>1250</v>
      </c>
      <c r="D50" s="45">
        <f t="shared" si="53"/>
        <v>755000</v>
      </c>
      <c r="E50" s="43">
        <f t="shared" si="54"/>
        <v>184</v>
      </c>
      <c r="F50" s="45">
        <f t="shared" si="55"/>
        <v>1250</v>
      </c>
      <c r="G50" s="45">
        <f t="shared" si="56"/>
        <v>230000</v>
      </c>
      <c r="H50" s="43">
        <f>CD8</f>
        <v>788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26"/>
      <c r="CH50" s="26"/>
      <c r="CI50" s="1"/>
      <c r="CJ50" s="1"/>
      <c r="CK50" s="1"/>
      <c r="CL50" s="1"/>
    </row>
    <row r="51" spans="1:90" ht="15.75" x14ac:dyDescent="0.25">
      <c r="A51" s="42" t="s">
        <v>70</v>
      </c>
      <c r="B51" s="43">
        <f t="shared" ref="B51:B53" si="57">CD9-BZ9</f>
        <v>216</v>
      </c>
      <c r="C51" s="44">
        <f t="shared" si="52"/>
        <v>800</v>
      </c>
      <c r="D51" s="45">
        <f t="shared" si="53"/>
        <v>172800</v>
      </c>
      <c r="E51" s="43">
        <f t="shared" si="54"/>
        <v>0</v>
      </c>
      <c r="F51" s="45">
        <f t="shared" si="55"/>
        <v>800</v>
      </c>
      <c r="G51" s="45">
        <f t="shared" si="56"/>
        <v>0</v>
      </c>
      <c r="H51" s="43">
        <f t="shared" ref="H51:H54" si="58">CD9</f>
        <v>216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26"/>
      <c r="CH51" s="26"/>
      <c r="CI51" s="1"/>
      <c r="CJ51" s="1"/>
      <c r="CK51" s="1"/>
      <c r="CL51" s="1"/>
    </row>
    <row r="52" spans="1:90" ht="15.75" x14ac:dyDescent="0.25">
      <c r="A52" s="42" t="s">
        <v>71</v>
      </c>
      <c r="B52" s="43">
        <f t="shared" si="57"/>
        <v>213</v>
      </c>
      <c r="C52" s="44">
        <f t="shared" si="52"/>
        <v>1050</v>
      </c>
      <c r="D52" s="45">
        <f t="shared" si="53"/>
        <v>223650</v>
      </c>
      <c r="E52" s="43">
        <f t="shared" si="54"/>
        <v>0</v>
      </c>
      <c r="F52" s="45">
        <f t="shared" si="55"/>
        <v>1050</v>
      </c>
      <c r="G52" s="45">
        <f t="shared" si="56"/>
        <v>0</v>
      </c>
      <c r="H52" s="43">
        <f t="shared" si="58"/>
        <v>213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26"/>
      <c r="CH52" s="26"/>
      <c r="CI52" s="1"/>
      <c r="CJ52" s="1"/>
      <c r="CK52" s="1"/>
      <c r="CL52" s="1"/>
    </row>
    <row r="53" spans="1:90" ht="15.75" x14ac:dyDescent="0.25">
      <c r="A53" s="42" t="s">
        <v>74</v>
      </c>
      <c r="B53" s="43">
        <f t="shared" si="57"/>
        <v>2</v>
      </c>
      <c r="C53" s="44">
        <f t="shared" si="52"/>
        <v>1650</v>
      </c>
      <c r="D53" s="45">
        <f t="shared" si="53"/>
        <v>3300</v>
      </c>
      <c r="E53" s="43">
        <f t="shared" si="54"/>
        <v>208</v>
      </c>
      <c r="F53" s="45">
        <f t="shared" si="55"/>
        <v>1650</v>
      </c>
      <c r="G53" s="45">
        <f t="shared" si="56"/>
        <v>343200</v>
      </c>
      <c r="H53" s="43">
        <f t="shared" si="58"/>
        <v>210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26"/>
      <c r="CH53" s="26"/>
      <c r="CI53" s="1"/>
      <c r="CJ53" s="1"/>
      <c r="CK53" s="1"/>
      <c r="CL53" s="1"/>
    </row>
    <row r="54" spans="1:90" ht="15.75" x14ac:dyDescent="0.25">
      <c r="A54" s="42" t="s">
        <v>72</v>
      </c>
      <c r="B54" s="43">
        <f>CD12</f>
        <v>24</v>
      </c>
      <c r="C54" s="44">
        <f t="shared" si="52"/>
        <v>4000</v>
      </c>
      <c r="D54" s="45">
        <f t="shared" si="53"/>
        <v>96000</v>
      </c>
      <c r="E54" s="43">
        <f t="shared" si="54"/>
        <v>0</v>
      </c>
      <c r="F54" s="45">
        <f t="shared" si="55"/>
        <v>4000</v>
      </c>
      <c r="G54" s="45">
        <f t="shared" si="56"/>
        <v>0</v>
      </c>
      <c r="H54" s="43">
        <f t="shared" si="58"/>
        <v>24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26"/>
      <c r="CH54" s="26"/>
      <c r="CI54" s="1"/>
      <c r="CJ54" s="1"/>
      <c r="CK54" s="1"/>
      <c r="CL54" s="1"/>
    </row>
    <row r="55" spans="1:90" ht="15.75" x14ac:dyDescent="0.25">
      <c r="A55" s="42" t="s">
        <v>9</v>
      </c>
      <c r="B55" s="43">
        <f>SUM(B47:B54)</f>
        <v>1678</v>
      </c>
      <c r="C55" s="42"/>
      <c r="D55" s="44">
        <f>SUM(D47:D54)</f>
        <v>1742050</v>
      </c>
      <c r="E55" s="43">
        <f>SUM(E47:E54)</f>
        <v>412</v>
      </c>
      <c r="F55" s="42"/>
      <c r="G55" s="44">
        <f>SUM(G47:G54)</f>
        <v>592200</v>
      </c>
      <c r="H55" s="43">
        <f>SUM(H47:H54)</f>
        <v>2090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26"/>
      <c r="CH55" s="26"/>
      <c r="CI55" s="1"/>
      <c r="CJ55" s="1"/>
      <c r="CK55" s="1"/>
      <c r="CL55" s="1"/>
    </row>
    <row r="56" spans="1:90" ht="15.75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26"/>
      <c r="CH56" s="26"/>
      <c r="CI56" s="1"/>
      <c r="CJ56" s="1"/>
      <c r="CK56" s="1"/>
      <c r="CL56" s="1"/>
    </row>
    <row r="57" spans="1:90" ht="15.75" x14ac:dyDescent="0.25">
      <c r="A57" s="24"/>
      <c r="B57" s="24"/>
      <c r="C57" s="24"/>
      <c r="D57" s="25">
        <f>D55+G55</f>
        <v>2334250</v>
      </c>
      <c r="E57" s="24"/>
      <c r="F57" s="24"/>
      <c r="G57" s="24"/>
      <c r="H57" s="24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1"/>
      <c r="CJ57" s="1"/>
      <c r="CK57" s="1"/>
      <c r="CL57" s="1"/>
    </row>
    <row r="58" spans="1:90" ht="15.75" x14ac:dyDescent="0.25">
      <c r="A58" s="26"/>
      <c r="B58" s="26"/>
      <c r="C58" s="26"/>
      <c r="D58" s="26"/>
      <c r="E58" s="26"/>
      <c r="F58" s="26"/>
      <c r="G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1"/>
      <c r="CJ58" s="1"/>
      <c r="CK58" s="1"/>
      <c r="CL58" s="1"/>
    </row>
    <row r="59" spans="1:90" ht="15.75" x14ac:dyDescent="0.25">
      <c r="A59" s="26"/>
      <c r="B59" s="26"/>
      <c r="C59" s="26" t="s">
        <v>199</v>
      </c>
      <c r="D59" s="26"/>
      <c r="F59" s="26"/>
      <c r="G59" s="26"/>
      <c r="H59" s="83">
        <f>H55/'CAPITAL FÍSICO'!B10</f>
        <v>1.1297297297297297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1"/>
      <c r="CJ59" s="1"/>
      <c r="CK59" s="1"/>
      <c r="CL59" s="1"/>
    </row>
    <row r="60" spans="1:90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1"/>
      <c r="CJ60" s="1"/>
      <c r="CK60" s="1"/>
      <c r="CL60" s="1"/>
    </row>
    <row r="61" spans="1:90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1"/>
      <c r="CJ61" s="1"/>
      <c r="CK61" s="1"/>
      <c r="CL61" s="1"/>
    </row>
    <row r="62" spans="1:90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1"/>
      <c r="CJ62" s="1"/>
      <c r="CK62" s="1"/>
      <c r="CL62" s="1"/>
    </row>
    <row r="63" spans="1:90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1"/>
      <c r="CJ63" s="1"/>
      <c r="CK63" s="1"/>
      <c r="CL63" s="1"/>
    </row>
    <row r="64" spans="1:90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1"/>
      <c r="CJ64" s="1"/>
      <c r="CK64" s="1"/>
      <c r="CL64" s="1"/>
    </row>
    <row r="65" spans="1:90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1"/>
      <c r="CJ65" s="1"/>
      <c r="CK65" s="1"/>
      <c r="CL65" s="1"/>
    </row>
    <row r="66" spans="1:90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1"/>
      <c r="CJ66" s="1"/>
      <c r="CK66" s="1"/>
      <c r="CL66" s="1"/>
    </row>
    <row r="67" spans="1:90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1"/>
      <c r="CJ67" s="1"/>
      <c r="CK67" s="1"/>
      <c r="CL67" s="1"/>
    </row>
    <row r="68" spans="1:90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1"/>
      <c r="CJ68" s="1"/>
      <c r="CK68" s="1"/>
      <c r="CL68" s="1"/>
    </row>
    <row r="69" spans="1:90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1"/>
      <c r="CJ69" s="1"/>
      <c r="CK69" s="1"/>
      <c r="CL69" s="1"/>
    </row>
    <row r="70" spans="1:90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1"/>
      <c r="CJ70" s="1"/>
      <c r="CK70" s="1"/>
      <c r="CL70" s="1"/>
    </row>
    <row r="71" spans="1:90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1"/>
      <c r="CJ71" s="1"/>
      <c r="CK71" s="1"/>
      <c r="CL71" s="1"/>
    </row>
    <row r="72" spans="1:90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1"/>
      <c r="CJ72" s="1"/>
      <c r="CK72" s="1"/>
      <c r="CL72" s="1"/>
    </row>
    <row r="73" spans="1:90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1"/>
      <c r="CJ73" s="1"/>
      <c r="CK73" s="1"/>
      <c r="CL73" s="1"/>
    </row>
    <row r="74" spans="1:90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1"/>
      <c r="CJ74" s="1"/>
      <c r="CK74" s="1"/>
      <c r="CL74" s="1"/>
    </row>
    <row r="75" spans="1:90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1"/>
      <c r="CJ75" s="1"/>
      <c r="CK75" s="1"/>
      <c r="CL75" s="1"/>
    </row>
    <row r="76" spans="1:90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1"/>
      <c r="CJ76" s="1"/>
      <c r="CK76" s="1"/>
      <c r="CL76" s="1"/>
    </row>
    <row r="77" spans="1:90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1"/>
      <c r="CJ77" s="1"/>
      <c r="CK77" s="1"/>
      <c r="CL77" s="1"/>
    </row>
    <row r="78" spans="1:90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1"/>
      <c r="CJ78" s="1"/>
      <c r="CK78" s="1"/>
      <c r="CL78" s="1"/>
    </row>
    <row r="79" spans="1:90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1"/>
      <c r="CJ79" s="1"/>
      <c r="CK79" s="1"/>
      <c r="CL79" s="1"/>
    </row>
    <row r="80" spans="1:90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1"/>
      <c r="CJ80" s="1"/>
      <c r="CK80" s="1"/>
      <c r="CL80" s="1"/>
    </row>
    <row r="81" spans="1:90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1"/>
      <c r="CJ81" s="1"/>
      <c r="CK81" s="1"/>
      <c r="CL81" s="1"/>
    </row>
    <row r="82" spans="1:90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1"/>
      <c r="CJ82" s="1"/>
      <c r="CK82" s="1"/>
      <c r="CL82" s="1"/>
    </row>
    <row r="83" spans="1:90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1"/>
      <c r="CJ83" s="1"/>
      <c r="CK83" s="1"/>
      <c r="CL83" s="1"/>
    </row>
    <row r="84" spans="1:90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1"/>
      <c r="CJ84" s="1"/>
      <c r="CK84" s="1"/>
      <c r="CL84" s="1"/>
    </row>
    <row r="85" spans="1:90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1"/>
      <c r="CJ85" s="1"/>
      <c r="CK85" s="1"/>
      <c r="CL85" s="1"/>
    </row>
    <row r="86" spans="1:90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1"/>
      <c r="CJ86" s="1"/>
      <c r="CK86" s="1"/>
      <c r="CL86" s="1"/>
    </row>
    <row r="87" spans="1:90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1"/>
      <c r="CJ87" s="1"/>
      <c r="CK87" s="1"/>
      <c r="CL87" s="1"/>
    </row>
    <row r="88" spans="1:90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1"/>
      <c r="CJ88" s="1"/>
      <c r="CK88" s="1"/>
      <c r="CL88" s="1"/>
    </row>
    <row r="89" spans="1:90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1"/>
      <c r="CJ89" s="1"/>
      <c r="CK89" s="1"/>
      <c r="CL89" s="1"/>
    </row>
    <row r="90" spans="1:90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1"/>
      <c r="CJ90" s="1"/>
      <c r="CK90" s="1"/>
      <c r="CL90" s="1"/>
    </row>
    <row r="91" spans="1:90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1"/>
      <c r="CJ91" s="1"/>
      <c r="CK91" s="1"/>
      <c r="CL91" s="1"/>
    </row>
    <row r="92" spans="1:90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1"/>
      <c r="CJ92" s="1"/>
      <c r="CK92" s="1"/>
      <c r="CL92" s="1"/>
    </row>
    <row r="93" spans="1:90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1"/>
      <c r="CJ93" s="1"/>
      <c r="CK93" s="1"/>
      <c r="CL93" s="1"/>
    </row>
    <row r="94" spans="1:90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1"/>
      <c r="CJ94" s="1"/>
      <c r="CK94" s="1"/>
      <c r="CL94" s="1"/>
    </row>
    <row r="95" spans="1:90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1"/>
      <c r="CJ95" s="1"/>
      <c r="CK95" s="1"/>
      <c r="CL95" s="1"/>
    </row>
    <row r="96" spans="1:90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1"/>
      <c r="CJ96" s="1"/>
      <c r="CK96" s="1"/>
      <c r="CL96" s="1"/>
    </row>
    <row r="97" spans="1:90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1"/>
      <c r="CJ97" s="1"/>
      <c r="CK97" s="1"/>
      <c r="CL97" s="1"/>
    </row>
    <row r="98" spans="1:90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1"/>
      <c r="CJ98" s="1"/>
      <c r="CK98" s="1"/>
      <c r="CL98" s="1"/>
    </row>
    <row r="99" spans="1:90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1"/>
      <c r="CJ99" s="1"/>
      <c r="CK99" s="1"/>
      <c r="CL99" s="1"/>
    </row>
    <row r="100" spans="1:90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1"/>
      <c r="CJ100" s="1"/>
      <c r="CK100" s="1"/>
      <c r="CL100" s="1"/>
    </row>
    <row r="101" spans="1:90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1"/>
      <c r="CJ101" s="1"/>
      <c r="CK101" s="1"/>
      <c r="CL101" s="1"/>
    </row>
    <row r="102" spans="1:90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1"/>
      <c r="CJ102" s="1"/>
      <c r="CK102" s="1"/>
      <c r="CL102" s="1"/>
    </row>
    <row r="103" spans="1:90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1"/>
      <c r="CJ103" s="1"/>
      <c r="CK103" s="1"/>
      <c r="CL103" s="1"/>
    </row>
    <row r="104" spans="1:90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1"/>
      <c r="CJ104" s="1"/>
      <c r="CK104" s="1"/>
      <c r="CL104" s="1"/>
    </row>
    <row r="105" spans="1:90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1"/>
      <c r="CJ105" s="1"/>
      <c r="CK105" s="1"/>
      <c r="CL105" s="1"/>
    </row>
    <row r="106" spans="1:90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1"/>
      <c r="CJ106" s="1"/>
      <c r="CK106" s="1"/>
      <c r="CL106" s="1"/>
    </row>
    <row r="107" spans="1:90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1"/>
      <c r="CJ107" s="1"/>
      <c r="CK107" s="1"/>
      <c r="CL107" s="1"/>
    </row>
    <row r="108" spans="1:90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1"/>
      <c r="CJ108" s="1"/>
      <c r="CK108" s="1"/>
      <c r="CL108" s="1"/>
    </row>
    <row r="109" spans="1:90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1"/>
      <c r="CJ109" s="1"/>
      <c r="CK109" s="1"/>
      <c r="CL109" s="1"/>
    </row>
    <row r="110" spans="1:90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1"/>
      <c r="CJ110" s="1"/>
      <c r="CK110" s="1"/>
      <c r="CL110" s="1"/>
    </row>
    <row r="111" spans="1:90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1"/>
      <c r="CJ111" s="1"/>
      <c r="CK111" s="1"/>
      <c r="CL111" s="1"/>
    </row>
    <row r="112" spans="1:90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1"/>
      <c r="CJ112" s="1"/>
      <c r="CK112" s="1"/>
      <c r="CL112" s="1"/>
    </row>
    <row r="113" spans="1:90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1"/>
      <c r="CJ113" s="1"/>
      <c r="CK113" s="1"/>
      <c r="CL113" s="1"/>
    </row>
    <row r="114" spans="1:90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1"/>
      <c r="CI114" s="1"/>
      <c r="CJ114" s="1"/>
      <c r="CK114" s="1"/>
      <c r="CL114" s="1"/>
    </row>
    <row r="115" spans="1:90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1"/>
      <c r="CI115" s="1"/>
      <c r="CJ115" s="1"/>
      <c r="CK115" s="1"/>
      <c r="CL115" s="1"/>
    </row>
    <row r="116" spans="1:90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1"/>
      <c r="CI116" s="1"/>
      <c r="CJ116" s="1"/>
      <c r="CK116" s="1"/>
      <c r="CL116" s="1"/>
    </row>
    <row r="117" spans="1:90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1"/>
      <c r="CI117" s="1"/>
      <c r="CJ117" s="1"/>
      <c r="CK117" s="1"/>
      <c r="CL117" s="1"/>
    </row>
    <row r="118" spans="1:90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1"/>
      <c r="CI118" s="1"/>
      <c r="CJ118" s="1"/>
      <c r="CK118" s="1"/>
      <c r="CL118" s="1"/>
    </row>
    <row r="119" spans="1:90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1"/>
      <c r="CI119" s="1"/>
      <c r="CJ119" s="1"/>
      <c r="CK119" s="1"/>
      <c r="CL119" s="1"/>
    </row>
    <row r="120" spans="1:90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1"/>
      <c r="CI120" s="1"/>
      <c r="CJ120" s="1"/>
      <c r="CK120" s="1"/>
      <c r="CL120" s="1"/>
    </row>
    <row r="121" spans="1:90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1"/>
      <c r="CI121" s="1"/>
      <c r="CJ121" s="1"/>
      <c r="CK121" s="1"/>
      <c r="CL121" s="1"/>
    </row>
    <row r="122" spans="1:90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1"/>
      <c r="CI122" s="1"/>
      <c r="CJ122" s="1"/>
      <c r="CK122" s="1"/>
      <c r="CL122" s="1"/>
    </row>
    <row r="123" spans="1:90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1"/>
      <c r="CI123" s="1"/>
      <c r="CJ123" s="1"/>
      <c r="CK123" s="1"/>
      <c r="CL123" s="1"/>
    </row>
    <row r="124" spans="1:90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</row>
    <row r="125" spans="1:90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</row>
    <row r="126" spans="1:90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</row>
    <row r="127" spans="1:90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</row>
    <row r="128" spans="1:90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</row>
    <row r="129" spans="1:90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</row>
    <row r="130" spans="1:90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</row>
    <row r="131" spans="1:90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</row>
    <row r="132" spans="1:90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</row>
    <row r="133" spans="1:90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</row>
    <row r="134" spans="1:90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</row>
    <row r="135" spans="1:90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</row>
    <row r="136" spans="1:90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</row>
    <row r="137" spans="1:90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</row>
    <row r="138" spans="1:90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</row>
    <row r="139" spans="1:90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</row>
    <row r="140" spans="1:90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</row>
    <row r="141" spans="1:90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</row>
    <row r="142" spans="1:90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</row>
    <row r="143" spans="1:90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</row>
    <row r="144" spans="1:90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</row>
    <row r="145" spans="1:90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</row>
    <row r="146" spans="1:90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90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90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90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90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90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90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90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90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90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90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90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90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90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90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</sheetData>
  <mergeCells count="50">
    <mergeCell ref="P3:Q3"/>
    <mergeCell ref="E2:I2"/>
    <mergeCell ref="M2:Q2"/>
    <mergeCell ref="U2:Y2"/>
    <mergeCell ref="AC2:AG2"/>
    <mergeCell ref="AF3:AG3"/>
    <mergeCell ref="R3:T3"/>
    <mergeCell ref="V3:W3"/>
    <mergeCell ref="X3:Y3"/>
    <mergeCell ref="Z3:AB3"/>
    <mergeCell ref="AD3:AE3"/>
    <mergeCell ref="B3:D3"/>
    <mergeCell ref="F3:G3"/>
    <mergeCell ref="H3:I3"/>
    <mergeCell ref="J3:L3"/>
    <mergeCell ref="N3:O3"/>
    <mergeCell ref="BA2:BE2"/>
    <mergeCell ref="BI2:BM2"/>
    <mergeCell ref="BQ2:BU2"/>
    <mergeCell ref="BY2:CC2"/>
    <mergeCell ref="AK2:AO2"/>
    <mergeCell ref="AS2:AW2"/>
    <mergeCell ref="BL3:BM3"/>
    <mergeCell ref="AH3:AJ3"/>
    <mergeCell ref="AL3:AM3"/>
    <mergeCell ref="AN3:AO3"/>
    <mergeCell ref="AP3:AR3"/>
    <mergeCell ref="AT3:AU3"/>
    <mergeCell ref="AV3:AW3"/>
    <mergeCell ref="AX3:AZ3"/>
    <mergeCell ref="BB3:BC3"/>
    <mergeCell ref="BD3:BE3"/>
    <mergeCell ref="BF3:BH3"/>
    <mergeCell ref="BJ3:BK3"/>
    <mergeCell ref="CD3:CF3"/>
    <mergeCell ref="BN3:BP3"/>
    <mergeCell ref="BR3:BS3"/>
    <mergeCell ref="BT3:BU3"/>
    <mergeCell ref="BV3:BX3"/>
    <mergeCell ref="BZ3:CA3"/>
    <mergeCell ref="CB3:CC3"/>
    <mergeCell ref="A45:A46"/>
    <mergeCell ref="B45:D45"/>
    <mergeCell ref="E45:G45"/>
    <mergeCell ref="A19:A20"/>
    <mergeCell ref="B19:C19"/>
    <mergeCell ref="D19:E19"/>
    <mergeCell ref="A32:A33"/>
    <mergeCell ref="B32:D32"/>
    <mergeCell ref="E32:G3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45" zoomScaleNormal="100" workbookViewId="0">
      <selection activeCell="H52" sqref="H52"/>
    </sheetView>
  </sheetViews>
  <sheetFormatPr defaultRowHeight="15" x14ac:dyDescent="0.25"/>
  <cols>
    <col min="1" max="1" width="28.28515625" customWidth="1"/>
    <col min="2" max="2" width="17.28515625" customWidth="1"/>
    <col min="3" max="3" width="10.7109375" customWidth="1"/>
    <col min="4" max="4" width="9.5703125" customWidth="1"/>
    <col min="5" max="5" width="12.42578125" customWidth="1"/>
  </cols>
  <sheetData>
    <row r="1" spans="1:5" ht="15.75" x14ac:dyDescent="0.25">
      <c r="A1" s="11" t="s">
        <v>114</v>
      </c>
      <c r="B1" s="1"/>
      <c r="C1" s="1"/>
      <c r="D1" s="1"/>
      <c r="E1" s="1"/>
    </row>
    <row r="2" spans="1:5" ht="15.6" x14ac:dyDescent="0.3">
      <c r="A2" s="1"/>
      <c r="B2" s="1"/>
      <c r="C2" s="1"/>
      <c r="D2" s="1"/>
      <c r="E2" s="1"/>
    </row>
    <row r="3" spans="1:5" ht="45" x14ac:dyDescent="0.25">
      <c r="A3" s="156" t="s">
        <v>115</v>
      </c>
      <c r="B3" s="27" t="s">
        <v>116</v>
      </c>
      <c r="C3" s="27" t="s">
        <v>117</v>
      </c>
      <c r="D3" s="27" t="s">
        <v>118</v>
      </c>
      <c r="E3" s="27" t="s">
        <v>119</v>
      </c>
    </row>
    <row r="4" spans="1:5" x14ac:dyDescent="0.25">
      <c r="A4" s="156"/>
      <c r="B4" s="28" t="s">
        <v>120</v>
      </c>
      <c r="C4" s="28" t="s">
        <v>121</v>
      </c>
      <c r="D4" s="28" t="s">
        <v>122</v>
      </c>
      <c r="E4" s="28" t="s">
        <v>123</v>
      </c>
    </row>
    <row r="5" spans="1:5" ht="15.6" x14ac:dyDescent="0.3">
      <c r="A5" s="2" t="s">
        <v>124</v>
      </c>
      <c r="B5" s="7">
        <v>8</v>
      </c>
      <c r="C5" s="7">
        <v>33</v>
      </c>
      <c r="D5" s="7">
        <v>170</v>
      </c>
      <c r="E5" s="29">
        <f t="shared" ref="E5:E15" si="0">((D5-C5)*1000)/(30.5*B5)</f>
        <v>561.47540983606552</v>
      </c>
    </row>
    <row r="6" spans="1:5" ht="15.6" x14ac:dyDescent="0.3">
      <c r="A6" s="2" t="s">
        <v>125</v>
      </c>
      <c r="B6" s="7">
        <v>4</v>
      </c>
      <c r="C6" s="7">
        <v>170</v>
      </c>
      <c r="D6" s="7">
        <v>220</v>
      </c>
      <c r="E6" s="29">
        <f t="shared" si="0"/>
        <v>409.8360655737705</v>
      </c>
    </row>
    <row r="7" spans="1:5" ht="15.6" x14ac:dyDescent="0.3">
      <c r="A7" s="2" t="s">
        <v>126</v>
      </c>
      <c r="B7" s="7">
        <v>12</v>
      </c>
      <c r="C7" s="7">
        <v>220</v>
      </c>
      <c r="D7" s="7">
        <v>350</v>
      </c>
      <c r="E7" s="29">
        <f t="shared" si="0"/>
        <v>355.19125683060111</v>
      </c>
    </row>
    <row r="8" spans="1:5" ht="15.6" x14ac:dyDescent="0.3">
      <c r="A8" s="2" t="s">
        <v>127</v>
      </c>
      <c r="B8" s="7">
        <v>6</v>
      </c>
      <c r="C8" s="7">
        <v>350</v>
      </c>
      <c r="D8" s="7">
        <v>420</v>
      </c>
      <c r="E8" s="29">
        <f t="shared" si="0"/>
        <v>382.5136612021858</v>
      </c>
    </row>
    <row r="9" spans="1:5" ht="15.6" x14ac:dyDescent="0.3">
      <c r="A9" s="2" t="s">
        <v>128</v>
      </c>
      <c r="B9" s="7">
        <v>6</v>
      </c>
      <c r="C9" s="7">
        <v>420</v>
      </c>
      <c r="D9" s="7">
        <v>480</v>
      </c>
      <c r="E9" s="29">
        <f t="shared" si="0"/>
        <v>327.86885245901641</v>
      </c>
    </row>
    <row r="10" spans="1:5" ht="15.6" x14ac:dyDescent="0.3">
      <c r="A10" s="2"/>
      <c r="B10" s="7"/>
      <c r="C10" s="7"/>
      <c r="D10" s="7"/>
      <c r="E10" s="29"/>
    </row>
    <row r="11" spans="1:5" ht="15.6" x14ac:dyDescent="0.3">
      <c r="A11" s="2" t="s">
        <v>129</v>
      </c>
      <c r="B11" s="7">
        <v>8</v>
      </c>
      <c r="C11" s="7">
        <v>30</v>
      </c>
      <c r="D11" s="7">
        <v>160</v>
      </c>
      <c r="E11" s="29">
        <f t="shared" si="0"/>
        <v>532.78688524590166</v>
      </c>
    </row>
    <row r="12" spans="1:5" ht="15.6" x14ac:dyDescent="0.3">
      <c r="A12" s="2" t="s">
        <v>130</v>
      </c>
      <c r="B12" s="7">
        <v>4</v>
      </c>
      <c r="C12" s="7">
        <v>160</v>
      </c>
      <c r="D12" s="7">
        <v>190</v>
      </c>
      <c r="E12" s="29">
        <f t="shared" si="0"/>
        <v>245.90163934426229</v>
      </c>
    </row>
    <row r="13" spans="1:5" ht="15.6" x14ac:dyDescent="0.3">
      <c r="A13" s="2" t="s">
        <v>131</v>
      </c>
      <c r="B13" s="7">
        <v>12</v>
      </c>
      <c r="C13" s="7">
        <v>190</v>
      </c>
      <c r="D13" s="7">
        <v>280</v>
      </c>
      <c r="E13" s="29">
        <f t="shared" si="0"/>
        <v>245.90163934426229</v>
      </c>
    </row>
    <row r="14" spans="1:5" ht="15.6" x14ac:dyDescent="0.3">
      <c r="A14" s="2" t="s">
        <v>132</v>
      </c>
      <c r="B14" s="7">
        <v>12</v>
      </c>
      <c r="C14" s="7">
        <v>280</v>
      </c>
      <c r="D14" s="7">
        <v>350</v>
      </c>
      <c r="E14" s="29">
        <f t="shared" si="0"/>
        <v>191.2568306010929</v>
      </c>
    </row>
    <row r="15" spans="1:5" ht="15.6" x14ac:dyDescent="0.3">
      <c r="A15" s="2" t="s">
        <v>133</v>
      </c>
      <c r="B15" s="7">
        <v>12</v>
      </c>
      <c r="C15" s="7">
        <v>350</v>
      </c>
      <c r="D15" s="7">
        <v>350</v>
      </c>
      <c r="E15" s="29">
        <f t="shared" si="0"/>
        <v>0</v>
      </c>
    </row>
    <row r="16" spans="1:5" ht="15.6" x14ac:dyDescent="0.3">
      <c r="A16" s="2" t="s">
        <v>134</v>
      </c>
      <c r="B16" s="7">
        <v>6</v>
      </c>
      <c r="C16" s="7">
        <v>350</v>
      </c>
      <c r="D16" s="7">
        <v>420</v>
      </c>
      <c r="E16" s="29">
        <f>((D16-C16)*1000)/(30.5*B16)</f>
        <v>382.5136612021858</v>
      </c>
    </row>
    <row r="17" spans="1:6" ht="15.6" x14ac:dyDescent="0.3">
      <c r="A17" s="1"/>
      <c r="B17" s="1"/>
      <c r="C17" s="1"/>
      <c r="D17" s="1"/>
      <c r="E17" s="1"/>
    </row>
    <row r="18" spans="1:6" ht="15.6" x14ac:dyDescent="0.3">
      <c r="A18" s="1"/>
      <c r="B18" s="1"/>
      <c r="C18" s="1"/>
      <c r="D18" s="1"/>
      <c r="E18" s="1"/>
    </row>
    <row r="19" spans="1:6" ht="15.75" x14ac:dyDescent="0.25">
      <c r="A19" s="1"/>
      <c r="B19" s="1" t="s">
        <v>135</v>
      </c>
      <c r="C19" s="1"/>
      <c r="D19" s="1"/>
      <c r="E19" s="1"/>
    </row>
    <row r="20" spans="1:6" ht="15.75" x14ac:dyDescent="0.25">
      <c r="A20" s="1" t="s">
        <v>120</v>
      </c>
      <c r="B20" s="30" t="s">
        <v>136</v>
      </c>
      <c r="C20" s="1"/>
      <c r="D20" s="1"/>
      <c r="E20" s="30" t="s">
        <v>257</v>
      </c>
    </row>
    <row r="21" spans="1:6" ht="15.75" x14ac:dyDescent="0.25">
      <c r="A21" s="1">
        <v>0</v>
      </c>
      <c r="B21" s="31">
        <f>C5</f>
        <v>33</v>
      </c>
      <c r="C21" s="1">
        <f>$B$5</f>
        <v>8</v>
      </c>
      <c r="D21" s="1"/>
      <c r="E21" s="115">
        <f>C11</f>
        <v>30</v>
      </c>
      <c r="F21" s="116">
        <f>$B$11</f>
        <v>8</v>
      </c>
    </row>
    <row r="22" spans="1:6" ht="15.75" x14ac:dyDescent="0.25">
      <c r="A22" s="1">
        <f>A21+1</f>
        <v>1</v>
      </c>
      <c r="B22" s="31">
        <f>B21+(($E$5/1000)*30.5)</f>
        <v>50.125</v>
      </c>
      <c r="C22" s="1">
        <f t="shared" ref="C22:C29" si="1">$B$5</f>
        <v>8</v>
      </c>
      <c r="D22" s="1"/>
      <c r="E22" s="115">
        <f>E21+(($E$11/1000)*30.5)</f>
        <v>46.25</v>
      </c>
      <c r="F22" s="116">
        <f>$B$11</f>
        <v>8</v>
      </c>
    </row>
    <row r="23" spans="1:6" ht="15.75" x14ac:dyDescent="0.25">
      <c r="A23" s="1">
        <f t="shared" ref="A23:A67" si="2">A22+1</f>
        <v>2</v>
      </c>
      <c r="B23" s="31">
        <f t="shared" ref="B23:B29" si="3">B22+(($E$5/1000)*30.5)</f>
        <v>67.25</v>
      </c>
      <c r="C23" s="1">
        <f t="shared" si="1"/>
        <v>8</v>
      </c>
      <c r="D23" s="1"/>
      <c r="E23" s="115">
        <f t="shared" ref="E23:E29" si="4">E22+(($E$11/1000)*30.5)</f>
        <v>62.5</v>
      </c>
      <c r="F23" s="116">
        <f t="shared" ref="F23:F29" si="5">$B$11</f>
        <v>8</v>
      </c>
    </row>
    <row r="24" spans="1:6" ht="15.75" x14ac:dyDescent="0.25">
      <c r="A24" s="1">
        <f t="shared" si="2"/>
        <v>3</v>
      </c>
      <c r="B24" s="31">
        <f t="shared" si="3"/>
        <v>84.375</v>
      </c>
      <c r="C24" s="1">
        <f t="shared" si="1"/>
        <v>8</v>
      </c>
      <c r="D24" s="1"/>
      <c r="E24" s="115">
        <f t="shared" si="4"/>
        <v>78.75</v>
      </c>
      <c r="F24" s="116">
        <f t="shared" si="5"/>
        <v>8</v>
      </c>
    </row>
    <row r="25" spans="1:6" ht="15.75" x14ac:dyDescent="0.25">
      <c r="A25" s="1">
        <f t="shared" si="2"/>
        <v>4</v>
      </c>
      <c r="B25" s="31">
        <f t="shared" si="3"/>
        <v>101.5</v>
      </c>
      <c r="C25" s="1">
        <f t="shared" si="1"/>
        <v>8</v>
      </c>
      <c r="D25" s="1"/>
      <c r="E25" s="115">
        <f t="shared" si="4"/>
        <v>95</v>
      </c>
      <c r="F25" s="116">
        <f t="shared" si="5"/>
        <v>8</v>
      </c>
    </row>
    <row r="26" spans="1:6" ht="15.75" x14ac:dyDescent="0.25">
      <c r="A26" s="1">
        <f t="shared" si="2"/>
        <v>5</v>
      </c>
      <c r="B26" s="31">
        <f t="shared" si="3"/>
        <v>118.625</v>
      </c>
      <c r="C26" s="1">
        <f t="shared" si="1"/>
        <v>8</v>
      </c>
      <c r="D26" s="1"/>
      <c r="E26" s="115">
        <f t="shared" si="4"/>
        <v>111.25</v>
      </c>
      <c r="F26" s="116">
        <f t="shared" si="5"/>
        <v>8</v>
      </c>
    </row>
    <row r="27" spans="1:6" ht="15.75" x14ac:dyDescent="0.25">
      <c r="A27" s="1">
        <f t="shared" si="2"/>
        <v>6</v>
      </c>
      <c r="B27" s="31">
        <f t="shared" si="3"/>
        <v>135.75</v>
      </c>
      <c r="C27" s="1">
        <f t="shared" si="1"/>
        <v>8</v>
      </c>
      <c r="D27" s="1"/>
      <c r="E27" s="115">
        <f t="shared" si="4"/>
        <v>127.5</v>
      </c>
      <c r="F27" s="116">
        <f t="shared" si="5"/>
        <v>8</v>
      </c>
    </row>
    <row r="28" spans="1:6" ht="15.75" x14ac:dyDescent="0.25">
      <c r="A28" s="1">
        <f t="shared" si="2"/>
        <v>7</v>
      </c>
      <c r="B28" s="31">
        <f t="shared" si="3"/>
        <v>152.875</v>
      </c>
      <c r="C28" s="1">
        <f t="shared" si="1"/>
        <v>8</v>
      </c>
      <c r="D28" s="1"/>
      <c r="E28" s="115">
        <f t="shared" si="4"/>
        <v>143.75</v>
      </c>
      <c r="F28" s="116">
        <f t="shared" si="5"/>
        <v>8</v>
      </c>
    </row>
    <row r="29" spans="1:6" ht="15.75" x14ac:dyDescent="0.25">
      <c r="A29" s="1">
        <f t="shared" si="2"/>
        <v>8</v>
      </c>
      <c r="B29" s="31">
        <f t="shared" si="3"/>
        <v>170</v>
      </c>
      <c r="C29" s="1">
        <f t="shared" si="1"/>
        <v>8</v>
      </c>
      <c r="D29" s="1"/>
      <c r="E29" s="115">
        <f t="shared" si="4"/>
        <v>160</v>
      </c>
      <c r="F29" s="116">
        <f t="shared" si="5"/>
        <v>8</v>
      </c>
    </row>
    <row r="30" spans="1:6" ht="15.75" x14ac:dyDescent="0.25">
      <c r="A30" s="1">
        <f t="shared" si="2"/>
        <v>9</v>
      </c>
      <c r="B30" s="31">
        <f>B29+(($E$6/1000)*30.5)</f>
        <v>182.5</v>
      </c>
      <c r="C30" s="1">
        <f>$B$6</f>
        <v>4</v>
      </c>
      <c r="D30" s="1"/>
      <c r="E30" s="115">
        <f>E29+(($E$12/1000)*30.5)</f>
        <v>167.5</v>
      </c>
      <c r="F30" s="116">
        <f>$B$6</f>
        <v>4</v>
      </c>
    </row>
    <row r="31" spans="1:6" ht="15.75" x14ac:dyDescent="0.25">
      <c r="A31" s="1">
        <f t="shared" si="2"/>
        <v>10</v>
      </c>
      <c r="B31" s="31">
        <f t="shared" ref="B31:B33" si="6">B30+(($E$6/1000)*30.5)</f>
        <v>195</v>
      </c>
      <c r="C31" s="1">
        <f t="shared" ref="C31:C33" si="7">$B$6</f>
        <v>4</v>
      </c>
      <c r="D31" s="1"/>
      <c r="E31" s="115">
        <f t="shared" ref="E31:E33" si="8">E30+(($E$12/1000)*30.5)</f>
        <v>175</v>
      </c>
      <c r="F31" s="116">
        <f t="shared" ref="F31:F33" si="9">$B$6</f>
        <v>4</v>
      </c>
    </row>
    <row r="32" spans="1:6" ht="15.75" x14ac:dyDescent="0.25">
      <c r="A32" s="1">
        <f t="shared" si="2"/>
        <v>11</v>
      </c>
      <c r="B32" s="31">
        <f t="shared" si="6"/>
        <v>207.5</v>
      </c>
      <c r="C32" s="1">
        <f t="shared" si="7"/>
        <v>4</v>
      </c>
      <c r="D32" s="1"/>
      <c r="E32" s="115">
        <f t="shared" si="8"/>
        <v>182.5</v>
      </c>
      <c r="F32" s="116">
        <f t="shared" si="9"/>
        <v>4</v>
      </c>
    </row>
    <row r="33" spans="1:6" ht="15.75" x14ac:dyDescent="0.25">
      <c r="A33" s="1">
        <f t="shared" si="2"/>
        <v>12</v>
      </c>
      <c r="B33" s="31">
        <f t="shared" si="6"/>
        <v>220</v>
      </c>
      <c r="C33" s="1">
        <f t="shared" si="7"/>
        <v>4</v>
      </c>
      <c r="D33" s="1"/>
      <c r="E33" s="115">
        <f t="shared" si="8"/>
        <v>190</v>
      </c>
      <c r="F33" s="116">
        <f t="shared" si="9"/>
        <v>4</v>
      </c>
    </row>
    <row r="34" spans="1:6" ht="15.75" x14ac:dyDescent="0.25">
      <c r="A34" s="1">
        <f t="shared" si="2"/>
        <v>13</v>
      </c>
      <c r="B34" s="31">
        <f>B33+(($E$7/1000)*30.5)</f>
        <v>230.83333333333334</v>
      </c>
      <c r="C34" s="1">
        <f>$B$7</f>
        <v>12</v>
      </c>
      <c r="D34" s="1"/>
      <c r="E34" s="115">
        <f>E33+(($E$13/1000)*30.5)</f>
        <v>197.5</v>
      </c>
      <c r="F34" s="116">
        <f>$B$7</f>
        <v>12</v>
      </c>
    </row>
    <row r="35" spans="1:6" ht="15.75" x14ac:dyDescent="0.25">
      <c r="A35" s="1">
        <f t="shared" si="2"/>
        <v>14</v>
      </c>
      <c r="B35" s="31">
        <f t="shared" ref="B35:B45" si="10">B34+(($E$7/1000)*30.5)</f>
        <v>241.66666666666669</v>
      </c>
      <c r="C35" s="1">
        <f t="shared" ref="C35:C45" si="11">$B$7</f>
        <v>12</v>
      </c>
      <c r="D35" s="1"/>
      <c r="E35" s="115">
        <f t="shared" ref="E35:E45" si="12">E34+(($E$13/1000)*30.5)</f>
        <v>205</v>
      </c>
      <c r="F35" s="116">
        <f t="shared" ref="F35:F45" si="13">$B$7</f>
        <v>12</v>
      </c>
    </row>
    <row r="36" spans="1:6" ht="15.75" x14ac:dyDescent="0.25">
      <c r="A36" s="1">
        <f t="shared" si="2"/>
        <v>15</v>
      </c>
      <c r="B36" s="31">
        <f t="shared" si="10"/>
        <v>252.50000000000003</v>
      </c>
      <c r="C36" s="1">
        <f t="shared" si="11"/>
        <v>12</v>
      </c>
      <c r="D36" s="1"/>
      <c r="E36" s="115">
        <f t="shared" si="12"/>
        <v>212.5</v>
      </c>
      <c r="F36" s="116">
        <f t="shared" si="13"/>
        <v>12</v>
      </c>
    </row>
    <row r="37" spans="1:6" ht="15.75" x14ac:dyDescent="0.25">
      <c r="A37" s="1">
        <f t="shared" si="2"/>
        <v>16</v>
      </c>
      <c r="B37" s="31">
        <f t="shared" si="10"/>
        <v>263.33333333333337</v>
      </c>
      <c r="C37" s="1">
        <f t="shared" si="11"/>
        <v>12</v>
      </c>
      <c r="D37" s="1"/>
      <c r="E37" s="115">
        <f t="shared" si="12"/>
        <v>220</v>
      </c>
      <c r="F37" s="116">
        <f t="shared" si="13"/>
        <v>12</v>
      </c>
    </row>
    <row r="38" spans="1:6" ht="15.75" x14ac:dyDescent="0.25">
      <c r="A38" s="1">
        <f t="shared" si="2"/>
        <v>17</v>
      </c>
      <c r="B38" s="31">
        <f t="shared" si="10"/>
        <v>274.16666666666669</v>
      </c>
      <c r="C38" s="1">
        <f t="shared" si="11"/>
        <v>12</v>
      </c>
      <c r="D38" s="1"/>
      <c r="E38" s="115">
        <f t="shared" si="12"/>
        <v>227.5</v>
      </c>
      <c r="F38" s="116">
        <f t="shared" si="13"/>
        <v>12</v>
      </c>
    </row>
    <row r="39" spans="1:6" ht="15.75" x14ac:dyDescent="0.25">
      <c r="A39" s="1">
        <f t="shared" si="2"/>
        <v>18</v>
      </c>
      <c r="B39" s="31">
        <f t="shared" si="10"/>
        <v>285</v>
      </c>
      <c r="C39" s="1">
        <f t="shared" si="11"/>
        <v>12</v>
      </c>
      <c r="D39" s="1"/>
      <c r="E39" s="115">
        <f t="shared" si="12"/>
        <v>235</v>
      </c>
      <c r="F39" s="116">
        <f t="shared" si="13"/>
        <v>12</v>
      </c>
    </row>
    <row r="40" spans="1:6" ht="15.75" x14ac:dyDescent="0.25">
      <c r="A40" s="1">
        <f t="shared" si="2"/>
        <v>19</v>
      </c>
      <c r="B40" s="31">
        <f t="shared" si="10"/>
        <v>295.83333333333331</v>
      </c>
      <c r="C40" s="1">
        <f t="shared" si="11"/>
        <v>12</v>
      </c>
      <c r="D40" s="1"/>
      <c r="E40" s="115">
        <f t="shared" si="12"/>
        <v>242.5</v>
      </c>
      <c r="F40" s="116">
        <f t="shared" si="13"/>
        <v>12</v>
      </c>
    </row>
    <row r="41" spans="1:6" ht="15.75" x14ac:dyDescent="0.25">
      <c r="A41" s="1">
        <f t="shared" si="2"/>
        <v>20</v>
      </c>
      <c r="B41" s="31">
        <f t="shared" si="10"/>
        <v>306.66666666666663</v>
      </c>
      <c r="C41" s="1">
        <f t="shared" si="11"/>
        <v>12</v>
      </c>
      <c r="D41" s="1"/>
      <c r="E41" s="115">
        <f t="shared" si="12"/>
        <v>250</v>
      </c>
      <c r="F41" s="116">
        <f t="shared" si="13"/>
        <v>12</v>
      </c>
    </row>
    <row r="42" spans="1:6" ht="15.75" x14ac:dyDescent="0.25">
      <c r="A42" s="1">
        <f t="shared" si="2"/>
        <v>21</v>
      </c>
      <c r="B42" s="31">
        <f t="shared" si="10"/>
        <v>317.49999999999994</v>
      </c>
      <c r="C42" s="1">
        <f t="shared" si="11"/>
        <v>12</v>
      </c>
      <c r="D42" s="1"/>
      <c r="E42" s="115">
        <f t="shared" si="12"/>
        <v>257.5</v>
      </c>
      <c r="F42" s="116">
        <f t="shared" si="13"/>
        <v>12</v>
      </c>
    </row>
    <row r="43" spans="1:6" ht="15.75" x14ac:dyDescent="0.25">
      <c r="A43" s="1">
        <f t="shared" si="2"/>
        <v>22</v>
      </c>
      <c r="B43" s="31">
        <f t="shared" si="10"/>
        <v>328.33333333333326</v>
      </c>
      <c r="C43" s="1">
        <f t="shared" si="11"/>
        <v>12</v>
      </c>
      <c r="D43" s="1"/>
      <c r="E43" s="115">
        <f t="shared" si="12"/>
        <v>265</v>
      </c>
      <c r="F43" s="116">
        <f t="shared" si="13"/>
        <v>12</v>
      </c>
    </row>
    <row r="44" spans="1:6" ht="15.75" x14ac:dyDescent="0.25">
      <c r="A44" s="1">
        <f t="shared" si="2"/>
        <v>23</v>
      </c>
      <c r="B44" s="31">
        <f t="shared" si="10"/>
        <v>339.16666666666657</v>
      </c>
      <c r="C44" s="1">
        <f t="shared" si="11"/>
        <v>12</v>
      </c>
      <c r="D44" s="1"/>
      <c r="E44" s="115">
        <f t="shared" si="12"/>
        <v>272.5</v>
      </c>
      <c r="F44" s="116">
        <f t="shared" si="13"/>
        <v>12</v>
      </c>
    </row>
    <row r="45" spans="1:6" ht="15.75" x14ac:dyDescent="0.25">
      <c r="A45" s="1">
        <f t="shared" si="2"/>
        <v>24</v>
      </c>
      <c r="B45" s="31">
        <f t="shared" si="10"/>
        <v>349.99999999999989</v>
      </c>
      <c r="C45" s="1">
        <f t="shared" si="11"/>
        <v>12</v>
      </c>
      <c r="D45" s="1"/>
      <c r="E45" s="115">
        <f t="shared" si="12"/>
        <v>280</v>
      </c>
      <c r="F45" s="116">
        <f t="shared" si="13"/>
        <v>12</v>
      </c>
    </row>
    <row r="46" spans="1:6" ht="15.75" x14ac:dyDescent="0.25">
      <c r="A46" s="1">
        <f t="shared" si="2"/>
        <v>25</v>
      </c>
      <c r="B46" s="31">
        <f>B45+(($E$8/1000)*30.5)</f>
        <v>361.66666666666657</v>
      </c>
      <c r="C46" s="1">
        <f>$B$8</f>
        <v>6</v>
      </c>
      <c r="D46" s="1"/>
      <c r="E46" s="115">
        <f>E45+(($E$14/1000)*30.5)</f>
        <v>285.83333333333331</v>
      </c>
      <c r="F46" s="116">
        <f>$B$7</f>
        <v>12</v>
      </c>
    </row>
    <row r="47" spans="1:6" ht="15.75" x14ac:dyDescent="0.25">
      <c r="A47" s="1">
        <f t="shared" si="2"/>
        <v>26</v>
      </c>
      <c r="B47" s="31">
        <f t="shared" ref="B47:B51" si="14">B46+(($E$8/1000)*30.5)</f>
        <v>373.33333333333326</v>
      </c>
      <c r="C47" s="1">
        <f t="shared" ref="C47:C51" si="15">$B$8</f>
        <v>6</v>
      </c>
      <c r="D47" s="1"/>
      <c r="E47" s="115">
        <f t="shared" ref="E47:E57" si="16">E46+(($E$14/1000)*30.5)</f>
        <v>291.66666666666663</v>
      </c>
      <c r="F47" s="116">
        <f t="shared" ref="F47:F57" si="17">$B$7</f>
        <v>12</v>
      </c>
    </row>
    <row r="48" spans="1:6" ht="15.75" x14ac:dyDescent="0.25">
      <c r="A48" s="1">
        <f t="shared" si="2"/>
        <v>27</v>
      </c>
      <c r="B48" s="31">
        <f t="shared" si="14"/>
        <v>384.99999999999994</v>
      </c>
      <c r="C48" s="1">
        <f t="shared" si="15"/>
        <v>6</v>
      </c>
      <c r="D48" s="1"/>
      <c r="E48" s="115">
        <f t="shared" si="16"/>
        <v>297.49999999999994</v>
      </c>
      <c r="F48" s="116">
        <f t="shared" si="17"/>
        <v>12</v>
      </c>
    </row>
    <row r="49" spans="1:9" ht="15.75" x14ac:dyDescent="0.25">
      <c r="A49" s="1">
        <f t="shared" si="2"/>
        <v>28</v>
      </c>
      <c r="B49" s="31">
        <f t="shared" si="14"/>
        <v>396.66666666666663</v>
      </c>
      <c r="C49" s="1">
        <f t="shared" si="15"/>
        <v>6</v>
      </c>
      <c r="D49" s="1"/>
      <c r="E49" s="115">
        <f t="shared" si="16"/>
        <v>303.33333333333326</v>
      </c>
      <c r="F49" s="116">
        <f t="shared" si="17"/>
        <v>12</v>
      </c>
    </row>
    <row r="50" spans="1:9" ht="15.75" x14ac:dyDescent="0.25">
      <c r="A50" s="1">
        <f t="shared" si="2"/>
        <v>29</v>
      </c>
      <c r="B50" s="31">
        <f t="shared" si="14"/>
        <v>408.33333333333331</v>
      </c>
      <c r="C50" s="1">
        <f t="shared" si="15"/>
        <v>6</v>
      </c>
      <c r="D50" s="1"/>
      <c r="E50" s="115">
        <f t="shared" si="16"/>
        <v>309.16666666666657</v>
      </c>
      <c r="F50" s="116">
        <f t="shared" si="17"/>
        <v>12</v>
      </c>
    </row>
    <row r="51" spans="1:9" ht="15.75" x14ac:dyDescent="0.25">
      <c r="A51" s="1">
        <f t="shared" si="2"/>
        <v>30</v>
      </c>
      <c r="B51" s="31">
        <f t="shared" si="14"/>
        <v>420</v>
      </c>
      <c r="C51" s="1">
        <f t="shared" si="15"/>
        <v>6</v>
      </c>
      <c r="D51" s="1"/>
      <c r="E51" s="115">
        <f t="shared" si="16"/>
        <v>314.99999999999989</v>
      </c>
      <c r="F51" s="116">
        <f t="shared" si="17"/>
        <v>12</v>
      </c>
    </row>
    <row r="52" spans="1:9" ht="15.75" x14ac:dyDescent="0.25">
      <c r="A52" s="1">
        <f t="shared" si="2"/>
        <v>31</v>
      </c>
      <c r="B52" s="31">
        <f>B51+(($E$9/1000)*30.5)</f>
        <v>430</v>
      </c>
      <c r="C52" s="1">
        <f>$B$9</f>
        <v>6</v>
      </c>
      <c r="D52" s="1"/>
      <c r="E52" s="115">
        <f t="shared" si="16"/>
        <v>320.8333333333332</v>
      </c>
      <c r="F52" s="116">
        <f t="shared" si="17"/>
        <v>12</v>
      </c>
    </row>
    <row r="53" spans="1:9" ht="15.75" x14ac:dyDescent="0.25">
      <c r="A53" s="1">
        <f t="shared" si="2"/>
        <v>32</v>
      </c>
      <c r="B53" s="31">
        <f t="shared" ref="B53:B57" si="18">B52+(($E$9/1000)*30.5)</f>
        <v>440</v>
      </c>
      <c r="C53" s="1">
        <f t="shared" ref="C53:C57" si="19">$B$9</f>
        <v>6</v>
      </c>
      <c r="D53" s="1"/>
      <c r="E53" s="115">
        <f t="shared" si="16"/>
        <v>326.66666666666652</v>
      </c>
      <c r="F53" s="116">
        <f t="shared" si="17"/>
        <v>12</v>
      </c>
    </row>
    <row r="54" spans="1:9" ht="15.75" x14ac:dyDescent="0.25">
      <c r="A54" s="1">
        <f t="shared" si="2"/>
        <v>33</v>
      </c>
      <c r="B54" s="31">
        <f t="shared" si="18"/>
        <v>450</v>
      </c>
      <c r="C54" s="1">
        <f t="shared" si="19"/>
        <v>6</v>
      </c>
      <c r="D54" s="1"/>
      <c r="E54" s="115">
        <f t="shared" si="16"/>
        <v>332.49999999999983</v>
      </c>
      <c r="F54" s="116">
        <f t="shared" si="17"/>
        <v>12</v>
      </c>
    </row>
    <row r="55" spans="1:9" ht="15.75" x14ac:dyDescent="0.25">
      <c r="A55" s="1">
        <f t="shared" si="2"/>
        <v>34</v>
      </c>
      <c r="B55" s="31">
        <f t="shared" si="18"/>
        <v>460</v>
      </c>
      <c r="C55" s="1">
        <f t="shared" si="19"/>
        <v>6</v>
      </c>
      <c r="D55" s="1"/>
      <c r="E55" s="115">
        <f t="shared" si="16"/>
        <v>338.33333333333314</v>
      </c>
      <c r="F55" s="116">
        <f t="shared" si="17"/>
        <v>12</v>
      </c>
    </row>
    <row r="56" spans="1:9" ht="15.75" x14ac:dyDescent="0.25">
      <c r="A56" s="1">
        <f t="shared" si="2"/>
        <v>35</v>
      </c>
      <c r="B56" s="31">
        <f t="shared" si="18"/>
        <v>470</v>
      </c>
      <c r="C56" s="1">
        <f t="shared" si="19"/>
        <v>6</v>
      </c>
      <c r="D56" s="1"/>
      <c r="E56" s="115">
        <f t="shared" si="16"/>
        <v>344.16666666666646</v>
      </c>
      <c r="F56" s="116">
        <f t="shared" si="17"/>
        <v>12</v>
      </c>
    </row>
    <row r="57" spans="1:9" ht="15.75" x14ac:dyDescent="0.25">
      <c r="A57" s="1">
        <f t="shared" si="2"/>
        <v>36</v>
      </c>
      <c r="B57" s="31">
        <f t="shared" si="18"/>
        <v>480</v>
      </c>
      <c r="C57" s="1">
        <f t="shared" si="19"/>
        <v>6</v>
      </c>
      <c r="D57" s="1"/>
      <c r="E57" s="115">
        <f t="shared" si="16"/>
        <v>349.99999999999977</v>
      </c>
      <c r="F57" s="116">
        <f t="shared" si="17"/>
        <v>12</v>
      </c>
    </row>
    <row r="58" spans="1:9" ht="15.75" x14ac:dyDescent="0.25">
      <c r="A58" s="1"/>
      <c r="B58" s="31"/>
      <c r="C58" s="1"/>
      <c r="D58" s="1"/>
      <c r="E58" s="115"/>
      <c r="F58" s="116"/>
    </row>
    <row r="59" spans="1:9" ht="15.75" x14ac:dyDescent="0.25">
      <c r="A59" s="1"/>
      <c r="B59" s="31"/>
      <c r="C59" s="1"/>
      <c r="D59" s="1"/>
      <c r="E59" s="115"/>
      <c r="F59" s="116"/>
    </row>
    <row r="60" spans="1:9" ht="15.75" x14ac:dyDescent="0.25">
      <c r="A60" s="1"/>
      <c r="B60" s="31"/>
      <c r="C60" s="1"/>
      <c r="D60" s="1"/>
      <c r="E60" s="115"/>
      <c r="H60" s="115"/>
      <c r="I60" t="s">
        <v>258</v>
      </c>
    </row>
    <row r="61" spans="1:9" ht="15.75" x14ac:dyDescent="0.25">
      <c r="A61" s="1">
        <v>0</v>
      </c>
      <c r="B61" s="31"/>
      <c r="C61" s="1"/>
      <c r="D61" s="1"/>
      <c r="E61" s="115"/>
      <c r="F61" s="116"/>
      <c r="G61" s="115"/>
      <c r="H61" s="115">
        <v>350</v>
      </c>
      <c r="I61" s="116">
        <f>$B$16</f>
        <v>6</v>
      </c>
    </row>
    <row r="62" spans="1:9" ht="15.75" x14ac:dyDescent="0.25">
      <c r="A62" s="1">
        <f t="shared" si="2"/>
        <v>1</v>
      </c>
      <c r="B62" s="31"/>
      <c r="C62" s="1"/>
      <c r="D62" s="1"/>
      <c r="E62" s="115"/>
      <c r="F62" s="116"/>
      <c r="H62" s="115">
        <f>H61+(($E$16/1000)*30.5)</f>
        <v>361.66666666666669</v>
      </c>
      <c r="I62" s="116">
        <f t="shared" ref="I62:I67" si="20">$B$16</f>
        <v>6</v>
      </c>
    </row>
    <row r="63" spans="1:9" ht="15.75" x14ac:dyDescent="0.25">
      <c r="A63" s="1">
        <f t="shared" si="2"/>
        <v>2</v>
      </c>
      <c r="B63" s="31"/>
      <c r="C63" s="1"/>
      <c r="D63" s="1"/>
      <c r="E63" s="115"/>
      <c r="F63" s="116"/>
      <c r="H63" s="115">
        <f t="shared" ref="H63:H67" si="21">H62+(($E$16/1000)*30.5)</f>
        <v>373.33333333333337</v>
      </c>
      <c r="I63" s="116">
        <f t="shared" si="20"/>
        <v>6</v>
      </c>
    </row>
    <row r="64" spans="1:9" ht="15.75" x14ac:dyDescent="0.25">
      <c r="A64" s="1">
        <f t="shared" si="2"/>
        <v>3</v>
      </c>
      <c r="B64" s="31"/>
      <c r="C64" s="1"/>
      <c r="D64" s="1"/>
      <c r="E64" s="115"/>
      <c r="F64" s="116"/>
      <c r="H64" s="115">
        <f t="shared" si="21"/>
        <v>385.00000000000006</v>
      </c>
      <c r="I64" s="116">
        <f t="shared" si="20"/>
        <v>6</v>
      </c>
    </row>
    <row r="65" spans="1:9" ht="15.75" x14ac:dyDescent="0.25">
      <c r="A65" s="1">
        <f t="shared" si="2"/>
        <v>4</v>
      </c>
      <c r="B65" s="31"/>
      <c r="C65" s="1"/>
      <c r="D65" s="1"/>
      <c r="E65" s="115"/>
      <c r="F65" s="116"/>
      <c r="H65" s="115">
        <f t="shared" si="21"/>
        <v>396.66666666666674</v>
      </c>
      <c r="I65" s="116">
        <f t="shared" si="20"/>
        <v>6</v>
      </c>
    </row>
    <row r="66" spans="1:9" ht="15.75" x14ac:dyDescent="0.25">
      <c r="A66" s="1">
        <f t="shared" si="2"/>
        <v>5</v>
      </c>
      <c r="B66" s="31"/>
      <c r="C66" s="1"/>
      <c r="D66" s="1"/>
      <c r="E66" s="115"/>
      <c r="F66" s="116"/>
      <c r="H66" s="115">
        <f t="shared" si="21"/>
        <v>408.33333333333343</v>
      </c>
      <c r="I66" s="116">
        <f t="shared" si="20"/>
        <v>6</v>
      </c>
    </row>
    <row r="67" spans="1:9" ht="15.75" x14ac:dyDescent="0.25">
      <c r="A67" s="1">
        <f t="shared" si="2"/>
        <v>6</v>
      </c>
      <c r="B67" s="31"/>
      <c r="C67" s="1"/>
      <c r="D67" s="1"/>
      <c r="E67" s="115"/>
      <c r="F67" s="116"/>
      <c r="H67" s="115">
        <f t="shared" si="21"/>
        <v>420.00000000000011</v>
      </c>
      <c r="I67" s="116">
        <f t="shared" si="20"/>
        <v>6</v>
      </c>
    </row>
    <row r="68" spans="1:9" ht="15.75" x14ac:dyDescent="0.25">
      <c r="A68" s="1"/>
      <c r="B68" s="31"/>
      <c r="C68" s="1"/>
      <c r="D68" s="1"/>
      <c r="E68" s="115"/>
      <c r="F68" s="116"/>
    </row>
    <row r="69" spans="1:9" ht="15.75" x14ac:dyDescent="0.25">
      <c r="A69" s="1"/>
      <c r="B69" s="31"/>
      <c r="C69" s="1"/>
      <c r="D69" s="1"/>
      <c r="E69" s="115"/>
      <c r="F69" s="116"/>
    </row>
    <row r="70" spans="1:9" ht="15.75" x14ac:dyDescent="0.25">
      <c r="A70" s="1"/>
      <c r="B70" s="31"/>
      <c r="C70" s="1"/>
      <c r="D70" s="1"/>
      <c r="E70" s="115"/>
      <c r="F70" s="116"/>
    </row>
    <row r="71" spans="1:9" ht="15.75" x14ac:dyDescent="0.25">
      <c r="A71" s="1"/>
      <c r="B71" s="1"/>
      <c r="C71" s="1"/>
      <c r="D71" s="1"/>
      <c r="E71" s="115"/>
      <c r="F71" s="116"/>
    </row>
    <row r="72" spans="1:9" ht="15.75" x14ac:dyDescent="0.25">
      <c r="A72" s="1"/>
      <c r="B72" s="1"/>
      <c r="C72" s="1"/>
      <c r="D72" s="1"/>
      <c r="E72" s="115"/>
      <c r="F72" s="116"/>
    </row>
    <row r="73" spans="1:9" ht="15.75" x14ac:dyDescent="0.25">
      <c r="A73" s="1"/>
      <c r="B73" s="1"/>
      <c r="C73" s="1"/>
      <c r="D73" s="1"/>
      <c r="E73" s="115"/>
    </row>
    <row r="74" spans="1:9" ht="15.75" x14ac:dyDescent="0.25">
      <c r="A74" s="1"/>
      <c r="B74" s="1"/>
      <c r="C74" s="1"/>
      <c r="D74" s="1"/>
      <c r="E74" s="115"/>
    </row>
    <row r="75" spans="1:9" ht="15.75" x14ac:dyDescent="0.25">
      <c r="A75" s="1"/>
      <c r="B75" s="1"/>
      <c r="C75" s="1"/>
      <c r="D75" s="1"/>
      <c r="E75" s="1"/>
    </row>
    <row r="76" spans="1:9" ht="15.75" x14ac:dyDescent="0.25">
      <c r="A76" s="1"/>
      <c r="B76" s="1"/>
      <c r="C76" s="1"/>
      <c r="D76" s="1"/>
      <c r="E76" s="1"/>
    </row>
  </sheetData>
  <mergeCells count="1">
    <mergeCell ref="A3:A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ColWidth="9.140625" defaultRowHeight="15" x14ac:dyDescent="0.25"/>
  <cols>
    <col min="1" max="1" width="20.140625" style="89" customWidth="1"/>
    <col min="2" max="2" width="3.7109375" style="89" customWidth="1"/>
    <col min="3" max="3" width="17.7109375" style="89" bestFit="1" customWidth="1"/>
    <col min="4" max="4" width="20.7109375" style="89" customWidth="1"/>
    <col min="5" max="5" width="3.7109375" style="89" customWidth="1"/>
    <col min="6" max="6" width="20.7109375" style="89" customWidth="1"/>
    <col min="7" max="7" width="9.7109375" style="89" customWidth="1"/>
    <col min="8" max="8" width="3.7109375" style="89" customWidth="1"/>
    <col min="9" max="9" width="20.7109375" style="89" customWidth="1"/>
    <col min="10" max="10" width="9.7109375" style="89" customWidth="1"/>
    <col min="11" max="19" width="15.7109375" style="89" customWidth="1"/>
    <col min="20" max="16384" width="9.140625" style="89"/>
  </cols>
  <sheetData>
    <row r="1" spans="1:10" ht="15.75" x14ac:dyDescent="0.25">
      <c r="A1" s="87" t="s">
        <v>201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6.149999999999999" thickBot="1" x14ac:dyDescent="0.3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s="92" customFormat="1" ht="15.6" x14ac:dyDescent="0.3">
      <c r="A3" s="90"/>
      <c r="B3" s="90"/>
      <c r="C3" s="90"/>
      <c r="D3" s="91" t="s">
        <v>202</v>
      </c>
      <c r="E3" s="90"/>
      <c r="F3" s="91" t="s">
        <v>203</v>
      </c>
      <c r="G3" s="90"/>
      <c r="H3" s="90"/>
      <c r="I3" s="90"/>
      <c r="J3" s="90"/>
    </row>
    <row r="4" spans="1:10" s="94" customFormat="1" ht="75" x14ac:dyDescent="0.25">
      <c r="A4" s="90"/>
      <c r="B4" s="90"/>
      <c r="C4" s="90"/>
      <c r="D4" s="93" t="s">
        <v>204</v>
      </c>
      <c r="E4" s="90"/>
      <c r="F4" s="93" t="s">
        <v>205</v>
      </c>
      <c r="G4" s="90"/>
      <c r="H4" s="90"/>
      <c r="I4" s="90"/>
      <c r="J4" s="90"/>
    </row>
    <row r="5" spans="1:10" s="94" customFormat="1" ht="30" x14ac:dyDescent="0.2">
      <c r="A5" s="90"/>
      <c r="B5" s="90"/>
      <c r="C5" s="90"/>
      <c r="D5" s="95" t="s">
        <v>206</v>
      </c>
      <c r="E5" s="90"/>
      <c r="F5" s="96" t="s">
        <v>207</v>
      </c>
      <c r="G5" s="90"/>
      <c r="H5" s="90"/>
      <c r="I5" s="90"/>
      <c r="J5" s="90"/>
    </row>
    <row r="6" spans="1:10" ht="16.149999999999999" thickBot="1" x14ac:dyDescent="0.3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s="92" customFormat="1" ht="31.5" x14ac:dyDescent="0.25">
      <c r="A7" s="91" t="s">
        <v>208</v>
      </c>
      <c r="B7" s="90"/>
      <c r="C7" s="32" t="s">
        <v>209</v>
      </c>
      <c r="D7" s="97" t="s">
        <v>210</v>
      </c>
      <c r="E7" s="90"/>
      <c r="F7" s="98" t="s">
        <v>211</v>
      </c>
      <c r="G7" s="32" t="s">
        <v>212</v>
      </c>
      <c r="H7" s="90"/>
      <c r="I7" s="98" t="s">
        <v>213</v>
      </c>
      <c r="J7" s="32" t="s">
        <v>214</v>
      </c>
    </row>
    <row r="8" spans="1:10" s="94" customFormat="1" ht="54.75" customHeight="1" x14ac:dyDescent="0.25">
      <c r="A8" s="93" t="s">
        <v>215</v>
      </c>
      <c r="B8" s="90"/>
      <c r="C8" s="93" t="s">
        <v>216</v>
      </c>
      <c r="D8" s="93" t="s">
        <v>217</v>
      </c>
      <c r="E8" s="90"/>
      <c r="F8" s="93" t="s">
        <v>218</v>
      </c>
      <c r="G8" s="93" t="s">
        <v>219</v>
      </c>
      <c r="H8" s="90"/>
      <c r="I8" s="93" t="s">
        <v>220</v>
      </c>
      <c r="J8" s="93"/>
    </row>
    <row r="9" spans="1:10" s="94" customFormat="1" ht="75" x14ac:dyDescent="0.25">
      <c r="A9" s="99"/>
      <c r="B9" s="90"/>
      <c r="C9" s="99"/>
      <c r="D9" s="99" t="s">
        <v>221</v>
      </c>
      <c r="E9" s="90"/>
      <c r="F9" s="99" t="s">
        <v>222</v>
      </c>
      <c r="G9" s="99"/>
      <c r="H9" s="90"/>
      <c r="I9" s="99" t="s">
        <v>223</v>
      </c>
      <c r="J9" s="99"/>
    </row>
    <row r="10" spans="1:10" s="94" customFormat="1" ht="30" x14ac:dyDescent="0.25">
      <c r="A10" s="100" t="s">
        <v>224</v>
      </c>
      <c r="B10" s="90"/>
      <c r="C10" s="101"/>
      <c r="D10" s="102" t="s">
        <v>225</v>
      </c>
      <c r="E10" s="90"/>
      <c r="F10" s="103" t="s">
        <v>206</v>
      </c>
      <c r="G10" s="101"/>
      <c r="H10" s="90"/>
      <c r="I10" s="100" t="s">
        <v>224</v>
      </c>
      <c r="J10" s="101"/>
    </row>
    <row r="11" spans="1:10" ht="15.6" x14ac:dyDescent="0.3">
      <c r="A11" s="88"/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5.6" x14ac:dyDescent="0.3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5.75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5.75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s="106" customFormat="1" ht="30" x14ac:dyDescent="0.2">
      <c r="A15" s="104" t="s">
        <v>206</v>
      </c>
      <c r="B15" s="105" t="s">
        <v>226</v>
      </c>
      <c r="C15" s="88"/>
      <c r="D15" s="88"/>
      <c r="E15" s="88"/>
      <c r="F15" s="88"/>
      <c r="G15" s="88"/>
      <c r="H15" s="88"/>
      <c r="I15" s="88"/>
      <c r="J15" s="88"/>
    </row>
    <row r="16" spans="1:10" s="106" customFormat="1" ht="30" x14ac:dyDescent="0.2">
      <c r="A16" s="107" t="s">
        <v>207</v>
      </c>
      <c r="B16" s="105" t="s">
        <v>227</v>
      </c>
      <c r="C16" s="88"/>
      <c r="D16" s="88"/>
      <c r="E16" s="88"/>
      <c r="F16" s="88"/>
      <c r="G16" s="88"/>
      <c r="H16" s="88"/>
      <c r="I16" s="88"/>
      <c r="J16" s="88"/>
    </row>
    <row r="17" spans="1:10" s="106" customFormat="1" ht="30" x14ac:dyDescent="0.2">
      <c r="A17" s="108" t="s">
        <v>225</v>
      </c>
      <c r="B17" s="105" t="s">
        <v>228</v>
      </c>
      <c r="C17" s="88"/>
      <c r="D17" s="88"/>
      <c r="E17" s="88"/>
      <c r="F17" s="88"/>
      <c r="G17" s="88"/>
      <c r="H17" s="88"/>
      <c r="I17" s="88"/>
      <c r="J17" s="88"/>
    </row>
    <row r="18" spans="1:10" s="106" customFormat="1" ht="30" x14ac:dyDescent="0.2">
      <c r="A18" s="109" t="s">
        <v>224</v>
      </c>
      <c r="B18" s="105" t="s">
        <v>229</v>
      </c>
      <c r="C18" s="88"/>
      <c r="D18" s="88"/>
      <c r="E18" s="88"/>
      <c r="F18" s="88"/>
      <c r="G18" s="88"/>
      <c r="H18" s="88"/>
      <c r="I18" s="88"/>
      <c r="J18" s="88"/>
    </row>
    <row r="19" spans="1:10" ht="15.75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workbookViewId="0">
      <selection activeCell="F5" sqref="F5"/>
    </sheetView>
  </sheetViews>
  <sheetFormatPr defaultRowHeight="15" x14ac:dyDescent="0.25"/>
  <cols>
    <col min="1" max="1" width="13.85546875" customWidth="1"/>
    <col min="2" max="2" width="26.5703125" customWidth="1"/>
    <col min="4" max="4" width="24.5703125" customWidth="1"/>
    <col min="7" max="7" width="9.28515625" bestFit="1" customWidth="1"/>
  </cols>
  <sheetData>
    <row r="4" spans="1:7" ht="31.5" x14ac:dyDescent="0.25">
      <c r="A4" s="33" t="s">
        <v>146</v>
      </c>
      <c r="B4" s="33" t="s">
        <v>147</v>
      </c>
      <c r="C4" s="33" t="s">
        <v>148</v>
      </c>
      <c r="D4" s="34" t="s">
        <v>157</v>
      </c>
    </row>
    <row r="5" spans="1:7" ht="15.75" x14ac:dyDescent="0.25">
      <c r="A5" s="35" t="s">
        <v>150</v>
      </c>
      <c r="B5" s="36" t="s">
        <v>151</v>
      </c>
      <c r="C5" s="37">
        <v>32</v>
      </c>
      <c r="D5" s="38">
        <f>6000*1.55*12</f>
        <v>111600</v>
      </c>
      <c r="G5" s="110"/>
    </row>
    <row r="6" spans="1:7" ht="15.75" x14ac:dyDescent="0.25">
      <c r="A6" s="35" t="s">
        <v>152</v>
      </c>
      <c r="B6" s="36" t="s">
        <v>154</v>
      </c>
      <c r="C6" s="37">
        <v>38</v>
      </c>
      <c r="D6" s="38">
        <f>(678*1.7)*1.55*12</f>
        <v>21438.36</v>
      </c>
    </row>
    <row r="7" spans="1:7" ht="15.6" x14ac:dyDescent="0.3">
      <c r="A7" s="35" t="s">
        <v>153</v>
      </c>
      <c r="B7" s="36" t="s">
        <v>149</v>
      </c>
      <c r="C7" s="37">
        <v>42</v>
      </c>
      <c r="D7" s="38">
        <f>(678*1.3)*1.55*12</f>
        <v>16394.04</v>
      </c>
    </row>
    <row r="8" spans="1:7" ht="15.6" x14ac:dyDescent="0.3">
      <c r="A8" s="35" t="s">
        <v>156</v>
      </c>
      <c r="B8" s="36" t="s">
        <v>149</v>
      </c>
      <c r="C8" s="37">
        <v>28</v>
      </c>
      <c r="D8" s="38">
        <f>(678*1)*1.55*12</f>
        <v>12610.800000000001</v>
      </c>
    </row>
    <row r="9" spans="1:7" ht="15.6" x14ac:dyDescent="0.3">
      <c r="A9" s="35" t="s">
        <v>155</v>
      </c>
      <c r="B9" s="36" t="s">
        <v>149</v>
      </c>
      <c r="C9" s="37">
        <v>22</v>
      </c>
      <c r="D9" s="38">
        <f t="shared" ref="D9:D10" si="0">(678*1)*1.55*12</f>
        <v>12610.800000000001</v>
      </c>
    </row>
    <row r="10" spans="1:7" ht="15.6" x14ac:dyDescent="0.3">
      <c r="A10" s="35" t="s">
        <v>200</v>
      </c>
      <c r="B10" s="36" t="s">
        <v>149</v>
      </c>
      <c r="C10" s="37">
        <v>29</v>
      </c>
      <c r="D10" s="38">
        <f t="shared" si="0"/>
        <v>12610.800000000001</v>
      </c>
    </row>
    <row r="11" spans="1:7" ht="15.6" x14ac:dyDescent="0.3">
      <c r="A11" s="84" t="s">
        <v>9</v>
      </c>
      <c r="B11" s="33"/>
      <c r="C11" s="85"/>
      <c r="D11" s="86">
        <f>SUM(D5:D10)</f>
        <v>187264.79999999996</v>
      </c>
    </row>
    <row r="12" spans="1:7" ht="15.75" x14ac:dyDescent="0.25">
      <c r="A12" s="157" t="s">
        <v>158</v>
      </c>
      <c r="B12" s="157"/>
      <c r="C12" s="157"/>
      <c r="D12" s="157"/>
      <c r="E12" s="1"/>
    </row>
    <row r="13" spans="1:7" ht="15.75" x14ac:dyDescent="0.25">
      <c r="A13" s="157"/>
      <c r="B13" s="157"/>
      <c r="C13" s="157"/>
      <c r="D13" s="157"/>
      <c r="E13" s="1"/>
    </row>
    <row r="14" spans="1:7" x14ac:dyDescent="0.25">
      <c r="A14" s="157"/>
      <c r="B14" s="157"/>
      <c r="C14" s="157"/>
      <c r="D14" s="157"/>
    </row>
  </sheetData>
  <mergeCells count="1">
    <mergeCell ref="A12:D1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5" sqref="A5:C12"/>
    </sheetView>
  </sheetViews>
  <sheetFormatPr defaultRowHeight="15" x14ac:dyDescent="0.25"/>
  <cols>
    <col min="1" max="1" width="38.5703125" bestFit="1" customWidth="1"/>
    <col min="2" max="2" width="14.42578125" customWidth="1"/>
    <col min="3" max="3" width="18.140625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1" t="s">
        <v>144</v>
      </c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4" t="s">
        <v>1</v>
      </c>
      <c r="B5" s="4" t="s">
        <v>139</v>
      </c>
      <c r="C5" s="4" t="s">
        <v>140</v>
      </c>
      <c r="D5" s="1"/>
      <c r="E5" s="1"/>
      <c r="F5" s="1"/>
      <c r="G5" s="1"/>
    </row>
    <row r="6" spans="1:7" ht="15.75" x14ac:dyDescent="0.25">
      <c r="A6" s="3" t="s">
        <v>141</v>
      </c>
      <c r="B6" s="3">
        <v>450450</v>
      </c>
      <c r="C6" s="3"/>
      <c r="D6" s="1"/>
      <c r="E6" s="1"/>
      <c r="F6" s="1"/>
      <c r="G6" s="1"/>
    </row>
    <row r="7" spans="1:7" ht="15.75" x14ac:dyDescent="0.25">
      <c r="A7" s="3" t="s">
        <v>142</v>
      </c>
      <c r="B7" s="3">
        <v>30000</v>
      </c>
      <c r="C7" s="3"/>
      <c r="D7" s="1"/>
      <c r="E7" s="1"/>
      <c r="F7" s="1"/>
      <c r="G7" s="1"/>
    </row>
    <row r="8" spans="1:7" ht="15.75" x14ac:dyDescent="0.25">
      <c r="A8" s="3" t="s">
        <v>145</v>
      </c>
      <c r="B8" s="3">
        <v>120000</v>
      </c>
      <c r="C8" s="3"/>
      <c r="D8" s="1"/>
      <c r="E8" s="1"/>
      <c r="F8" s="1"/>
      <c r="G8" s="1"/>
    </row>
    <row r="9" spans="1:7" ht="15.75" x14ac:dyDescent="0.25">
      <c r="A9" s="3" t="s">
        <v>143</v>
      </c>
      <c r="B9" s="3">
        <v>118000</v>
      </c>
      <c r="C9" s="3"/>
      <c r="D9" s="1"/>
      <c r="E9" s="1"/>
      <c r="F9" s="1"/>
      <c r="G9" s="1"/>
    </row>
    <row r="10" spans="1:7" ht="15.75" x14ac:dyDescent="0.25">
      <c r="A10" s="3" t="s">
        <v>283</v>
      </c>
      <c r="B10" s="3"/>
      <c r="C10" s="3">
        <f>42000*2</f>
        <v>84000</v>
      </c>
      <c r="D10" s="1"/>
      <c r="E10" s="1"/>
      <c r="F10" s="1"/>
      <c r="G10" s="1"/>
    </row>
    <row r="11" spans="1:7" ht="15.75" x14ac:dyDescent="0.25">
      <c r="A11" s="8" t="s">
        <v>9</v>
      </c>
      <c r="B11" s="8">
        <f>SUM(B6:B10)</f>
        <v>718450</v>
      </c>
      <c r="C11" s="8">
        <f>SUM(C6:C10)</f>
        <v>84000</v>
      </c>
      <c r="D11" s="1"/>
      <c r="E11" s="1"/>
      <c r="F11" s="1"/>
      <c r="G11" s="1"/>
    </row>
    <row r="12" spans="1:7" ht="15.75" x14ac:dyDescent="0.25">
      <c r="A12" s="1" t="s">
        <v>280</v>
      </c>
      <c r="B12" s="1"/>
      <c r="C12" s="1"/>
      <c r="D12" s="1"/>
      <c r="E12" s="1"/>
      <c r="F12" s="1"/>
      <c r="G12" s="1"/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4" sqref="A4:F9"/>
    </sheetView>
  </sheetViews>
  <sheetFormatPr defaultRowHeight="15" x14ac:dyDescent="0.25"/>
  <cols>
    <col min="1" max="1" width="29.140625" bestFit="1" customWidth="1"/>
    <col min="2" max="2" width="11.5703125" customWidth="1"/>
    <col min="3" max="5" width="20.28515625" customWidth="1"/>
    <col min="6" max="6" width="17.5703125" customWidth="1"/>
  </cols>
  <sheetData>
    <row r="2" spans="1:6" ht="15.75" x14ac:dyDescent="0.25">
      <c r="A2" s="11" t="s">
        <v>188</v>
      </c>
    </row>
    <row r="4" spans="1:6" ht="47.25" x14ac:dyDescent="0.25">
      <c r="A4" s="51" t="s">
        <v>100</v>
      </c>
      <c r="B4" s="51" t="s">
        <v>64</v>
      </c>
      <c r="C4" s="51" t="s">
        <v>192</v>
      </c>
      <c r="D4" s="51" t="s">
        <v>198</v>
      </c>
      <c r="E4" s="51" t="s">
        <v>196</v>
      </c>
      <c r="F4" s="51" t="s">
        <v>66</v>
      </c>
    </row>
    <row r="5" spans="1:6" ht="15.6" x14ac:dyDescent="0.3">
      <c r="A5" s="42" t="s">
        <v>189</v>
      </c>
      <c r="B5" s="43">
        <f>'EVOLUÇÃO DO REBANHO'!AT7</f>
        <v>20</v>
      </c>
      <c r="C5" s="82" t="s">
        <v>197</v>
      </c>
      <c r="D5" s="82">
        <f>'EVOLUÇÃO DO REBANHO'!AY7</f>
        <v>950</v>
      </c>
      <c r="E5" s="82">
        <f>D5/((280*0.5)/15)</f>
        <v>101.78571428571428</v>
      </c>
      <c r="F5" s="44">
        <f>'EVOLUÇÃO DO REBANHO'!AU7</f>
        <v>19000</v>
      </c>
    </row>
    <row r="6" spans="1:6" ht="15.6" x14ac:dyDescent="0.3">
      <c r="A6" s="42" t="s">
        <v>190</v>
      </c>
      <c r="B6" s="43">
        <f>'EVOLUÇÃO DO REBANHO'!AT8</f>
        <v>184</v>
      </c>
      <c r="C6" s="82" t="s">
        <v>193</v>
      </c>
      <c r="D6" s="82">
        <f>'EVOLUÇÃO DO REBANHO'!AY8</f>
        <v>1250</v>
      </c>
      <c r="E6" s="82">
        <f>D6/((420*0.49)/15)</f>
        <v>91.10787172011662</v>
      </c>
      <c r="F6" s="44">
        <f>'EVOLUÇÃO DO REBANHO'!AU8</f>
        <v>230000</v>
      </c>
    </row>
    <row r="7" spans="1:6" ht="15.6" x14ac:dyDescent="0.3">
      <c r="A7" s="42" t="s">
        <v>128</v>
      </c>
      <c r="B7" s="43">
        <f>'EVOLUÇÃO DO REBANHO'!AT11</f>
        <v>208</v>
      </c>
      <c r="C7" s="82" t="s">
        <v>194</v>
      </c>
      <c r="D7" s="82">
        <f>'EVOLUÇÃO DO REBANHO'!AY11</f>
        <v>1650</v>
      </c>
      <c r="E7" s="82">
        <f>D7/((480*0.52)/15)</f>
        <v>99.15865384615384</v>
      </c>
      <c r="F7" s="44">
        <f>'EVOLUÇÃO DO REBANHO'!AU11</f>
        <v>343200</v>
      </c>
    </row>
    <row r="8" spans="1:6" ht="15.6" x14ac:dyDescent="0.3">
      <c r="A8" s="42" t="s">
        <v>191</v>
      </c>
      <c r="B8" s="43">
        <f>'EVOLUÇÃO DO REBANHO'!AT12</f>
        <v>3</v>
      </c>
      <c r="C8" s="82" t="s">
        <v>195</v>
      </c>
      <c r="D8" s="82">
        <v>2200</v>
      </c>
      <c r="E8" s="82">
        <f>D8/((750*0.49)/15)</f>
        <v>89.795918367346943</v>
      </c>
      <c r="F8" s="44">
        <f>'EVOLUÇÃO DO REBANHO'!AU12</f>
        <v>6600</v>
      </c>
    </row>
    <row r="9" spans="1:6" ht="15.6" x14ac:dyDescent="0.3">
      <c r="A9" s="55" t="s">
        <v>9</v>
      </c>
      <c r="B9" s="56">
        <f>SUM(B5:B8)</f>
        <v>415</v>
      </c>
      <c r="C9" s="44"/>
      <c r="D9" s="44"/>
      <c r="E9" s="44"/>
      <c r="F9" s="57">
        <f>SUM(F5:F8)</f>
        <v>598800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47.28515625" bestFit="1" customWidth="1"/>
    <col min="2" max="2" width="17.5703125" bestFit="1" customWidth="1"/>
    <col min="3" max="8" width="14.28515625" bestFit="1" customWidth="1"/>
    <col min="9" max="11" width="15.28515625" bestFit="1" customWidth="1"/>
    <col min="12" max="12" width="17.5703125" bestFit="1" customWidth="1"/>
  </cols>
  <sheetData>
    <row r="1" spans="1:12" ht="15.75" x14ac:dyDescent="0.25">
      <c r="A1" s="111" t="s">
        <v>238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24" t="s">
        <v>239</v>
      </c>
      <c r="B2" s="124" t="s">
        <v>240</v>
      </c>
      <c r="C2" s="124" t="s">
        <v>173</v>
      </c>
      <c r="D2" s="124" t="s">
        <v>230</v>
      </c>
      <c r="E2" s="124" t="s">
        <v>174</v>
      </c>
      <c r="F2" s="124" t="s">
        <v>231</v>
      </c>
      <c r="G2" s="124" t="s">
        <v>232</v>
      </c>
      <c r="H2" s="124" t="s">
        <v>233</v>
      </c>
      <c r="I2" s="124" t="s">
        <v>234</v>
      </c>
      <c r="J2" s="124" t="s">
        <v>235</v>
      </c>
      <c r="K2" s="124" t="s">
        <v>236</v>
      </c>
      <c r="L2" s="124" t="s">
        <v>237</v>
      </c>
    </row>
    <row r="3" spans="1:12" ht="15.75" x14ac:dyDescent="0.25">
      <c r="A3" s="127" t="s">
        <v>241</v>
      </c>
      <c r="B3" s="128"/>
      <c r="C3" s="128">
        <f>SUM(C4:C12)</f>
        <v>459250</v>
      </c>
      <c r="D3" s="128">
        <f t="shared" ref="D3:K3" si="0">SUM(D4:D12)</f>
        <v>538800</v>
      </c>
      <c r="E3" s="128">
        <f t="shared" si="0"/>
        <v>538150</v>
      </c>
      <c r="F3" s="128">
        <f t="shared" si="0"/>
        <v>494400</v>
      </c>
      <c r="G3" s="128">
        <f t="shared" si="0"/>
        <v>583800</v>
      </c>
      <c r="H3" s="128">
        <f t="shared" si="0"/>
        <v>598800</v>
      </c>
      <c r="I3" s="128">
        <f t="shared" si="0"/>
        <v>598800</v>
      </c>
      <c r="J3" s="128">
        <f t="shared" si="0"/>
        <v>598800</v>
      </c>
      <c r="K3" s="128">
        <f t="shared" si="0"/>
        <v>598800</v>
      </c>
      <c r="L3" s="128">
        <f>SUM(L4:L12)</f>
        <v>21722517.277601335</v>
      </c>
    </row>
    <row r="4" spans="1:12" ht="15.6" x14ac:dyDescent="0.3">
      <c r="A4" s="1" t="s">
        <v>189</v>
      </c>
      <c r="B4" s="112"/>
      <c r="C4" s="112">
        <f>'EVOLUÇÃO DO REBANHO'!G7</f>
        <v>0</v>
      </c>
      <c r="D4" s="112">
        <f>'EVOLUÇÃO DO REBANHO'!O7</f>
        <v>19000</v>
      </c>
      <c r="E4" s="112">
        <f>'EVOLUÇÃO DO REBANHO'!W7</f>
        <v>19000</v>
      </c>
      <c r="F4" s="112">
        <f>'EVOLUÇÃO DO REBANHO'!AE7</f>
        <v>19000</v>
      </c>
      <c r="G4" s="112">
        <f>'EVOLUÇÃO DO REBANHO'!AM7</f>
        <v>19000</v>
      </c>
      <c r="H4" s="112">
        <f>'EVOLUÇÃO DO REBANHO'!AU7</f>
        <v>19000</v>
      </c>
      <c r="I4" s="112">
        <f>'EVOLUÇÃO DO REBANHO'!BC7</f>
        <v>19000</v>
      </c>
      <c r="J4" s="112">
        <f>'EVOLUÇÃO DO REBANHO'!BK7</f>
        <v>19000</v>
      </c>
      <c r="K4" s="112">
        <f>'EVOLUÇÃO DO REBANHO'!BS7</f>
        <v>19000</v>
      </c>
      <c r="L4" s="112">
        <f>'EVOLUÇÃO DO REBANHO'!CA7</f>
        <v>19000</v>
      </c>
    </row>
    <row r="5" spans="1:12" ht="15.6" x14ac:dyDescent="0.3">
      <c r="A5" s="1" t="s">
        <v>190</v>
      </c>
      <c r="B5" s="112"/>
      <c r="C5" s="112">
        <f>'EVOLUÇÃO DO REBANHO'!G8</f>
        <v>123750</v>
      </c>
      <c r="D5" s="112">
        <f>'EVOLUÇÃO DO REBANHO'!O8</f>
        <v>128750</v>
      </c>
      <c r="E5" s="112">
        <f>'EVOLUÇÃO DO REBANHO'!W8</f>
        <v>228750</v>
      </c>
      <c r="F5" s="112">
        <f>'EVOLUÇÃO DO REBANHO'!AE8</f>
        <v>185000</v>
      </c>
      <c r="G5" s="112">
        <f>'EVOLUÇÃO DO REBANHO'!AM8</f>
        <v>185000</v>
      </c>
      <c r="H5" s="112">
        <f>'EVOLUÇÃO DO REBANHO'!AU8</f>
        <v>230000</v>
      </c>
      <c r="I5" s="112">
        <f>'EVOLUÇÃO DO REBANHO'!BC8</f>
        <v>230000</v>
      </c>
      <c r="J5" s="112">
        <f>'EVOLUÇÃO DO REBANHO'!BK8</f>
        <v>230000</v>
      </c>
      <c r="K5" s="112">
        <f>'EVOLUÇÃO DO REBANHO'!BS8</f>
        <v>230000</v>
      </c>
      <c r="L5" s="112">
        <f>'EVOLUÇÃO DO REBANHO'!CA8</f>
        <v>230000</v>
      </c>
    </row>
    <row r="6" spans="1:12" ht="15.6" x14ac:dyDescent="0.3">
      <c r="A6" s="1" t="s">
        <v>128</v>
      </c>
      <c r="B6" s="112"/>
      <c r="C6" s="112">
        <f>'EVOLUÇÃO DO REBANHO'!G11</f>
        <v>326700</v>
      </c>
      <c r="D6" s="112">
        <f>'EVOLUÇÃO DO REBANHO'!O11</f>
        <v>384450</v>
      </c>
      <c r="E6" s="112">
        <f>'EVOLUÇÃO DO REBANHO'!W11</f>
        <v>283800</v>
      </c>
      <c r="F6" s="112">
        <f>'EVOLUÇÃO DO REBANHO'!AE11</f>
        <v>283800</v>
      </c>
      <c r="G6" s="112">
        <f>'EVOLUÇÃO DO REBANHO'!AM11</f>
        <v>343200</v>
      </c>
      <c r="H6" s="112">
        <f>'EVOLUÇÃO DO REBANHO'!AU11</f>
        <v>343200</v>
      </c>
      <c r="I6" s="112">
        <f>'EVOLUÇÃO DO REBANHO'!BC11</f>
        <v>343200</v>
      </c>
      <c r="J6" s="112">
        <f>'EVOLUÇÃO DO REBANHO'!BK11</f>
        <v>343200</v>
      </c>
      <c r="K6" s="112">
        <f>'EVOLUÇÃO DO REBANHO'!BS11</f>
        <v>343200</v>
      </c>
      <c r="L6" s="112">
        <f>'EVOLUÇÃO DO REBANHO'!CA11</f>
        <v>343200</v>
      </c>
    </row>
    <row r="7" spans="1:12" ht="15.6" x14ac:dyDescent="0.3">
      <c r="A7" s="1" t="s">
        <v>191</v>
      </c>
      <c r="B7" s="112"/>
      <c r="C7" s="112">
        <f>'EVOLUÇÃO DO REBANHO'!G12</f>
        <v>8800</v>
      </c>
      <c r="D7" s="112">
        <f>'EVOLUÇÃO DO REBANHO'!O12</f>
        <v>6600</v>
      </c>
      <c r="E7" s="112">
        <f>'EVOLUÇÃO DO REBANHO'!W12</f>
        <v>6600</v>
      </c>
      <c r="F7" s="112">
        <f>'EVOLUÇÃO DO REBANHO'!AE12</f>
        <v>6600</v>
      </c>
      <c r="G7" s="112">
        <f>'EVOLUÇÃO DO REBANHO'!AM12</f>
        <v>6600</v>
      </c>
      <c r="H7" s="112">
        <f>'EVOLUÇÃO DO REBANHO'!AU12</f>
        <v>6600</v>
      </c>
      <c r="I7" s="112">
        <f>'EVOLUÇÃO DO REBANHO'!BC12</f>
        <v>6600</v>
      </c>
      <c r="J7" s="112">
        <f>'EVOLUÇÃO DO REBANHO'!BK12</f>
        <v>6600</v>
      </c>
      <c r="K7" s="112">
        <f>'EVOLUÇÃO DO REBANHO'!BS12</f>
        <v>6600</v>
      </c>
      <c r="L7" s="112">
        <f>'EVOLUÇÃO DO REBANHO'!CA12</f>
        <v>6600</v>
      </c>
    </row>
    <row r="8" spans="1:12" ht="15.6" x14ac:dyDescent="0.3">
      <c r="A8" s="1" t="s">
        <v>263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>
        <f>'CAPITAL NATURAL'!F11</f>
        <v>18289792.277601335</v>
      </c>
    </row>
    <row r="9" spans="1:12" ht="15.6" x14ac:dyDescent="0.3">
      <c r="A9" s="1" t="s">
        <v>271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>
        <f>'CAPITAL FÍSICO'!F10</f>
        <v>248075</v>
      </c>
    </row>
    <row r="10" spans="1:12" ht="15.75" x14ac:dyDescent="0.25">
      <c r="A10" s="1" t="s">
        <v>264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>
        <f>'CAPITAL FÍSICO'!F27</f>
        <v>774000</v>
      </c>
    </row>
    <row r="11" spans="1:12" ht="15.75" x14ac:dyDescent="0.25">
      <c r="A11" s="1" t="s">
        <v>265</v>
      </c>
      <c r="B11" s="112"/>
      <c r="C11" s="112"/>
      <c r="D11" s="112"/>
      <c r="E11" s="112"/>
      <c r="F11" s="112"/>
      <c r="G11" s="112">
        <f>'CAPITAL FÍSICO'!F34</f>
        <v>30000</v>
      </c>
      <c r="H11" s="112"/>
      <c r="I11" s="112"/>
      <c r="J11" s="112"/>
      <c r="K11" s="112"/>
      <c r="L11" s="112">
        <f>'CAPITAL FÍSICO'!F42</f>
        <v>69800</v>
      </c>
    </row>
    <row r="12" spans="1:12" ht="15.6" x14ac:dyDescent="0.3">
      <c r="A12" s="1" t="s">
        <v>266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>
        <f>'EVOLUÇÃO DO REBANHO'!D55</f>
        <v>1742050</v>
      </c>
    </row>
    <row r="13" spans="1:12" ht="15.75" x14ac:dyDescent="0.25">
      <c r="A13" s="129" t="s">
        <v>242</v>
      </c>
      <c r="B13" s="130">
        <f>B14+B20</f>
        <v>19717700</v>
      </c>
      <c r="C13" s="130">
        <f t="shared" ref="C13:L13" si="1">C14+C20</f>
        <v>432064.35558200331</v>
      </c>
      <c r="D13" s="130">
        <f t="shared" si="1"/>
        <v>377793.44592180499</v>
      </c>
      <c r="E13" s="130">
        <f t="shared" si="1"/>
        <v>386163.97465665027</v>
      </c>
      <c r="F13" s="130">
        <f t="shared" si="1"/>
        <v>394617.97033492813</v>
      </c>
      <c r="G13" s="130">
        <f t="shared" si="1"/>
        <v>465659.79999999993</v>
      </c>
      <c r="H13" s="130">
        <f t="shared" si="1"/>
        <v>395659.79999999993</v>
      </c>
      <c r="I13" s="130">
        <f t="shared" si="1"/>
        <v>395659.79999999993</v>
      </c>
      <c r="J13" s="130">
        <f t="shared" si="1"/>
        <v>395659.79999999993</v>
      </c>
      <c r="K13" s="130">
        <f t="shared" si="1"/>
        <v>395659.79999999993</v>
      </c>
      <c r="L13" s="130">
        <f t="shared" si="1"/>
        <v>395659.79999999993</v>
      </c>
    </row>
    <row r="14" spans="1:12" ht="15.6" x14ac:dyDescent="0.3">
      <c r="A14" s="125" t="s">
        <v>243</v>
      </c>
      <c r="B14" s="126">
        <f>SUM(B15:B19)</f>
        <v>19717700</v>
      </c>
      <c r="C14" s="126">
        <f t="shared" ref="C14:L14" si="2">SUM(C15:C19)</f>
        <v>0</v>
      </c>
      <c r="D14" s="126">
        <f t="shared" si="2"/>
        <v>0</v>
      </c>
      <c r="E14" s="126">
        <f t="shared" si="2"/>
        <v>0</v>
      </c>
      <c r="F14" s="126">
        <f t="shared" si="2"/>
        <v>0</v>
      </c>
      <c r="G14" s="126">
        <f t="shared" si="2"/>
        <v>70000</v>
      </c>
      <c r="H14" s="126">
        <f t="shared" si="2"/>
        <v>0</v>
      </c>
      <c r="I14" s="126">
        <f t="shared" si="2"/>
        <v>0</v>
      </c>
      <c r="J14" s="126">
        <f t="shared" si="2"/>
        <v>0</v>
      </c>
      <c r="K14" s="126">
        <f t="shared" si="2"/>
        <v>0</v>
      </c>
      <c r="L14" s="126">
        <f t="shared" si="2"/>
        <v>0</v>
      </c>
    </row>
    <row r="15" spans="1:12" ht="15.6" x14ac:dyDescent="0.3">
      <c r="A15" s="1" t="s">
        <v>259</v>
      </c>
      <c r="B15" s="112">
        <f>'CAPITAL NATURAL'!D11</f>
        <v>15004000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2" ht="15.6" x14ac:dyDescent="0.3">
      <c r="A16" s="1" t="s">
        <v>270</v>
      </c>
      <c r="B16" s="112">
        <f>'CAPITAL FÍSICO'!D10</f>
        <v>1665100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12" ht="15.75" x14ac:dyDescent="0.25">
      <c r="A17" s="1" t="s">
        <v>260</v>
      </c>
      <c r="B17" s="112">
        <f>'CAPITAL FÍSICO'!D27</f>
        <v>1190000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2" ht="15.75" x14ac:dyDescent="0.25">
      <c r="A18" s="1" t="s">
        <v>261</v>
      </c>
      <c r="B18" s="112">
        <f>'CAPITAL FÍSICO'!D42</f>
        <v>273000</v>
      </c>
      <c r="C18" s="112"/>
      <c r="D18" s="112"/>
      <c r="E18" s="112"/>
      <c r="F18" s="112"/>
      <c r="G18" s="112">
        <f>'CAPITAL FÍSICO'!D34</f>
        <v>70000</v>
      </c>
      <c r="H18" s="112"/>
      <c r="I18" s="112"/>
      <c r="J18" s="112"/>
      <c r="K18" s="112"/>
      <c r="L18" s="112"/>
    </row>
    <row r="19" spans="1:12" ht="15.6" x14ac:dyDescent="0.3">
      <c r="A19" s="1" t="s">
        <v>262</v>
      </c>
      <c r="B19" s="112">
        <f>'CAPITAL FÍSICO'!D57+'CAPITAL FÍSICO'!D64</f>
        <v>1585600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1:12" ht="15.6" x14ac:dyDescent="0.3">
      <c r="A20" s="125" t="s">
        <v>267</v>
      </c>
      <c r="B20" s="126"/>
      <c r="C20" s="126">
        <f t="shared" ref="C20:L20" si="3">SUM(C21:C33)</f>
        <v>432064.35558200331</v>
      </c>
      <c r="D20" s="126">
        <f t="shared" si="3"/>
        <v>377793.44592180499</v>
      </c>
      <c r="E20" s="126">
        <f t="shared" si="3"/>
        <v>386163.97465665027</v>
      </c>
      <c r="F20" s="126">
        <f t="shared" si="3"/>
        <v>394617.97033492813</v>
      </c>
      <c r="G20" s="126">
        <f t="shared" si="3"/>
        <v>395659.79999999993</v>
      </c>
      <c r="H20" s="126">
        <f t="shared" si="3"/>
        <v>395659.79999999993</v>
      </c>
      <c r="I20" s="126">
        <f t="shared" si="3"/>
        <v>395659.79999999993</v>
      </c>
      <c r="J20" s="126">
        <f t="shared" si="3"/>
        <v>395659.79999999993</v>
      </c>
      <c r="K20" s="126">
        <f t="shared" si="3"/>
        <v>395659.79999999993</v>
      </c>
      <c r="L20" s="126">
        <f t="shared" si="3"/>
        <v>395659.79999999993</v>
      </c>
    </row>
    <row r="21" spans="1:12" ht="15.6" x14ac:dyDescent="0.3">
      <c r="A21" s="1" t="s">
        <v>244</v>
      </c>
      <c r="B21" s="112"/>
      <c r="C21" s="112">
        <f>'CAPITAL HUMANO'!D5</f>
        <v>111600</v>
      </c>
      <c r="D21" s="112">
        <f>C21</f>
        <v>111600</v>
      </c>
      <c r="E21" s="112">
        <f t="shared" ref="E21:L21" si="4">D21</f>
        <v>111600</v>
      </c>
      <c r="F21" s="112">
        <f t="shared" si="4"/>
        <v>111600</v>
      </c>
      <c r="G21" s="112">
        <f t="shared" si="4"/>
        <v>111600</v>
      </c>
      <c r="H21" s="112">
        <f t="shared" si="4"/>
        <v>111600</v>
      </c>
      <c r="I21" s="112">
        <f t="shared" si="4"/>
        <v>111600</v>
      </c>
      <c r="J21" s="112">
        <f t="shared" si="4"/>
        <v>111600</v>
      </c>
      <c r="K21" s="112">
        <f t="shared" si="4"/>
        <v>111600</v>
      </c>
      <c r="L21" s="112">
        <f t="shared" si="4"/>
        <v>111600</v>
      </c>
    </row>
    <row r="22" spans="1:12" ht="15.6" x14ac:dyDescent="0.3">
      <c r="A22" s="1" t="s">
        <v>245</v>
      </c>
      <c r="B22" s="112"/>
      <c r="C22" s="112">
        <f>'CAPITAL HUMANO'!D11-'CAPITAL HUMANO'!D5</f>
        <v>75664.799999999959</v>
      </c>
      <c r="D22" s="112">
        <f>C22</f>
        <v>75664.799999999959</v>
      </c>
      <c r="E22" s="112">
        <f t="shared" ref="E22:L22" si="5">D22</f>
        <v>75664.799999999959</v>
      </c>
      <c r="F22" s="112">
        <f t="shared" si="5"/>
        <v>75664.799999999959</v>
      </c>
      <c r="G22" s="112">
        <f t="shared" si="5"/>
        <v>75664.799999999959</v>
      </c>
      <c r="H22" s="112">
        <f t="shared" si="5"/>
        <v>75664.799999999959</v>
      </c>
      <c r="I22" s="112">
        <f t="shared" si="5"/>
        <v>75664.799999999959</v>
      </c>
      <c r="J22" s="112">
        <f t="shared" si="5"/>
        <v>75664.799999999959</v>
      </c>
      <c r="K22" s="112">
        <f t="shared" si="5"/>
        <v>75664.799999999959</v>
      </c>
      <c r="L22" s="112">
        <f t="shared" si="5"/>
        <v>75664.799999999959</v>
      </c>
    </row>
    <row r="23" spans="1:12" ht="15.75" x14ac:dyDescent="0.25">
      <c r="A23" s="1" t="s">
        <v>269</v>
      </c>
      <c r="B23" s="112"/>
      <c r="C23" s="112">
        <v>32114</v>
      </c>
      <c r="D23" s="112">
        <v>32114</v>
      </c>
      <c r="E23" s="112">
        <v>32114</v>
      </c>
      <c r="F23" s="112">
        <v>32114</v>
      </c>
      <c r="G23" s="112">
        <v>32114</v>
      </c>
      <c r="H23" s="112">
        <v>32114</v>
      </c>
      <c r="I23" s="112">
        <v>32114</v>
      </c>
      <c r="J23" s="112">
        <v>32114</v>
      </c>
      <c r="K23" s="112">
        <v>32114</v>
      </c>
      <c r="L23" s="112">
        <v>32114</v>
      </c>
    </row>
    <row r="24" spans="1:12" ht="15.75" x14ac:dyDescent="0.25">
      <c r="A24" s="1" t="s">
        <v>272</v>
      </c>
      <c r="B24" s="112"/>
      <c r="C24" s="112">
        <f>'CAPITAL FÍSICO'!D27*2%</f>
        <v>23800</v>
      </c>
      <c r="D24" s="112">
        <f>C24</f>
        <v>23800</v>
      </c>
      <c r="E24" s="112">
        <f t="shared" ref="E24:L25" si="6">D24</f>
        <v>23800</v>
      </c>
      <c r="F24" s="112">
        <f t="shared" si="6"/>
        <v>23800</v>
      </c>
      <c r="G24" s="112">
        <f t="shared" si="6"/>
        <v>23800</v>
      </c>
      <c r="H24" s="112">
        <f t="shared" si="6"/>
        <v>23800</v>
      </c>
      <c r="I24" s="112">
        <f t="shared" si="6"/>
        <v>23800</v>
      </c>
      <c r="J24" s="112">
        <f t="shared" si="6"/>
        <v>23800</v>
      </c>
      <c r="K24" s="112">
        <f t="shared" si="6"/>
        <v>23800</v>
      </c>
      <c r="L24" s="112">
        <f t="shared" si="6"/>
        <v>23800</v>
      </c>
    </row>
    <row r="25" spans="1:12" ht="15.75" x14ac:dyDescent="0.25">
      <c r="A25" s="1" t="s">
        <v>268</v>
      </c>
      <c r="B25" s="112"/>
      <c r="C25" s="112">
        <f>'CAPITAL FÍSICO'!D42*5%</f>
        <v>13650</v>
      </c>
      <c r="D25" s="112">
        <f>C25</f>
        <v>13650</v>
      </c>
      <c r="E25" s="112">
        <f t="shared" si="6"/>
        <v>13650</v>
      </c>
      <c r="F25" s="112">
        <f t="shared" si="6"/>
        <v>13650</v>
      </c>
      <c r="G25" s="112">
        <f t="shared" si="6"/>
        <v>13650</v>
      </c>
      <c r="H25" s="112">
        <f t="shared" si="6"/>
        <v>13650</v>
      </c>
      <c r="I25" s="112">
        <f t="shared" si="6"/>
        <v>13650</v>
      </c>
      <c r="J25" s="112">
        <f t="shared" si="6"/>
        <v>13650</v>
      </c>
      <c r="K25" s="112">
        <f t="shared" si="6"/>
        <v>13650</v>
      </c>
      <c r="L25" s="112">
        <f t="shared" si="6"/>
        <v>13650</v>
      </c>
    </row>
    <row r="26" spans="1:12" ht="15.75" x14ac:dyDescent="0.25">
      <c r="A26" s="1" t="s">
        <v>273</v>
      </c>
      <c r="B26" s="112"/>
      <c r="C26" s="112">
        <v>19994</v>
      </c>
      <c r="D26" s="112">
        <v>19994</v>
      </c>
      <c r="E26" s="112">
        <v>19994</v>
      </c>
      <c r="F26" s="112">
        <v>19994</v>
      </c>
      <c r="G26" s="112">
        <v>19994</v>
      </c>
      <c r="H26" s="112">
        <v>19994</v>
      </c>
      <c r="I26" s="112">
        <v>19994</v>
      </c>
      <c r="J26" s="112">
        <v>19994</v>
      </c>
      <c r="K26" s="112">
        <v>19994</v>
      </c>
      <c r="L26" s="112">
        <v>19994</v>
      </c>
    </row>
    <row r="27" spans="1:12" ht="15.75" x14ac:dyDescent="0.25">
      <c r="A27" s="1" t="s">
        <v>274</v>
      </c>
      <c r="B27" s="112"/>
      <c r="C27" s="112">
        <v>9572</v>
      </c>
      <c r="D27" s="112">
        <v>9572</v>
      </c>
      <c r="E27" s="112">
        <v>9572</v>
      </c>
      <c r="F27" s="112">
        <v>9572</v>
      </c>
      <c r="G27" s="112">
        <v>9572</v>
      </c>
      <c r="H27" s="112">
        <v>9572</v>
      </c>
      <c r="I27" s="112">
        <v>9572</v>
      </c>
      <c r="J27" s="112">
        <v>9572</v>
      </c>
      <c r="K27" s="112">
        <v>9572</v>
      </c>
      <c r="L27" s="112">
        <v>9572</v>
      </c>
    </row>
    <row r="28" spans="1:12" ht="15.6" x14ac:dyDescent="0.3">
      <c r="A28" s="1" t="s">
        <v>246</v>
      </c>
      <c r="B28" s="112"/>
      <c r="C28" s="112">
        <v>3384</v>
      </c>
      <c r="D28" s="112">
        <v>3384</v>
      </c>
      <c r="E28" s="112">
        <v>3384</v>
      </c>
      <c r="F28" s="112">
        <v>3384</v>
      </c>
      <c r="G28" s="112">
        <v>3384</v>
      </c>
      <c r="H28" s="112">
        <v>3384</v>
      </c>
      <c r="I28" s="112">
        <v>3384</v>
      </c>
      <c r="J28" s="112">
        <v>3384</v>
      </c>
      <c r="K28" s="112">
        <v>3384</v>
      </c>
      <c r="L28" s="112">
        <v>3384</v>
      </c>
    </row>
    <row r="29" spans="1:12" ht="15.75" x14ac:dyDescent="0.25">
      <c r="A29" s="1" t="s">
        <v>275</v>
      </c>
      <c r="B29" s="112"/>
      <c r="C29" s="112">
        <f t="shared" ref="C29:F29" si="7">D29*(C$61/$H$61)</f>
        <v>1439.2730234656881</v>
      </c>
      <c r="D29" s="112">
        <f t="shared" si="7"/>
        <v>1592.4195971642605</v>
      </c>
      <c r="E29" s="112">
        <f t="shared" si="7"/>
        <v>1711.1346828140381</v>
      </c>
      <c r="F29" s="112">
        <f t="shared" si="7"/>
        <v>1804.3751196172248</v>
      </c>
      <c r="G29" s="112">
        <f>H29*(G$61/$H$61)</f>
        <v>1836</v>
      </c>
      <c r="H29" s="112">
        <v>1836</v>
      </c>
      <c r="I29" s="112">
        <f>H29*(I$61/$H$61)</f>
        <v>1836</v>
      </c>
      <c r="J29" s="112">
        <f t="shared" ref="J29:L29" si="8">I29*(J$61/$H$61)</f>
        <v>1836</v>
      </c>
      <c r="K29" s="112">
        <f t="shared" si="8"/>
        <v>1836</v>
      </c>
      <c r="L29" s="112">
        <f t="shared" si="8"/>
        <v>1836</v>
      </c>
    </row>
    <row r="30" spans="1:12" ht="15.75" x14ac:dyDescent="0.25">
      <c r="A30" s="1" t="s">
        <v>276</v>
      </c>
      <c r="B30" s="112"/>
      <c r="C30" s="112">
        <f t="shared" ref="C30:G30" si="9">D30*(C$61/$H$61)</f>
        <v>5005.3149536102492</v>
      </c>
      <c r="D30" s="112">
        <f t="shared" si="9"/>
        <v>5537.908021728651</v>
      </c>
      <c r="E30" s="112">
        <f t="shared" si="9"/>
        <v>5950.7597765618921</v>
      </c>
      <c r="F30" s="112">
        <f t="shared" si="9"/>
        <v>6275.0191387559807</v>
      </c>
      <c r="G30" s="112">
        <f t="shared" si="9"/>
        <v>6385</v>
      </c>
      <c r="H30" s="112">
        <v>6385</v>
      </c>
      <c r="I30" s="112">
        <f t="shared" ref="I30:L30" si="10">H30*(I$61/$H$61)</f>
        <v>6385</v>
      </c>
      <c r="J30" s="112">
        <f t="shared" si="10"/>
        <v>6385</v>
      </c>
      <c r="K30" s="112">
        <f t="shared" si="10"/>
        <v>6385</v>
      </c>
      <c r="L30" s="112">
        <f t="shared" si="10"/>
        <v>6385</v>
      </c>
    </row>
    <row r="31" spans="1:12" ht="15.75" x14ac:dyDescent="0.25">
      <c r="A31" s="1" t="s">
        <v>277</v>
      </c>
      <c r="B31" s="112"/>
      <c r="C31" s="112">
        <f t="shared" ref="C31:G31" si="11">D31*(C$61/$H$61)</f>
        <v>40969.894349339462</v>
      </c>
      <c r="D31" s="112">
        <f t="shared" si="11"/>
        <v>45329.316670259119</v>
      </c>
      <c r="E31" s="112">
        <f t="shared" si="11"/>
        <v>48708.62305441725</v>
      </c>
      <c r="F31" s="112">
        <f t="shared" si="11"/>
        <v>51362.776076555019</v>
      </c>
      <c r="G31" s="112">
        <f t="shared" si="11"/>
        <v>52263</v>
      </c>
      <c r="H31" s="112">
        <v>52263</v>
      </c>
      <c r="I31" s="112">
        <f>H31*(I$61/$H$61)</f>
        <v>52263</v>
      </c>
      <c r="J31" s="112">
        <f>I31*(J$61/$H$61)</f>
        <v>52263</v>
      </c>
      <c r="K31" s="112">
        <f>J31*(K$61/$H$61)</f>
        <v>52263</v>
      </c>
      <c r="L31" s="112">
        <f>K31*(L$61/$H$61)</f>
        <v>52263</v>
      </c>
    </row>
    <row r="32" spans="1:12" ht="15.75" x14ac:dyDescent="0.25">
      <c r="A32" s="1" t="s">
        <v>247</v>
      </c>
      <c r="B32" s="112"/>
      <c r="C32" s="112">
        <f t="shared" ref="C32:F32" si="12">D32*(C$59/$H$59)</f>
        <v>24121.073255587951</v>
      </c>
      <c r="D32" s="112">
        <f t="shared" si="12"/>
        <v>21555.001632653064</v>
      </c>
      <c r="E32" s="112">
        <f t="shared" si="12"/>
        <v>26014.657142857144</v>
      </c>
      <c r="F32" s="112">
        <f t="shared" si="12"/>
        <v>31397</v>
      </c>
      <c r="G32" s="112">
        <f>H32*(G$59/$H$59)</f>
        <v>31397</v>
      </c>
      <c r="H32" s="112">
        <v>31397</v>
      </c>
      <c r="I32" s="112">
        <f>H32*(I$59/$H$59)</f>
        <v>31397</v>
      </c>
      <c r="J32" s="112">
        <f t="shared" ref="J32:L32" si="13">I32*(J$59/$H$59)</f>
        <v>31397</v>
      </c>
      <c r="K32" s="112">
        <f t="shared" si="13"/>
        <v>31397</v>
      </c>
      <c r="L32" s="112">
        <f t="shared" si="13"/>
        <v>31397</v>
      </c>
    </row>
    <row r="33" spans="1:12" ht="15.75" x14ac:dyDescent="0.25">
      <c r="A33" s="1" t="s">
        <v>254</v>
      </c>
      <c r="B33" s="112"/>
      <c r="C33" s="112">
        <f>'EVOLUÇÃO DO REBANHO'!I13+'CAPITAL FÍSICO'!$C$63</f>
        <v>70750</v>
      </c>
      <c r="D33" s="112">
        <f>'EVOLUÇÃO DO REBANHO'!Q13+'CAPITAL FÍSICO'!$C$63</f>
        <v>14000</v>
      </c>
      <c r="E33" s="112">
        <f>'EVOLUÇÃO DO REBANHO'!Y13+'CAPITAL FÍSICO'!$C$63</f>
        <v>14000</v>
      </c>
      <c r="F33" s="112">
        <f>'EVOLUÇÃO DO REBANHO'!AG13+'CAPITAL FÍSICO'!$C$63</f>
        <v>14000</v>
      </c>
      <c r="G33" s="112">
        <f>'EVOLUÇÃO DO REBANHO'!AO13+'CAPITAL FÍSICO'!$C$63</f>
        <v>14000</v>
      </c>
      <c r="H33" s="112">
        <f>'EVOLUÇÃO DO REBANHO'!AW13+'CAPITAL FÍSICO'!$C$63</f>
        <v>14000</v>
      </c>
      <c r="I33" s="112">
        <f>'EVOLUÇÃO DO REBANHO'!BE13+'CAPITAL FÍSICO'!$C$63</f>
        <v>14000</v>
      </c>
      <c r="J33" s="112">
        <f>'EVOLUÇÃO DO REBANHO'!BM13+'CAPITAL FÍSICO'!$C$63</f>
        <v>14000</v>
      </c>
      <c r="K33" s="112">
        <f>'EVOLUÇÃO DO REBANHO'!BU13+'CAPITAL FÍSICO'!$C$63</f>
        <v>14000</v>
      </c>
      <c r="L33" s="112">
        <f>'EVOLUÇÃO DO REBANHO'!CC13+'CAPITAL FÍSICO'!$C$63</f>
        <v>14000</v>
      </c>
    </row>
    <row r="34" spans="1:12" ht="15.75" x14ac:dyDescent="0.25">
      <c r="A34" s="131" t="s">
        <v>282</v>
      </c>
      <c r="B34" s="132">
        <f t="shared" ref="B34:L34" si="14">B3-B13</f>
        <v>-19717700</v>
      </c>
      <c r="C34" s="132">
        <f t="shared" si="14"/>
        <v>27185.644417996693</v>
      </c>
      <c r="D34" s="132">
        <f t="shared" si="14"/>
        <v>161006.55407819501</v>
      </c>
      <c r="E34" s="132">
        <f t="shared" si="14"/>
        <v>151986.02534334973</v>
      </c>
      <c r="F34" s="132">
        <f t="shared" si="14"/>
        <v>99782.029665071866</v>
      </c>
      <c r="G34" s="132">
        <f t="shared" si="14"/>
        <v>118140.20000000007</v>
      </c>
      <c r="H34" s="132">
        <f t="shared" si="14"/>
        <v>203140.20000000007</v>
      </c>
      <c r="I34" s="132">
        <f t="shared" si="14"/>
        <v>203140.20000000007</v>
      </c>
      <c r="J34" s="132">
        <f t="shared" si="14"/>
        <v>203140.20000000007</v>
      </c>
      <c r="K34" s="132">
        <f t="shared" si="14"/>
        <v>203140.20000000007</v>
      </c>
      <c r="L34" s="132">
        <f t="shared" si="14"/>
        <v>21326857.477601334</v>
      </c>
    </row>
    <row r="35" spans="1:12" ht="15.75" x14ac:dyDescent="0.25">
      <c r="A35" s="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1:12" ht="15.75" x14ac:dyDescent="0.25">
      <c r="A36" s="111" t="s">
        <v>279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12" ht="15.75" x14ac:dyDescent="0.25">
      <c r="A37" s="1" t="s">
        <v>248</v>
      </c>
      <c r="B37" s="113">
        <f>NPV(0.03,C34:L34)+B34</f>
        <v>-2689355.529920835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12" ht="15.75" x14ac:dyDescent="0.25">
      <c r="A38" s="1" t="s">
        <v>249</v>
      </c>
      <c r="B38" s="114">
        <f>IRR(B34:L34)</f>
        <v>1.4564271929315531E-2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2" ht="15.75" x14ac:dyDescent="0.25">
      <c r="A39" s="1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ht="15.75" x14ac:dyDescent="0.25">
      <c r="A40" s="111" t="s">
        <v>250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ht="15.75" x14ac:dyDescent="0.25">
      <c r="A41" s="131" t="str">
        <f>A34:L34</f>
        <v>RECEITA LIQUIDA ANUAL</v>
      </c>
      <c r="B41" s="133">
        <f>B34</f>
        <v>-19717700</v>
      </c>
      <c r="C41" s="133">
        <f>C34</f>
        <v>27185.644417996693</v>
      </c>
      <c r="D41" s="133">
        <f t="shared" ref="D41:L41" si="15">D34</f>
        <v>161006.55407819501</v>
      </c>
      <c r="E41" s="133">
        <f t="shared" si="15"/>
        <v>151986.02534334973</v>
      </c>
      <c r="F41" s="133">
        <f t="shared" si="15"/>
        <v>99782.029665071866</v>
      </c>
      <c r="G41" s="133">
        <f t="shared" si="15"/>
        <v>118140.20000000007</v>
      </c>
      <c r="H41" s="133">
        <f t="shared" si="15"/>
        <v>203140.20000000007</v>
      </c>
      <c r="I41" s="133">
        <f t="shared" si="15"/>
        <v>203140.20000000007</v>
      </c>
      <c r="J41" s="133">
        <f t="shared" si="15"/>
        <v>203140.20000000007</v>
      </c>
      <c r="K41" s="133">
        <f t="shared" si="15"/>
        <v>203140.20000000007</v>
      </c>
      <c r="L41" s="133">
        <f t="shared" si="15"/>
        <v>21326857.477601334</v>
      </c>
    </row>
    <row r="42" spans="1:12" ht="15.75" x14ac:dyDescent="0.25">
      <c r="A42" s="1" t="s">
        <v>251</v>
      </c>
      <c r="B42" s="113">
        <f>-B41</f>
        <v>19717700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>
        <f>-SUM(L8:L12)</f>
        <v>-21123717.277601335</v>
      </c>
    </row>
    <row r="43" spans="1:12" ht="15.75" x14ac:dyDescent="0.25">
      <c r="A43" s="1" t="s">
        <v>252</v>
      </c>
      <c r="B43" s="113"/>
      <c r="C43" s="113">
        <v>-42000</v>
      </c>
      <c r="D43" s="113">
        <v>-42000</v>
      </c>
      <c r="E43" s="113"/>
      <c r="F43" s="113"/>
      <c r="G43" s="113"/>
      <c r="H43" s="113"/>
      <c r="I43" s="113"/>
      <c r="J43" s="113"/>
      <c r="K43" s="113"/>
      <c r="L43" s="113"/>
    </row>
    <row r="44" spans="1:12" ht="15.75" x14ac:dyDescent="0.25">
      <c r="A44" s="1" t="s">
        <v>253</v>
      </c>
      <c r="B44" s="113">
        <v>118000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</row>
    <row r="45" spans="1:12" ht="15.75" x14ac:dyDescent="0.25">
      <c r="A45" s="1" t="s">
        <v>281</v>
      </c>
      <c r="B45" s="113"/>
      <c r="C45" s="113">
        <f>B46*1.03</f>
        <v>121540</v>
      </c>
      <c r="D45" s="113">
        <f t="shared" ref="D45:L45" si="16">C46*1.03</f>
        <v>109927.41375053659</v>
      </c>
      <c r="E45" s="113">
        <f t="shared" si="16"/>
        <v>235801.98686359357</v>
      </c>
      <c r="F45" s="113">
        <f t="shared" si="16"/>
        <v>399421.65257315163</v>
      </c>
      <c r="G45" s="113">
        <f t="shared" si="16"/>
        <v>514179.79270537023</v>
      </c>
      <c r="H45" s="113">
        <f t="shared" si="16"/>
        <v>651289.59248653147</v>
      </c>
      <c r="I45" s="113">
        <f t="shared" si="16"/>
        <v>880062.68626112747</v>
      </c>
      <c r="J45" s="113">
        <f t="shared" si="16"/>
        <v>1115698.9728489614</v>
      </c>
      <c r="K45" s="113">
        <f t="shared" si="16"/>
        <v>1358404.3480344303</v>
      </c>
      <c r="L45" s="113">
        <f t="shared" si="16"/>
        <v>1608390.8844754635</v>
      </c>
    </row>
    <row r="46" spans="1:12" ht="15.75" x14ac:dyDescent="0.25">
      <c r="A46" s="134" t="s">
        <v>286</v>
      </c>
      <c r="B46" s="135">
        <f>SUM(B41:B45)</f>
        <v>118000</v>
      </c>
      <c r="C46" s="135">
        <f t="shared" ref="C46:L46" si="17">SUM(C41:C45)</f>
        <v>106725.64441799669</v>
      </c>
      <c r="D46" s="135">
        <f t="shared" si="17"/>
        <v>228933.96782873161</v>
      </c>
      <c r="E46" s="135">
        <f t="shared" si="17"/>
        <v>387788.0122069433</v>
      </c>
      <c r="F46" s="135">
        <f t="shared" si="17"/>
        <v>499203.6822382235</v>
      </c>
      <c r="G46" s="135">
        <f t="shared" si="17"/>
        <v>632319.9927053703</v>
      </c>
      <c r="H46" s="135">
        <f t="shared" si="17"/>
        <v>854429.79248653154</v>
      </c>
      <c r="I46" s="135">
        <f t="shared" si="17"/>
        <v>1083202.8862611274</v>
      </c>
      <c r="J46" s="135">
        <f t="shared" si="17"/>
        <v>1318839.1728489613</v>
      </c>
      <c r="K46" s="135">
        <f t="shared" si="17"/>
        <v>1561544.5480344305</v>
      </c>
      <c r="L46" s="135">
        <f t="shared" si="17"/>
        <v>1811531.0844754628</v>
      </c>
    </row>
    <row r="52" spans="1:12" x14ac:dyDescent="0.25">
      <c r="A52" s="119" t="s">
        <v>278</v>
      </c>
      <c r="B52" s="120" t="str">
        <f>B2</f>
        <v>ANO 0</v>
      </c>
      <c r="C52" s="120" t="str">
        <f t="shared" ref="C52:L52" si="18">C2</f>
        <v>ANO 1</v>
      </c>
      <c r="D52" s="120" t="str">
        <f t="shared" si="18"/>
        <v>ANO 2</v>
      </c>
      <c r="E52" s="120" t="str">
        <f t="shared" si="18"/>
        <v>ANO 3</v>
      </c>
      <c r="F52" s="120" t="str">
        <f t="shared" si="18"/>
        <v>ANO 4</v>
      </c>
      <c r="G52" s="120" t="str">
        <f t="shared" si="18"/>
        <v>ANO 5</v>
      </c>
      <c r="H52" s="120" t="str">
        <f t="shared" si="18"/>
        <v>ANO 6</v>
      </c>
      <c r="I52" s="120" t="str">
        <f t="shared" si="18"/>
        <v>ANO 7</v>
      </c>
      <c r="J52" s="120" t="str">
        <f t="shared" si="18"/>
        <v>ANO 8</v>
      </c>
      <c r="K52" s="120" t="str">
        <f t="shared" si="18"/>
        <v>ANO 9</v>
      </c>
      <c r="L52" s="120" t="str">
        <f t="shared" si="18"/>
        <v>ANO 10</v>
      </c>
    </row>
    <row r="53" spans="1:12" x14ac:dyDescent="0.25">
      <c r="A53" s="119" t="s">
        <v>67</v>
      </c>
      <c r="B53" s="121">
        <f>'EVOLUÇÃO DO REBANHO'!B5</f>
        <v>180</v>
      </c>
      <c r="C53" s="121">
        <f>'EVOLUÇÃO DO REBANHO'!J5</f>
        <v>180</v>
      </c>
      <c r="D53" s="121">
        <f>'EVOLUÇÃO DO REBANHO'!R5</f>
        <v>216</v>
      </c>
      <c r="E53" s="121">
        <f>'EVOLUÇÃO DO REBANHO'!Z5</f>
        <v>216</v>
      </c>
      <c r="F53" s="121">
        <f>'EVOLUÇÃO DO REBANHO'!AH5</f>
        <v>216</v>
      </c>
      <c r="G53" s="121">
        <f>'EVOLUÇÃO DO REBANHO'!AP5</f>
        <v>216</v>
      </c>
      <c r="H53" s="121">
        <f>'EVOLUÇÃO DO REBANHO'!AX5</f>
        <v>216</v>
      </c>
      <c r="I53" s="121">
        <f>'EVOLUÇÃO DO REBANHO'!BF5</f>
        <v>216</v>
      </c>
      <c r="J53" s="121">
        <f>'EVOLUÇÃO DO REBANHO'!BN5</f>
        <v>216</v>
      </c>
      <c r="K53" s="121">
        <f>'EVOLUÇÃO DO REBANHO'!BV5</f>
        <v>216</v>
      </c>
      <c r="L53" s="121">
        <f>'EVOLUÇÃO DO REBANHO'!CD5</f>
        <v>216</v>
      </c>
    </row>
    <row r="54" spans="1:12" x14ac:dyDescent="0.25">
      <c r="A54" s="119" t="s">
        <v>68</v>
      </c>
      <c r="B54" s="121">
        <f>'EVOLUÇÃO DO REBANHO'!B6</f>
        <v>212</v>
      </c>
      <c r="C54" s="121">
        <f>'EVOLUÇÃO DO REBANHO'!J6</f>
        <v>177</v>
      </c>
      <c r="D54" s="121">
        <f>'EVOLUÇÃO DO REBANHO'!R6</f>
        <v>177</v>
      </c>
      <c r="E54" s="121">
        <f>'EVOLUÇÃO DO REBANHO'!Z6</f>
        <v>213</v>
      </c>
      <c r="F54" s="121">
        <f>'EVOLUÇÃO DO REBANHO'!AH6</f>
        <v>213</v>
      </c>
      <c r="G54" s="121">
        <f>'EVOLUÇÃO DO REBANHO'!AP6</f>
        <v>213</v>
      </c>
      <c r="H54" s="121">
        <f>'EVOLUÇÃO DO REBANHO'!AX6</f>
        <v>213</v>
      </c>
      <c r="I54" s="121">
        <f>'EVOLUÇÃO DO REBANHO'!BF6</f>
        <v>213</v>
      </c>
      <c r="J54" s="121">
        <f>'EVOLUÇÃO DO REBANHO'!BN6</f>
        <v>213</v>
      </c>
      <c r="K54" s="121">
        <f>'EVOLUÇÃO DO REBANHO'!BV6</f>
        <v>213</v>
      </c>
      <c r="L54" s="121">
        <f>'EVOLUÇÃO DO REBANHO'!CD6</f>
        <v>213</v>
      </c>
    </row>
    <row r="55" spans="1:12" x14ac:dyDescent="0.25">
      <c r="A55" s="119" t="s">
        <v>69</v>
      </c>
      <c r="B55" s="121">
        <f>'EVOLUÇÃO DO REBANHO'!B7</f>
        <v>209</v>
      </c>
      <c r="C55" s="121">
        <f>'EVOLUÇÃO DO REBANHO'!J7</f>
        <v>209</v>
      </c>
      <c r="D55" s="121">
        <f>'EVOLUÇÃO DO REBANHO'!R7</f>
        <v>174</v>
      </c>
      <c r="E55" s="121">
        <f>'EVOLUÇÃO DO REBANHO'!Z7</f>
        <v>174</v>
      </c>
      <c r="F55" s="121">
        <f>'EVOLUÇÃO DO REBANHO'!AH7</f>
        <v>210</v>
      </c>
      <c r="G55" s="121">
        <f>'EVOLUÇÃO DO REBANHO'!AP7</f>
        <v>210</v>
      </c>
      <c r="H55" s="121">
        <f>'EVOLUÇÃO DO REBANHO'!AX7</f>
        <v>210</v>
      </c>
      <c r="I55" s="121">
        <f>'EVOLUÇÃO DO REBANHO'!BF7</f>
        <v>210</v>
      </c>
      <c r="J55" s="121">
        <f>'EVOLUÇÃO DO REBANHO'!BN7</f>
        <v>210</v>
      </c>
      <c r="K55" s="121">
        <f>'EVOLUÇÃO DO REBANHO'!BV7</f>
        <v>210</v>
      </c>
      <c r="L55" s="121">
        <f>'EVOLUÇÃO DO REBANHO'!CD7</f>
        <v>210</v>
      </c>
    </row>
    <row r="56" spans="1:12" x14ac:dyDescent="0.25">
      <c r="A56" s="119" t="s">
        <v>160</v>
      </c>
      <c r="B56" s="121">
        <f>'EVOLUÇÃO DO REBANHO'!B8</f>
        <v>603</v>
      </c>
      <c r="C56" s="121">
        <f>'EVOLUÇÃO DO REBANHO'!J8</f>
        <v>707</v>
      </c>
      <c r="D56" s="121">
        <f>'EVOLUÇÃO DO REBANHO'!R8</f>
        <v>787</v>
      </c>
      <c r="E56" s="121">
        <f>'EVOLUÇÃO DO REBANHO'!Z8</f>
        <v>752</v>
      </c>
      <c r="F56" s="121">
        <f>'EVOLUÇÃO DO REBANHO'!AH8</f>
        <v>752</v>
      </c>
      <c r="G56" s="121">
        <f>'EVOLUÇÃO DO REBANHO'!AP8</f>
        <v>788</v>
      </c>
      <c r="H56" s="121">
        <f>'EVOLUÇÃO DO REBANHO'!AX8</f>
        <v>788</v>
      </c>
      <c r="I56" s="121">
        <f>'EVOLUÇÃO DO REBANHO'!BF8</f>
        <v>788</v>
      </c>
      <c r="J56" s="121">
        <f>'EVOLUÇÃO DO REBANHO'!BN8</f>
        <v>788</v>
      </c>
      <c r="K56" s="121">
        <f>'EVOLUÇÃO DO REBANHO'!BV8</f>
        <v>788</v>
      </c>
      <c r="L56" s="121">
        <f>'EVOLUÇÃO DO REBANHO'!CD8</f>
        <v>788</v>
      </c>
    </row>
    <row r="57" spans="1:12" x14ac:dyDescent="0.25">
      <c r="A57" s="119" t="s">
        <v>70</v>
      </c>
      <c r="B57" s="121">
        <f>'EVOLUÇÃO DO REBANHO'!B9</f>
        <v>180</v>
      </c>
      <c r="C57" s="121">
        <f>'EVOLUÇÃO DO REBANHO'!J9</f>
        <v>180</v>
      </c>
      <c r="D57" s="121">
        <f>'EVOLUÇÃO DO REBANHO'!R9</f>
        <v>216</v>
      </c>
      <c r="E57" s="121">
        <f>'EVOLUÇÃO DO REBANHO'!Z9</f>
        <v>216</v>
      </c>
      <c r="F57" s="121">
        <f>'EVOLUÇÃO DO REBANHO'!AH9</f>
        <v>216</v>
      </c>
      <c r="G57" s="121">
        <f>'EVOLUÇÃO DO REBANHO'!AP9</f>
        <v>216</v>
      </c>
      <c r="H57" s="121">
        <f>'EVOLUÇÃO DO REBANHO'!AX9</f>
        <v>216</v>
      </c>
      <c r="I57" s="121">
        <f>'EVOLUÇÃO DO REBANHO'!BF9</f>
        <v>216</v>
      </c>
      <c r="J57" s="121">
        <f>'EVOLUÇÃO DO REBANHO'!BN9</f>
        <v>216</v>
      </c>
      <c r="K57" s="121">
        <f>'EVOLUÇÃO DO REBANHO'!BV9</f>
        <v>216</v>
      </c>
      <c r="L57" s="121">
        <f>'EVOLUÇÃO DO REBANHO'!CD9</f>
        <v>216</v>
      </c>
    </row>
    <row r="58" spans="1:12" x14ac:dyDescent="0.25">
      <c r="A58" s="119" t="s">
        <v>71</v>
      </c>
      <c r="B58" s="121">
        <f>'EVOLUÇÃO DO REBANHO'!B10</f>
        <v>203</v>
      </c>
      <c r="C58" s="121">
        <f>'EVOLUÇÃO DO REBANHO'!J10</f>
        <v>177</v>
      </c>
      <c r="D58" s="121">
        <f>'EVOLUÇÃO DO REBANHO'!R10</f>
        <v>177</v>
      </c>
      <c r="E58" s="121">
        <f>'EVOLUÇÃO DO REBANHO'!Z10</f>
        <v>213</v>
      </c>
      <c r="F58" s="121">
        <f>'EVOLUÇÃO DO REBANHO'!AH10</f>
        <v>213</v>
      </c>
      <c r="G58" s="121">
        <f>'EVOLUÇÃO DO REBANHO'!AP10</f>
        <v>213</v>
      </c>
      <c r="H58" s="121">
        <f>'EVOLUÇÃO DO REBANHO'!AX10</f>
        <v>213</v>
      </c>
      <c r="I58" s="121">
        <f>'EVOLUÇÃO DO REBANHO'!BF10</f>
        <v>213</v>
      </c>
      <c r="J58" s="121">
        <f>'EVOLUÇÃO DO REBANHO'!BN10</f>
        <v>213</v>
      </c>
      <c r="K58" s="121">
        <f>'EVOLUÇÃO DO REBANHO'!BV10</f>
        <v>213</v>
      </c>
      <c r="L58" s="121">
        <f>'EVOLUÇÃO DO REBANHO'!CD10</f>
        <v>213</v>
      </c>
    </row>
    <row r="59" spans="1:12" x14ac:dyDescent="0.25">
      <c r="A59" s="119" t="s">
        <v>74</v>
      </c>
      <c r="B59" s="121">
        <f>'EVOLUÇÃO DO REBANHO'!B11</f>
        <v>200</v>
      </c>
      <c r="C59" s="121">
        <f>'EVOLUÇÃO DO REBANHO'!J11</f>
        <v>235</v>
      </c>
      <c r="D59" s="121">
        <f>'EVOLUÇÃO DO REBANHO'!R11</f>
        <v>174</v>
      </c>
      <c r="E59" s="121">
        <f>'EVOLUÇÃO DO REBANHO'!Z11</f>
        <v>174</v>
      </c>
      <c r="F59" s="121">
        <f>'EVOLUÇÃO DO REBANHO'!AH11</f>
        <v>210</v>
      </c>
      <c r="G59" s="121">
        <f>'EVOLUÇÃO DO REBANHO'!AP11</f>
        <v>210</v>
      </c>
      <c r="H59" s="121">
        <f>'EVOLUÇÃO DO REBANHO'!AX11</f>
        <v>210</v>
      </c>
      <c r="I59" s="121">
        <f>'EVOLUÇÃO DO REBANHO'!BF11</f>
        <v>210</v>
      </c>
      <c r="J59" s="121">
        <f>'EVOLUÇÃO DO REBANHO'!BN11</f>
        <v>210</v>
      </c>
      <c r="K59" s="121">
        <f>'EVOLUÇÃO DO REBANHO'!BV11</f>
        <v>210</v>
      </c>
      <c r="L59" s="121">
        <f>'EVOLUÇÃO DO REBANHO'!CD11</f>
        <v>210</v>
      </c>
    </row>
    <row r="60" spans="1:12" x14ac:dyDescent="0.25">
      <c r="A60" s="119" t="s">
        <v>72</v>
      </c>
      <c r="B60" s="121">
        <f>'EVOLUÇÃO DO REBANHO'!B12</f>
        <v>20</v>
      </c>
      <c r="C60" s="121">
        <f>'EVOLUÇÃO DO REBANHO'!J12</f>
        <v>24</v>
      </c>
      <c r="D60" s="121">
        <f>'EVOLUÇÃO DO REBANHO'!R12</f>
        <v>24</v>
      </c>
      <c r="E60" s="121">
        <f>'EVOLUÇÃO DO REBANHO'!Z12</f>
        <v>24</v>
      </c>
      <c r="F60" s="121">
        <f>'EVOLUÇÃO DO REBANHO'!AH12</f>
        <v>24</v>
      </c>
      <c r="G60" s="121">
        <f>'EVOLUÇÃO DO REBANHO'!AP12</f>
        <v>24</v>
      </c>
      <c r="H60" s="121">
        <f>'EVOLUÇÃO DO REBANHO'!AX12</f>
        <v>24</v>
      </c>
      <c r="I60" s="121">
        <f>'EVOLUÇÃO DO REBANHO'!BF12</f>
        <v>24</v>
      </c>
      <c r="J60" s="121">
        <f>'EVOLUÇÃO DO REBANHO'!BN12</f>
        <v>24</v>
      </c>
      <c r="K60" s="121">
        <f>'EVOLUÇÃO DO REBANHO'!BV12</f>
        <v>24</v>
      </c>
      <c r="L60" s="121">
        <f>'EVOLUÇÃO DO REBANHO'!CD12</f>
        <v>24</v>
      </c>
    </row>
    <row r="61" spans="1:12" s="118" customFormat="1" x14ac:dyDescent="0.25">
      <c r="A61" s="122" t="s">
        <v>9</v>
      </c>
      <c r="B61" s="123">
        <f>'EVOLUÇÃO DO REBANHO'!B13</f>
        <v>1807</v>
      </c>
      <c r="C61" s="123">
        <f>'EVOLUÇÃO DO REBANHO'!J13</f>
        <v>1889</v>
      </c>
      <c r="D61" s="123">
        <f>'EVOLUÇÃO DO REBANHO'!R13</f>
        <v>1945</v>
      </c>
      <c r="E61" s="123">
        <f>'EVOLUÇÃO DO REBANHO'!Z13</f>
        <v>1982</v>
      </c>
      <c r="F61" s="123">
        <f>'EVOLUÇÃO DO REBANHO'!AH13</f>
        <v>2054</v>
      </c>
      <c r="G61" s="123">
        <f>'EVOLUÇÃO DO REBANHO'!AP13</f>
        <v>2090</v>
      </c>
      <c r="H61" s="123">
        <f>'EVOLUÇÃO DO REBANHO'!AX13</f>
        <v>2090</v>
      </c>
      <c r="I61" s="123">
        <f>'EVOLUÇÃO DO REBANHO'!BF13</f>
        <v>2090</v>
      </c>
      <c r="J61" s="123">
        <f>'EVOLUÇÃO DO REBANHO'!BN13</f>
        <v>2090</v>
      </c>
      <c r="K61" s="123">
        <f>'EVOLUÇÃO DO REBANHO'!BV13</f>
        <v>2090</v>
      </c>
      <c r="L61" s="123">
        <f>'EVOLUÇÃO DO REBANHO'!CD13</f>
        <v>2090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Gráficos</vt:lpstr>
      </vt:variant>
      <vt:variant>
        <vt:i4>1</vt:i4>
      </vt:variant>
    </vt:vector>
  </HeadingPairs>
  <TitlesOfParts>
    <vt:vector size="11" baseType="lpstr">
      <vt:lpstr>CAPITAL NATURAL</vt:lpstr>
      <vt:lpstr>CAPITAL FÍSICO</vt:lpstr>
      <vt:lpstr>EVOLUÇÃO DO REBANHO</vt:lpstr>
      <vt:lpstr>GANHO DE PESO</vt:lpstr>
      <vt:lpstr>Organograma</vt:lpstr>
      <vt:lpstr>CAPITAL HUMANO</vt:lpstr>
      <vt:lpstr>CAPITAL FINANCEIRO</vt:lpstr>
      <vt:lpstr>RECEITA REBANHO ESTAVEL</vt:lpstr>
      <vt:lpstr>FLUXO DIAGNOSTICO</vt:lpstr>
      <vt:lpstr>DESPESA REBANHO ESTAVEL</vt:lpstr>
      <vt:lpstr>Grafico ganho peso machos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</dc:creator>
  <cp:lastModifiedBy>FUNPAR</cp:lastModifiedBy>
  <dcterms:created xsi:type="dcterms:W3CDTF">2013-09-22T16:00:58Z</dcterms:created>
  <dcterms:modified xsi:type="dcterms:W3CDTF">2013-09-28T20:09:09Z</dcterms:modified>
</cp:coreProperties>
</file>