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20" activeTab="22"/>
  </bookViews>
  <sheets>
    <sheet name="Exemplo depreciação" sheetId="1" r:id="rId1"/>
    <sheet name="Exemplo comércio de livros" sheetId="2" r:id="rId2"/>
    <sheet name="Cia GB" sheetId="3" r:id="rId3"/>
    <sheet name="Cia Aniel" sheetId="4" r:id="rId4"/>
    <sheet name="Cia Porto Eucalipto" sheetId="5" r:id="rId5"/>
    <sheet name="Cia Roliça" sheetId="6" r:id="rId6"/>
    <sheet name="Cia Dobra e Fecha" sheetId="7" r:id="rId7"/>
    <sheet name="Cia Parma" sheetId="8" r:id="rId8"/>
    <sheet name="Exemplo construtora" sheetId="9" r:id="rId9"/>
    <sheet name="Exemplo construtora (2)" sheetId="10" r:id="rId10"/>
    <sheet name="10.2 - Cia Reggio" sheetId="11" r:id="rId11"/>
    <sheet name="São Tomé" sheetId="12" r:id="rId12"/>
    <sheet name="11.2 - Cia Reggio" sheetId="13" r:id="rId13"/>
    <sheet name="11.3 - Cia sÃO Cristóvão" sheetId="14" r:id="rId14"/>
    <sheet name="CPC 17 - I" sheetId="15" r:id="rId15"/>
    <sheet name="Cia Asfáltica" sheetId="16" r:id="rId16"/>
    <sheet name="13.2 - Carbexa" sheetId="17" r:id="rId17"/>
    <sheet name="Tulipa" sheetId="18" r:id="rId18"/>
    <sheet name="Tudolimpo" sheetId="19" r:id="rId19"/>
    <sheet name="Arte em Estilo" sheetId="20" r:id="rId20"/>
    <sheet name="Biscoitos King Kong" sheetId="21" r:id="rId21"/>
    <sheet name="Confecções Andrade" sheetId="22" r:id="rId22"/>
    <sheet name="Hotel Good Trip" sheetId="23" r:id="rId23"/>
    <sheet name="Plan2" sheetId="24" r:id="rId24"/>
    <sheet name="Plan3" sheetId="25" r:id="rId25"/>
  </sheets>
  <definedNames/>
  <calcPr fullCalcOnLoad="1"/>
</workbook>
</file>

<file path=xl/comments1.xml><?xml version="1.0" encoding="utf-8"?>
<comments xmlns="http://schemas.openxmlformats.org/spreadsheetml/2006/main">
  <authors>
    <author>Roni Cleber Bonizio</author>
  </authors>
  <commentList>
    <comment ref="E8" authorId="0">
      <text>
        <r>
          <rPr>
            <sz val="8"/>
            <rFont val="Tahoma"/>
            <family val="2"/>
          </rPr>
          <t>Antes da venda</t>
        </r>
      </text>
    </comment>
  </commentList>
</comments>
</file>

<file path=xl/comments10.xml><?xml version="1.0" encoding="utf-8"?>
<comments xmlns="http://schemas.openxmlformats.org/spreadsheetml/2006/main">
  <authors>
    <author>Roni Cleber Bonizio</author>
  </authors>
  <commentList>
    <comment ref="B20" authorId="0">
      <text>
        <r>
          <rPr>
            <sz val="8"/>
            <rFont val="Tahoma"/>
            <family val="2"/>
          </rPr>
          <t xml:space="preserve">Reconhecimento da receita no momento da transferência dos riscos e benefícios ao cliente
</t>
        </r>
      </text>
    </comment>
    <comment ref="B37" authorId="0">
      <text>
        <r>
          <rPr>
            <sz val="8"/>
            <rFont val="Tahoma"/>
            <family val="2"/>
          </rPr>
          <t xml:space="preserve">Reconhecimento da receita na medida em que a obra é realizada (com base no % de custo incorrido
</t>
        </r>
      </text>
    </comment>
  </commentList>
</comments>
</file>

<file path=xl/comments13.xml><?xml version="1.0" encoding="utf-8"?>
<comments xmlns="http://schemas.openxmlformats.org/spreadsheetml/2006/main">
  <authors>
    <author>Roni Cleber Bonizio</author>
  </authors>
  <commentList>
    <comment ref="C15" authorId="0">
      <text>
        <r>
          <rPr>
            <b/>
            <sz val="8"/>
            <rFont val="Tahoma"/>
            <family val="2"/>
          </rPr>
          <t>Desconta-se quatro semanas por conta de 1 mês de férias</t>
        </r>
      </text>
    </comment>
  </commentList>
</comments>
</file>

<file path=xl/comments14.xml><?xml version="1.0" encoding="utf-8"?>
<comments xmlns="http://schemas.openxmlformats.org/spreadsheetml/2006/main">
  <authors>
    <author>Roni Cleber Bonizio</author>
  </authors>
  <commentList>
    <comment ref="C16" authorId="0">
      <text>
        <r>
          <rPr>
            <b/>
            <sz val="8"/>
            <rFont val="Tahoma"/>
            <family val="2"/>
          </rPr>
          <t>Não incidem sobre o abono pecuniário</t>
        </r>
      </text>
    </comment>
    <comment ref="C44" authorId="0">
      <text>
        <r>
          <rPr>
            <b/>
            <sz val="8"/>
            <rFont val="Tahoma"/>
            <family val="2"/>
          </rPr>
          <t>Não incidem sobre o abono pecuniário</t>
        </r>
      </text>
    </comment>
  </commentList>
</comments>
</file>

<file path=xl/comments15.xml><?xml version="1.0" encoding="utf-8"?>
<comments xmlns="http://schemas.openxmlformats.org/spreadsheetml/2006/main">
  <authors>
    <author>Roni Cleber Bonizio</author>
  </authors>
  <commentList>
    <comment ref="C21" authorId="0">
      <text>
        <r>
          <rPr>
            <sz val="12"/>
            <rFont val="Tahoma"/>
            <family val="2"/>
          </rPr>
          <t>Reconhecimento do lucro proporcionalmente ao percentual de custo incorrido em relação ao custo previsto</t>
        </r>
      </text>
    </comment>
    <comment ref="C47" authorId="0">
      <text>
        <r>
          <rPr>
            <sz val="12"/>
            <rFont val="Tahoma"/>
            <family val="2"/>
          </rPr>
          <t xml:space="preserve">Reconhecimento do lucro proporcionalmente às horas trabalhadas na obra
</t>
        </r>
      </text>
    </comment>
  </commentList>
</comments>
</file>

<file path=xl/comments19.xml><?xml version="1.0" encoding="utf-8"?>
<comments xmlns="http://schemas.openxmlformats.org/spreadsheetml/2006/main">
  <authors>
    <author>Roni Cleber Bonizio</author>
  </authors>
  <commentList>
    <comment ref="B6" authorId="0">
      <text>
        <r>
          <rPr>
            <b/>
            <sz val="8"/>
            <rFont val="Tahoma"/>
            <family val="2"/>
          </rPr>
          <t xml:space="preserve">Rateio com base nas horas de produção
</t>
        </r>
      </text>
    </comment>
    <comment ref="B17" authorId="0">
      <text>
        <r>
          <rPr>
            <b/>
            <sz val="8"/>
            <rFont val="Tahoma"/>
            <family val="2"/>
          </rPr>
          <t xml:space="preserve">Rateio com base nos custos variáveis
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Rateio com base no número de produtos
</t>
        </r>
      </text>
    </comment>
  </commentList>
</comments>
</file>

<file path=xl/comments21.xml><?xml version="1.0" encoding="utf-8"?>
<comments xmlns="http://schemas.openxmlformats.org/spreadsheetml/2006/main">
  <authors>
    <author>Roni Cleber Bonizio</author>
  </authors>
  <commentList>
    <comment ref="B37" authorId="0">
      <text>
        <r>
          <rPr>
            <b/>
            <sz val="8"/>
            <rFont val="Tahoma"/>
            <family val="2"/>
          </rPr>
          <t>Lucro operacional antes do IR/CSSLL</t>
        </r>
      </text>
    </comment>
    <comment ref="B39" authorId="0">
      <text>
        <r>
          <rPr>
            <b/>
            <sz val="8"/>
            <rFont val="Tahoma"/>
            <family val="2"/>
          </rPr>
          <t xml:space="preserve">Lucro operacional depois do IR/CSSLL
</t>
        </r>
      </text>
    </comment>
    <comment ref="B40" authorId="0">
      <text>
        <r>
          <rPr>
            <b/>
            <sz val="8"/>
            <rFont val="Tahoma"/>
            <family val="2"/>
          </rPr>
          <t>Custo decorrente das decisões de financiamento</t>
        </r>
      </text>
    </comment>
    <comment ref="B20" authorId="0">
      <text>
        <r>
          <rPr>
            <b/>
            <sz val="8"/>
            <rFont val="Tahoma"/>
            <family val="2"/>
          </rPr>
          <t xml:space="preserve">PONTO DE EQUILÍBRIO CONTÁBIL
</t>
        </r>
        <r>
          <rPr>
            <sz val="8"/>
            <rFont val="Tahoma"/>
            <family val="2"/>
          </rPr>
          <t xml:space="preserve">Quantidade de toneladas de biscoito que a empresa deve produzir e vender para que seu lucro operacional seja igual a zero
Se vender mais, NOPAT de $90,0 por tonelada a mais
Se vender menos, EBIT negativo de $150,0 por tonelada a menos
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PONTO DE EQUILÍBRIO ECONÔMICO
</t>
        </r>
        <r>
          <rPr>
            <sz val="8"/>
            <rFont val="Tahoma"/>
            <family val="2"/>
          </rPr>
          <t xml:space="preserve">Quantidade de toneladas de biscoito que a empresa deve produzir e vender para que seu lucro operacional seja igual ao custo total do capital investido no negócio. EVA = 0
Se vender mais, geração de riqueza (EVA) de $90,0 por tonelada a mais
Se vender menos, destruição de riqueza (EVA negativo) $90,0 por tonelada a menos (até as 500t). Após, a destruição de riqueza passa a ser de $150,0 por tonelada a menos.
</t>
        </r>
      </text>
    </comment>
    <comment ref="B24" authorId="0">
      <text>
        <r>
          <rPr>
            <b/>
            <sz val="8"/>
            <rFont val="Tahoma"/>
            <family val="2"/>
          </rPr>
          <t xml:space="preserve">PONTO DE EQUILÍBRIO FINANCEIRO 1
</t>
        </r>
        <r>
          <rPr>
            <sz val="8"/>
            <rFont val="Tahoma"/>
            <family val="2"/>
          </rPr>
          <t xml:space="preserve">Quantidade de toneladas de biscoito que a empresa deve produzir e vender para que seu fluxo de caixa operacional seja igual a 0
Se vender mais, geração de caixa operacional = $150,0 por tonelada adicional, até 500 ton. Após as 500 ton, a geração de caixa será de $90,0 por ton.
Se vender menos, consumo de caixa operacional = $150,0 por tonelada a menos.
</t>
        </r>
      </text>
    </comment>
    <comment ref="B26" authorId="0">
      <text>
        <r>
          <rPr>
            <b/>
            <sz val="8"/>
            <rFont val="Tahoma"/>
            <family val="2"/>
          </rPr>
          <t xml:space="preserve">PONTO DE EQUILÍBRIO FINANCEIRO 2
</t>
        </r>
        <r>
          <rPr>
            <sz val="8"/>
            <rFont val="Tahoma"/>
            <family val="2"/>
          </rPr>
          <t xml:space="preserve">Quantidade de toneladas de biscoito que a empresa deve produzir e vender para que seu fluxo de caixa líquido seja igual a 0
Se vender mais, geração de caixa líquido = $90,0 por tonelada adicional.
Se vender menos, consumo de caixa líquido = $90,0 por tonelada a menos.
</t>
        </r>
      </text>
    </comment>
  </commentList>
</comments>
</file>

<file path=xl/comments22.xml><?xml version="1.0" encoding="utf-8"?>
<comments xmlns="http://schemas.openxmlformats.org/spreadsheetml/2006/main">
  <authors>
    <author>Roni Cleber Bonizio</author>
  </authors>
  <commentList>
    <comment ref="C22" authorId="0">
      <text>
        <r>
          <rPr>
            <b/>
            <sz val="8"/>
            <rFont val="Tahoma"/>
            <family val="2"/>
          </rPr>
          <t xml:space="preserve">PONTO DE EQUILÍBRIO CONTÁBIL
</t>
        </r>
        <r>
          <rPr>
            <sz val="8"/>
            <rFont val="Tahoma"/>
            <family val="2"/>
          </rPr>
          <t xml:space="preserve">Quantidade de peças* que a empresa deve produzir e vender para que seu lucro operacional líquido (NOPAT) seja igual a zero
Se vender mais, NOPAT positivo de $7,20 por peça a mais
Se vender menos, NOPAT negativo de $12,0 por peça a menos
*mantendo-se o mix </t>
        </r>
      </text>
    </comment>
    <comment ref="C24" authorId="0">
      <text>
        <r>
          <rPr>
            <b/>
            <sz val="8"/>
            <rFont val="Tahoma"/>
            <family val="2"/>
          </rPr>
          <t xml:space="preserve">PONTO DE EQUILÍBRIO ECONÔMICO
</t>
        </r>
        <r>
          <rPr>
            <sz val="8"/>
            <rFont val="Tahoma"/>
            <family val="2"/>
          </rPr>
          <t xml:space="preserve">Quantidade de peças* que a empresa deve produzir e vender para que seu lucro operacional líquido (NOPAT) seja igual ao custo do capital investido (EVA = 0)
Se vender mais, geração de riqueza de $7,20 por peça a mais
Se vender menos, destruição de riqueza de $7,2 por peça a menos
*mantendo-se o mix </t>
        </r>
      </text>
    </comment>
    <comment ref="C26" authorId="0">
      <text>
        <r>
          <rPr>
            <b/>
            <sz val="8"/>
            <rFont val="Tahoma"/>
            <family val="2"/>
          </rPr>
          <t xml:space="preserve">PONTO DE EQUILÍBRIO ECONÔMICO
</t>
        </r>
        <r>
          <rPr>
            <sz val="8"/>
            <rFont val="Tahoma"/>
            <family val="2"/>
          </rPr>
          <t xml:space="preserve">Quantidade de peças* que a empresa deve produzir e vender para que seu fluxo de caixa operacional seja igual a zero
Se vender mais, geração de caixa operacional de $12,0 por peça a mais, até 7500 peças. Após 7.500 peças, geração de caixa de $7,2 por peça
Se vender menos, consumo de caixa operacional de $12,0 por peça a menos
*mantendo-se o mix </t>
        </r>
      </text>
    </comment>
  </commentList>
</comments>
</file>

<file path=xl/comments8.xml><?xml version="1.0" encoding="utf-8"?>
<comments xmlns="http://schemas.openxmlformats.org/spreadsheetml/2006/main">
  <authors>
    <author>Roni Cleber Bonizio</author>
  </authors>
  <commentList>
    <comment ref="B2" authorId="0">
      <text>
        <r>
          <rPr>
            <b/>
            <sz val="8"/>
            <rFont val="Tahoma"/>
            <family val="2"/>
          </rPr>
          <t>Rateio dos custos indiretos com base no número de unidades de produtos</t>
        </r>
      </text>
    </comment>
    <comment ref="B11" authorId="0">
      <text>
        <r>
          <rPr>
            <b/>
            <sz val="8"/>
            <rFont val="Tahoma"/>
            <family val="2"/>
          </rPr>
          <t>Rateio dos custos indiretos com base no faturamento</t>
        </r>
      </text>
    </comment>
    <comment ref="B20" authorId="0">
      <text>
        <r>
          <rPr>
            <b/>
            <sz val="8"/>
            <rFont val="Tahoma"/>
            <family val="2"/>
          </rPr>
          <t>Rateio dos custos indiretos com base no custo da MP</t>
        </r>
      </text>
    </comment>
  </commentList>
</comments>
</file>

<file path=xl/comments9.xml><?xml version="1.0" encoding="utf-8"?>
<comments xmlns="http://schemas.openxmlformats.org/spreadsheetml/2006/main">
  <authors>
    <author>Roni Cleber Bonizio</author>
  </authors>
  <commentList>
    <comment ref="B20" authorId="0">
      <text>
        <r>
          <rPr>
            <sz val="8"/>
            <rFont val="Tahoma"/>
            <family val="2"/>
          </rPr>
          <t xml:space="preserve">Reconhecimento da receita no momento da transferência dos riscos e benefícios ao cliente
</t>
        </r>
      </text>
    </comment>
    <comment ref="B37" authorId="0">
      <text>
        <r>
          <rPr>
            <sz val="8"/>
            <rFont val="Tahoma"/>
            <family val="2"/>
          </rPr>
          <t xml:space="preserve">Reconhecimento da receita na medida em que a obra é realizada (com base no % de custo incorrido
</t>
        </r>
      </text>
    </comment>
  </commentList>
</comments>
</file>

<file path=xl/sharedStrings.xml><?xml version="1.0" encoding="utf-8"?>
<sst xmlns="http://schemas.openxmlformats.org/spreadsheetml/2006/main" count="1038" uniqueCount="468">
  <si>
    <t>01/01/x1 - compra equipamento a vista</t>
  </si>
  <si>
    <t>Vida útil do equipamento (anos)</t>
  </si>
  <si>
    <t>Valor residual</t>
  </si>
  <si>
    <t>Depreciação anual</t>
  </si>
  <si>
    <t>31/12/x3 - venda equipamento a vista</t>
  </si>
  <si>
    <t>31/12/x1</t>
  </si>
  <si>
    <t>31/12/x2</t>
  </si>
  <si>
    <t>31/12/x3</t>
  </si>
  <si>
    <t>ATIVO</t>
  </si>
  <si>
    <t>Imobilizado</t>
  </si>
  <si>
    <t>(-) Depreciação acumulada</t>
  </si>
  <si>
    <t>RESULTADO</t>
  </si>
  <si>
    <t>ANO X1</t>
  </si>
  <si>
    <t>ANO X2</t>
  </si>
  <si>
    <t>ANO X3</t>
  </si>
  <si>
    <t>(-) Depreciação</t>
  </si>
  <si>
    <t>(+/-) Resultado na venda do imobilizado</t>
  </si>
  <si>
    <t>TOTAL</t>
  </si>
  <si>
    <t>CAIXA</t>
  </si>
  <si>
    <t>Aquisição do equipamento</t>
  </si>
  <si>
    <t>Venda do equipamento</t>
  </si>
  <si>
    <t>ABRIL</t>
  </si>
  <si>
    <t>MAIO</t>
  </si>
  <si>
    <t>JUNHO</t>
  </si>
  <si>
    <t>Compra livros a vista</t>
  </si>
  <si>
    <t>Venda de todos livros em 5x sem entrada</t>
  </si>
  <si>
    <t>FLUXO DE CAIXA</t>
  </si>
  <si>
    <t>Entradas de caixa</t>
  </si>
  <si>
    <t>(-) Saídas de caixa</t>
  </si>
  <si>
    <t>(=) FLUXO DE CAIXA</t>
  </si>
  <si>
    <t>Saldo inicial de caixa</t>
  </si>
  <si>
    <t>Saldo final de caixa</t>
  </si>
  <si>
    <t>Receita de venda</t>
  </si>
  <si>
    <t>(-) CMV</t>
  </si>
  <si>
    <t>(=) Lucro bruto</t>
  </si>
  <si>
    <t>(=) LUCRO OPERACIONAL</t>
  </si>
  <si>
    <t>Aspecto econômico (DESEMPENHO)</t>
  </si>
  <si>
    <t>Aspecto financeiro (fôlego)</t>
  </si>
  <si>
    <t>BALANÇOS PATRIMONIAIS</t>
  </si>
  <si>
    <t>Disponibilidades</t>
  </si>
  <si>
    <t>Contas a receber</t>
  </si>
  <si>
    <t>PASSIVO + PL</t>
  </si>
  <si>
    <t>Capital social</t>
  </si>
  <si>
    <t>Resultados acumulados</t>
  </si>
  <si>
    <t>Aspecto patrimonial</t>
  </si>
  <si>
    <t>(-) PCLD</t>
  </si>
  <si>
    <t>SABÃO EM PÓ</t>
  </si>
  <si>
    <t>SABÃO LÍQUIDO</t>
  </si>
  <si>
    <t>$ unit</t>
  </si>
  <si>
    <t>$ tot</t>
  </si>
  <si>
    <t>Matéria prima</t>
  </si>
  <si>
    <t>Mão de obra direta</t>
  </si>
  <si>
    <t>Depreciação equipamentos</t>
  </si>
  <si>
    <t>Aluguel da fábrica</t>
  </si>
  <si>
    <t>Supervisão da produção</t>
  </si>
  <si>
    <t>Energia elétrica</t>
  </si>
  <si>
    <t>CUSTOS DE PRODUÇÃO DO PERÍODO</t>
  </si>
  <si>
    <t>DADOS FÍSICOS</t>
  </si>
  <si>
    <t>Produção (unidades)</t>
  </si>
  <si>
    <t>caixas</t>
  </si>
  <si>
    <t>frascos</t>
  </si>
  <si>
    <t>Kg de MP</t>
  </si>
  <si>
    <t>kg</t>
  </si>
  <si>
    <t>horas</t>
  </si>
  <si>
    <t>Seguro equipamentos da fábrica</t>
  </si>
  <si>
    <t>CUSTOS INDIRETOS</t>
  </si>
  <si>
    <t>CUSTOS DIRETOS</t>
  </si>
  <si>
    <t>Depreciação equipamento especial</t>
  </si>
  <si>
    <t>Custo do equipamento</t>
  </si>
  <si>
    <t>Capacidade de processamento (kg de MP)</t>
  </si>
  <si>
    <t>Deprec equipam ($/kg de MP processada)</t>
  </si>
  <si>
    <t>ESTOQUE DE MATÉRIA PRIMA</t>
  </si>
  <si>
    <t>Saldo incial</t>
  </si>
  <si>
    <t>(+) Compras</t>
  </si>
  <si>
    <t>(-) Saldo final</t>
  </si>
  <si>
    <t>(=) Custo da MP utilizada na produção</t>
  </si>
  <si>
    <t>CUSTO DE PRODUÇÃO DO PERÍODO</t>
  </si>
  <si>
    <t>Custos indiretos</t>
  </si>
  <si>
    <t>CUSTO DA PRODUÇÃO ACABADA NO PERÍODO</t>
  </si>
  <si>
    <t>Estoque inicial de produdos em elaboração</t>
  </si>
  <si>
    <t>(+) Custo de produção do período</t>
  </si>
  <si>
    <t>(-) Estoque final de produtos em elaboração</t>
  </si>
  <si>
    <t>ESTOQUE DE PRODUTOS ACABADOS</t>
  </si>
  <si>
    <t>Estoque inicial de produdos acabados</t>
  </si>
  <si>
    <t>(+) Custo de produção acabada no período</t>
  </si>
  <si>
    <t>(-) CPV</t>
  </si>
  <si>
    <t>(=) Estoque final de produtos acabados</t>
  </si>
  <si>
    <t>DRE</t>
  </si>
  <si>
    <t>(-) Despesas administrativas</t>
  </si>
  <si>
    <t>(-) Despesas comerciais</t>
  </si>
  <si>
    <t>(-) Despesas financeiras</t>
  </si>
  <si>
    <t>(=) Lucro antes do IR/CSSLL</t>
  </si>
  <si>
    <t>BALANCETE DE VERIFICAÇÃO EM 31/12/X1</t>
  </si>
  <si>
    <t>DÉBITOS</t>
  </si>
  <si>
    <t>CRÉDITOS</t>
  </si>
  <si>
    <t>Estoque de MP</t>
  </si>
  <si>
    <t>Equipamentos de produção</t>
  </si>
  <si>
    <t>Depreciação acumul - equipam produç</t>
  </si>
  <si>
    <t>Veículos</t>
  </si>
  <si>
    <t>Depreciação acumul - veículos</t>
  </si>
  <si>
    <t>Empréstimos a pagar</t>
  </si>
  <si>
    <t>Energia elétrica da produção</t>
  </si>
  <si>
    <t>Lubrificantes</t>
  </si>
  <si>
    <t>Manutenção preventiva máq produção</t>
  </si>
  <si>
    <t>Supervisão do almoxarifado de MP</t>
  </si>
  <si>
    <t>Depreciação equipam produção</t>
  </si>
  <si>
    <t>Seguro equipam fábrica</t>
  </si>
  <si>
    <t>Despesas comerciais e adm</t>
  </si>
  <si>
    <t>Despesas financeiras</t>
  </si>
  <si>
    <t>Venda de produtos acabados</t>
  </si>
  <si>
    <t>X</t>
  </si>
  <si>
    <t>Y</t>
  </si>
  <si>
    <t>Z</t>
  </si>
  <si>
    <t>Matéria prima consumida</t>
  </si>
  <si>
    <t>Kg de MP por unidade</t>
  </si>
  <si>
    <t>Unidades produzidas</t>
  </si>
  <si>
    <t>Unidades vendidas</t>
  </si>
  <si>
    <t>Kg de MP totais</t>
  </si>
  <si>
    <t>Horas de MOD por unidade</t>
  </si>
  <si>
    <t>Horas de MOD totais</t>
  </si>
  <si>
    <t>Horas de máquina por unidade</t>
  </si>
  <si>
    <t>Horas de máquinas totais</t>
  </si>
  <si>
    <t>Custo unitário</t>
  </si>
  <si>
    <t>CPV</t>
  </si>
  <si>
    <t>Estoque final de produtos acabados</t>
  </si>
  <si>
    <t>DRE - ANO X1</t>
  </si>
  <si>
    <t>(-) Despesas comerciais e adm</t>
  </si>
  <si>
    <t>(=) LAIR</t>
  </si>
  <si>
    <t>(-) IR/CSSLL</t>
  </si>
  <si>
    <t>(=) Lucro líquido</t>
  </si>
  <si>
    <t>BALANÇO PATRIMONIAL EM 31/12/X1</t>
  </si>
  <si>
    <t>Estoque de produtos acabados</t>
  </si>
  <si>
    <t>IR/CSSLL</t>
  </si>
  <si>
    <t>Lucro do período</t>
  </si>
  <si>
    <t>CUSTO HISTÓRICO</t>
  </si>
  <si>
    <t>CUSTO HISTÓRICO CORRIGIDO</t>
  </si>
  <si>
    <t>$ DE 20/11</t>
  </si>
  <si>
    <t>CUSTO DE REPOSIÇÃO</t>
  </si>
  <si>
    <t>(=) lucro operacional</t>
  </si>
  <si>
    <t>(+) Ganho de estocagem</t>
  </si>
  <si>
    <t>$ DE 31/12</t>
  </si>
  <si>
    <t>(-) Perda no caixa</t>
  </si>
  <si>
    <t>BALANÇO PATRIMONIAL EM 31/12</t>
  </si>
  <si>
    <t>($ de 31/12)</t>
  </si>
  <si>
    <t>PL</t>
  </si>
  <si>
    <t>Lucro disponível</t>
  </si>
  <si>
    <t>Reserva</t>
  </si>
  <si>
    <t>Comercialização</t>
  </si>
  <si>
    <t>Estocagem</t>
  </si>
  <si>
    <t>Gestão cx</t>
  </si>
  <si>
    <t>FURAÇÃO</t>
  </si>
  <si>
    <t>ADM GERAL</t>
  </si>
  <si>
    <t>ESTAMPAR</t>
  </si>
  <si>
    <t>MONTAG</t>
  </si>
  <si>
    <t>ALMOXAR</t>
  </si>
  <si>
    <t>MANUT</t>
  </si>
  <si>
    <t>Materiais indiretos</t>
  </si>
  <si>
    <t>Mão de obra indir</t>
  </si>
  <si>
    <t>Aluguel</t>
  </si>
  <si>
    <t>Produção</t>
  </si>
  <si>
    <t>Apoio</t>
  </si>
  <si>
    <t>Rateio Adm da Produç</t>
  </si>
  <si>
    <t>Nº de funcionários</t>
  </si>
  <si>
    <t>Rateio da Manutenção</t>
  </si>
  <si>
    <t>Uso de máquinas (h)</t>
  </si>
  <si>
    <t>Rateio do Almoxarifado</t>
  </si>
  <si>
    <t>Nº de requisições</t>
  </si>
  <si>
    <t>DOBRAD</t>
  </si>
  <si>
    <t>FECHAD</t>
  </si>
  <si>
    <t>Materiais diretos</t>
  </si>
  <si>
    <t>CUSTO TOTAL</t>
  </si>
  <si>
    <t>Estamparia</t>
  </si>
  <si>
    <t>Furação</t>
  </si>
  <si>
    <t>Montagem</t>
  </si>
  <si>
    <t>Quantid produz (unid)</t>
  </si>
  <si>
    <t>REQUEIJÃO</t>
  </si>
  <si>
    <t>Quantidade (unid)</t>
  </si>
  <si>
    <t>QUEIJO PARMES</t>
  </si>
  <si>
    <t>(-) Matéria prima</t>
  </si>
  <si>
    <t>(-) MOD</t>
  </si>
  <si>
    <t>(-) Custos indiretos</t>
  </si>
  <si>
    <t>(=) LUCRO BRUTO</t>
  </si>
  <si>
    <t>DRE (absorção)</t>
  </si>
  <si>
    <r>
      <t>DRE (</t>
    </r>
    <r>
      <rPr>
        <b/>
        <i/>
        <sz val="11"/>
        <color indexed="8"/>
        <rFont val="Calibri"/>
        <family val="2"/>
      </rPr>
      <t>ABC</t>
    </r>
    <r>
      <rPr>
        <b/>
        <sz val="11"/>
        <color indexed="8"/>
        <rFont val="Calibri"/>
        <family val="2"/>
      </rPr>
      <t>)</t>
    </r>
  </si>
  <si>
    <t>(-) Inspeção de MP</t>
  </si>
  <si>
    <t>(-) Armaz de MP</t>
  </si>
  <si>
    <t>(-) Control de estoques</t>
  </si>
  <si>
    <t>(-) Process produtos</t>
  </si>
  <si>
    <t>(-) Control de process</t>
  </si>
  <si>
    <t>Nº de lotes inspecion</t>
  </si>
  <si>
    <t>Nº de pedidos produtos</t>
  </si>
  <si>
    <t>Horas máq de process</t>
  </si>
  <si>
    <t>Horas engenheiros</t>
  </si>
  <si>
    <t>%</t>
  </si>
  <si>
    <t>DECISÕES ESTRATÉGICAS (longo prazo)</t>
  </si>
  <si>
    <t>INÍCIO DAS ATIVIDADES</t>
  </si>
  <si>
    <t>Capital</t>
  </si>
  <si>
    <t>Obra contratada - pavimentação de 100km de rodovia</t>
  </si>
  <si>
    <t>ANO X4</t>
  </si>
  <si>
    <t>Valores recebidos</t>
  </si>
  <si>
    <t>Custos incorridos e pagos</t>
  </si>
  <si>
    <t>(=) FLUXOD E CAIXA</t>
  </si>
  <si>
    <t>(-) Custo da construção</t>
  </si>
  <si>
    <t>31/12/X1</t>
  </si>
  <si>
    <t>31/12/X2</t>
  </si>
  <si>
    <t>31/12/X3</t>
  </si>
  <si>
    <t>Estoq obras em andamto</t>
  </si>
  <si>
    <t>Adiantamto de clientes</t>
  </si>
  <si>
    <t>MP Adquirida</t>
  </si>
  <si>
    <t>Custo de aquisição</t>
  </si>
  <si>
    <t>Custo da MP</t>
  </si>
  <si>
    <t>(-) Impostos recuperáveis</t>
  </si>
  <si>
    <t>(=) Custo da MP</t>
  </si>
  <si>
    <t>(-) Subproduto</t>
  </si>
  <si>
    <t>Fundição</t>
  </si>
  <si>
    <t>Input</t>
  </si>
  <si>
    <t>Output</t>
  </si>
  <si>
    <t>Usinagem</t>
  </si>
  <si>
    <t>Subprodutos (rebarbas)</t>
  </si>
  <si>
    <t>(=) SOMA</t>
  </si>
  <si>
    <t>Fornecedores</t>
  </si>
  <si>
    <t>Custo de produção</t>
  </si>
  <si>
    <t>ICMS a recuperar</t>
  </si>
  <si>
    <t>Estoque de subproduto</t>
  </si>
  <si>
    <t>Disponibilidade</t>
  </si>
  <si>
    <r>
      <t>Contabilização no momento da venda dos subprodutos (</t>
    </r>
    <r>
      <rPr>
        <b/>
        <u val="single"/>
        <sz val="11"/>
        <color indexed="8"/>
        <rFont val="Calibri"/>
        <family val="2"/>
      </rPr>
      <t>suposição</t>
    </r>
    <r>
      <rPr>
        <sz val="11"/>
        <color theme="1"/>
        <rFont val="Calibri"/>
        <family val="2"/>
      </rPr>
      <t xml:space="preserve"> de que sejam vendidos por $2,10/kg)</t>
    </r>
  </si>
  <si>
    <t>Milho processado</t>
  </si>
  <si>
    <t>Produção (kg)</t>
  </si>
  <si>
    <t>Vendas (kg)</t>
  </si>
  <si>
    <t>Preço por kg</t>
  </si>
  <si>
    <t>Quirera</t>
  </si>
  <si>
    <t>Fubá</t>
  </si>
  <si>
    <t>Germe</t>
  </si>
  <si>
    <t>MO</t>
  </si>
  <si>
    <t>Outros custos</t>
  </si>
  <si>
    <t>CUSTOS CONJUNTOS</t>
  </si>
  <si>
    <t>ALOCAÇÃO DOS CUSTOS CONJUNTOS COM BASE NO VOLUME</t>
  </si>
  <si>
    <t>PRODUTOS</t>
  </si>
  <si>
    <t>CUSTO</t>
  </si>
  <si>
    <t>ESTOQUE FINAL</t>
  </si>
  <si>
    <t>LUCRO BRUTO</t>
  </si>
  <si>
    <t>$</t>
  </si>
  <si>
    <t>ALOCAÇÃO DOS CUSTOS CONJUNTOS COM BASE NO PREÇO</t>
  </si>
  <si>
    <t>Semana</t>
  </si>
  <si>
    <t>dias</t>
  </si>
  <si>
    <t>Jornada</t>
  </si>
  <si>
    <t>horas/dia</t>
  </si>
  <si>
    <t>horas/semana</t>
  </si>
  <si>
    <t>CONTRIBUIÇÕES</t>
  </si>
  <si>
    <t>INSS</t>
  </si>
  <si>
    <t>Terceiros (Sistema S)</t>
  </si>
  <si>
    <t>Seguro</t>
  </si>
  <si>
    <t>FGTS</t>
  </si>
  <si>
    <t>DIAS À DISPOSIÇÃO DA EMPRESA</t>
  </si>
  <si>
    <t>Dias no ano</t>
  </si>
  <si>
    <t>(-) Repousos semanais</t>
  </si>
  <si>
    <t>(-) Férias</t>
  </si>
  <si>
    <t>(-) Feriados</t>
  </si>
  <si>
    <t>(-) Faltas justificadas</t>
  </si>
  <si>
    <t>(=) DIAS À DISPOSIÇÃO NO ANO</t>
  </si>
  <si>
    <t>HORAS À DISPOSIÇÃO NO ANO</t>
  </si>
  <si>
    <t>CUSTO ANUAL DO EMPREGADO</t>
  </si>
  <si>
    <t>Salário</t>
  </si>
  <si>
    <t>(+) Faltas justificadas</t>
  </si>
  <si>
    <t>(+) Feriados</t>
  </si>
  <si>
    <t>(+) Repousos semanais</t>
  </si>
  <si>
    <t>(+) 13º salário</t>
  </si>
  <si>
    <t>(+) Férias</t>
  </si>
  <si>
    <t>(+) Adicional de férias</t>
  </si>
  <si>
    <t>(+) INSS</t>
  </si>
  <si>
    <t>(+) Sistema S</t>
  </si>
  <si>
    <t>(+) Seguro</t>
  </si>
  <si>
    <t>(+) FGTS</t>
  </si>
  <si>
    <t>(=) CUSTO TOTAL ANUAL</t>
  </si>
  <si>
    <t>CUSTO POR HORA</t>
  </si>
  <si>
    <t xml:space="preserve">Custo de MOD </t>
  </si>
  <si>
    <t>Salários a pagar</t>
  </si>
  <si>
    <t>Provisão de 13º salário</t>
  </si>
  <si>
    <t>Suposição = débito de 1500 horas de MOD em determinado lote de produção</t>
  </si>
  <si>
    <t>Provisão de férias</t>
  </si>
  <si>
    <t>INSS a recolher (inclui terc e seguro)</t>
  </si>
  <si>
    <t>FGTS a recolher</t>
  </si>
  <si>
    <t>Meses</t>
  </si>
  <si>
    <t>$ total</t>
  </si>
  <si>
    <t>Salário Maria</t>
  </si>
  <si>
    <t>por mês</t>
  </si>
  <si>
    <t>Férias (2/3)</t>
  </si>
  <si>
    <t>Abono pecuniário</t>
  </si>
  <si>
    <t>13º salário</t>
  </si>
  <si>
    <t>Adicional constitucional</t>
  </si>
  <si>
    <t>Sistema S</t>
  </si>
  <si>
    <t>Custo ou despesa com MO</t>
  </si>
  <si>
    <t>Provisão de 13º</t>
  </si>
  <si>
    <t>INSS a pagar</t>
  </si>
  <si>
    <t>Maria = 1 mês</t>
  </si>
  <si>
    <t>Salário João</t>
  </si>
  <si>
    <t>João = 1 mês</t>
  </si>
  <si>
    <t>Custo dos encargos</t>
  </si>
  <si>
    <t>ano 1</t>
  </si>
  <si>
    <t>ano 2</t>
  </si>
  <si>
    <t>ano 3</t>
  </si>
  <si>
    <t>ano 4</t>
  </si>
  <si>
    <t>ano 5</t>
  </si>
  <si>
    <t>ano 6</t>
  </si>
  <si>
    <t>Custo previsto da obra</t>
  </si>
  <si>
    <t>Custo realizado da obra</t>
  </si>
  <si>
    <t>Horas previstas</t>
  </si>
  <si>
    <t>Horas realizadas</t>
  </si>
  <si>
    <t>% realização da obra - base=custo</t>
  </si>
  <si>
    <t>% dos recebimentos</t>
  </si>
  <si>
    <t>(-) Custo</t>
  </si>
  <si>
    <t>31/12/A1</t>
  </si>
  <si>
    <t>31/12/A2</t>
  </si>
  <si>
    <t>31/12/A3</t>
  </si>
  <si>
    <t>31/12/A4</t>
  </si>
  <si>
    <t>31/12/A5</t>
  </si>
  <si>
    <t>Lucros acumulados</t>
  </si>
  <si>
    <t>Adiantamento de clientes</t>
  </si>
  <si>
    <t>% realização da obra - base=horas</t>
  </si>
  <si>
    <t>Custo a incorrer</t>
  </si>
  <si>
    <t>Estoque de construções</t>
  </si>
  <si>
    <t>Ano X0</t>
  </si>
  <si>
    <t>Ano X1</t>
  </si>
  <si>
    <t>Ano X2</t>
  </si>
  <si>
    <t>Ano X3</t>
  </si>
  <si>
    <t>Receita</t>
  </si>
  <si>
    <t>31/12/X0</t>
  </si>
  <si>
    <t>% Recebimento acumulado</t>
  </si>
  <si>
    <t>% evolução da obra</t>
  </si>
  <si>
    <t>"RESULTADO"</t>
  </si>
  <si>
    <t>C1</t>
  </si>
  <si>
    <t>C2</t>
  </si>
  <si>
    <t>C3</t>
  </si>
  <si>
    <t>(=) "RESULTADO"</t>
  </si>
  <si>
    <t>(-) Saídas de caixa - identificadas</t>
  </si>
  <si>
    <t>(-) Saídas de caixa - comuns</t>
  </si>
  <si>
    <t>(=) "MC"</t>
  </si>
  <si>
    <t>KG</t>
  </si>
  <si>
    <t>Matéria prima colocada na produção</t>
  </si>
  <si>
    <t>Produtos acabados</t>
  </si>
  <si>
    <t>Produtos em elaboração (2/3 de acabam)</t>
  </si>
  <si>
    <t>Equivalente de produção</t>
  </si>
  <si>
    <t>Perdas normais no processo (sucata)</t>
  </si>
  <si>
    <t>CUSTOS DE PRODUÇÃO</t>
  </si>
  <si>
    <t>Custo da MP por kg</t>
  </si>
  <si>
    <t>Custo da MOD por kg</t>
  </si>
  <si>
    <t>Custos indiretos por kg</t>
  </si>
  <si>
    <t>ESTOQUE FINAL DE PRODUTOS EM ELABORAÇÃO</t>
  </si>
  <si>
    <t>MOD</t>
  </si>
  <si>
    <t>ENCERADEIRAS</t>
  </si>
  <si>
    <t>ASPIRADORES</t>
  </si>
  <si>
    <t>Quantidade (unidades)</t>
  </si>
  <si>
    <t>(-) Materiais diretos</t>
  </si>
  <si>
    <t>(-) Materiais de embalagem</t>
  </si>
  <si>
    <t>(-) Supervisão</t>
  </si>
  <si>
    <t>(-) Outros</t>
  </si>
  <si>
    <t>Horas de produção</t>
  </si>
  <si>
    <t>RESULTADO (ABSORÇÃO)</t>
  </si>
  <si>
    <t>RESULTADO (DIRETO/VARIÁVEL)</t>
  </si>
  <si>
    <t>(-) MC</t>
  </si>
  <si>
    <t>Custos fixos ($/semana)</t>
  </si>
  <si>
    <t>Despesas fixas ($/semana)</t>
  </si>
  <si>
    <t>Custos e despesas fixos ($/semana)</t>
  </si>
  <si>
    <t>Carrinhos de chá</t>
  </si>
  <si>
    <t>Estantes</t>
  </si>
  <si>
    <t>CUSTOS E DESPESAS VARIÁVEIS</t>
  </si>
  <si>
    <t>Materiais</t>
  </si>
  <si>
    <t>Comissões</t>
  </si>
  <si>
    <t>Frete</t>
  </si>
  <si>
    <t>PEDIDO 1</t>
  </si>
  <si>
    <t>PEDIDO 2</t>
  </si>
  <si>
    <t>Quantidades (unidades)</t>
  </si>
  <si>
    <t>(-) Custos e despesas variáveis</t>
  </si>
  <si>
    <t>(=) MC</t>
  </si>
  <si>
    <t>(=) RESULTADO OPERACIONAL</t>
  </si>
  <si>
    <t>3 SEMANAS</t>
  </si>
  <si>
    <t>4 SEMANAS</t>
  </si>
  <si>
    <t>(-) CDF - semanas trabalhadas</t>
  </si>
  <si>
    <t>(-) CDF - semanas ociosa</t>
  </si>
  <si>
    <t>$/ton</t>
  </si>
  <si>
    <t>(-) Custos variáveis</t>
  </si>
  <si>
    <t>(-) Impostos sobre venda</t>
  </si>
  <si>
    <t>Preço de venda - bruto</t>
  </si>
  <si>
    <t>(=) Preço de venda - líquido</t>
  </si>
  <si>
    <t>(-) Comissões sobre venda</t>
  </si>
  <si>
    <t>Custos e despesas fixos</t>
  </si>
  <si>
    <t>$/mês</t>
  </si>
  <si>
    <t>Depreciações</t>
  </si>
  <si>
    <t>Capital investido</t>
  </si>
  <si>
    <t>Custo do capital investido</t>
  </si>
  <si>
    <t>(=) MC BRUTA</t>
  </si>
  <si>
    <t>(=) MC LÍQUIDA</t>
  </si>
  <si>
    <t>Quantidade (ton/mês)</t>
  </si>
  <si>
    <t>Receita bruta de venda</t>
  </si>
  <si>
    <t>(=) Receita líquida de venda</t>
  </si>
  <si>
    <t>(=) MARGEM DE CONTRIBUIÇÃO</t>
  </si>
  <si>
    <t>(-) Custos e despesas fixos</t>
  </si>
  <si>
    <t>SIMULAÇÃO DE RESULTADO ($/MÊS)</t>
  </si>
  <si>
    <t>(=) EBIT</t>
  </si>
  <si>
    <t>(=) NOPAT</t>
  </si>
  <si>
    <t>(-) Custo do capital</t>
  </si>
  <si>
    <t>(=) EVA®</t>
  </si>
  <si>
    <t>PEC (ton/mês)</t>
  </si>
  <si>
    <t>PEE (ton/mês)</t>
  </si>
  <si>
    <t>PEF1 (ton/mês)</t>
  </si>
  <si>
    <t>NOPAT</t>
  </si>
  <si>
    <t>(+) Depreciação</t>
  </si>
  <si>
    <t>(=) CAIXA OPERACIONAL</t>
  </si>
  <si>
    <t>Parcela mensal da dívida</t>
  </si>
  <si>
    <t>PEF2 (ton/mês)</t>
  </si>
  <si>
    <t>Camisas</t>
  </si>
  <si>
    <t>Blusas</t>
  </si>
  <si>
    <t>Calças</t>
  </si>
  <si>
    <t>Vendas mensais (unidades)</t>
  </si>
  <si>
    <t>Preço unitário</t>
  </si>
  <si>
    <t>Custos e despesas variáveis por unidade</t>
  </si>
  <si>
    <t>Alíquota de IR</t>
  </si>
  <si>
    <t>Custos e despesas fixos por ano</t>
  </si>
  <si>
    <t>Vendas mensais (%)</t>
  </si>
  <si>
    <t>Preço médio de venda por peça</t>
  </si>
  <si>
    <t>Custos e despesas variáveis médios por peça</t>
  </si>
  <si>
    <t>Custos e despesas fixos operacionais</t>
  </si>
  <si>
    <t>PEC (peças/mês)</t>
  </si>
  <si>
    <t>MC média por peça - bruta</t>
  </si>
  <si>
    <t>MC média por peça - líquida</t>
  </si>
  <si>
    <t>PEE (peças/mês)</t>
  </si>
  <si>
    <t>PEF (peças/mês)</t>
  </si>
  <si>
    <t>* calcular NOPAT, EVA e cx operacional com base nos indicadores</t>
  </si>
  <si>
    <t>* MONTAR DREs com as simulações (NOPAT, EVA e CX OPERAC)</t>
  </si>
  <si>
    <t>* MS e GAO</t>
  </si>
  <si>
    <t>* Análise ECONÔMICA e FINANCEIRA</t>
  </si>
  <si>
    <t>Peças/mês</t>
  </si>
  <si>
    <t>Vendas</t>
  </si>
  <si>
    <t>EVA®</t>
  </si>
  <si>
    <t>Caixa operacional</t>
  </si>
  <si>
    <t>Depreciação</t>
  </si>
  <si>
    <t>(-) CDV</t>
  </si>
  <si>
    <t>(-) CDF</t>
  </si>
  <si>
    <t>(-) Custo total do capital investido (terceiros + sócios)</t>
  </si>
  <si>
    <t xml:space="preserve">(=) EVA® </t>
  </si>
  <si>
    <t>DRE - VENDAS ATUAIS</t>
  </si>
  <si>
    <t>DRE - PONTO DE EQUILÍBRIO CONTÁBIL</t>
  </si>
  <si>
    <t>DRE - PONTO DE EQUILÍBRIO ECONÔMICO</t>
  </si>
  <si>
    <t>DRE - PONTO DE EQUILÍBRIO FINANCEIRO</t>
  </si>
  <si>
    <t>Número de apartamentos</t>
  </si>
  <si>
    <t>Capacidade anual (diárias)</t>
  </si>
  <si>
    <t>$/diária</t>
  </si>
  <si>
    <t>Preço de venda médio</t>
  </si>
  <si>
    <t>(-) MC BRUTA</t>
  </si>
  <si>
    <t>(-) MC LÍQUIDA</t>
  </si>
  <si>
    <t>CDF anuais</t>
  </si>
  <si>
    <t>Custo do capital investido ($/ano)</t>
  </si>
  <si>
    <t>Diárias/ano</t>
  </si>
  <si>
    <t>Tx de ocupação</t>
  </si>
  <si>
    <t>PEC</t>
  </si>
  <si>
    <t>PEE</t>
  </si>
  <si>
    <t>PEF</t>
  </si>
  <si>
    <t>VENDAS</t>
  </si>
  <si>
    <t>Lucro operacional anual</t>
  </si>
  <si>
    <t>EVA® anual</t>
  </si>
  <si>
    <t>Variação volume</t>
  </si>
  <si>
    <t>Variação NOPAT</t>
  </si>
  <si>
    <t>GAO</t>
  </si>
  <si>
    <t>$/ANO</t>
  </si>
  <si>
    <t>(-) Custo do capital investido</t>
  </si>
  <si>
    <t>(=) Caixa operacional</t>
  </si>
  <si>
    <t>VARIAÇ</t>
  </si>
  <si>
    <t>Taxa de ocupação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</si>
</sst>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[$-416]d\-mmm;@"/>
    <numFmt numFmtId="166" formatCode="#,##0.0"/>
    <numFmt numFmtId="167" formatCode="#,##0.000"/>
    <numFmt numFmtId="168" formatCode="0.0%"/>
    <numFmt numFmtId="169" formatCode="#,##0.00000"/>
    <numFmt numFmtId="170" formatCode="#,##0.0000_);\(#,##0.0000\)"/>
    <numFmt numFmtId="171" formatCode="0.0"/>
    <numFmt numFmtId="172" formatCode="0.000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ndara"/>
      <family val="2"/>
    </font>
    <font>
      <b/>
      <i/>
      <sz val="11"/>
      <color indexed="8"/>
      <name val="Candara"/>
      <family val="2"/>
    </font>
    <font>
      <b/>
      <sz val="8"/>
      <name val="Tahoma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color indexed="55"/>
      <name val="Calibri"/>
      <family val="2"/>
    </font>
    <font>
      <i/>
      <sz val="10"/>
      <color indexed="55"/>
      <name val="Calibri"/>
      <family val="2"/>
    </font>
    <font>
      <i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ndara"/>
      <family val="2"/>
    </font>
    <font>
      <b/>
      <i/>
      <sz val="11"/>
      <color theme="1"/>
      <name val="Candara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1"/>
      <color theme="0" tint="-0.4999699890613556"/>
      <name val="Calibri"/>
      <family val="2"/>
    </font>
    <font>
      <sz val="10"/>
      <color theme="0" tint="-0.3499799966812134"/>
      <name val="Calibri"/>
      <family val="2"/>
    </font>
    <font>
      <i/>
      <sz val="10"/>
      <color theme="0" tint="-0.3499799966812134"/>
      <name val="Calibri"/>
      <family val="2"/>
    </font>
    <font>
      <i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420">
    <xf numFmtId="0" fontId="0" fillId="0" borderId="0" xfId="0" applyFont="1" applyAlignment="1">
      <alignment/>
    </xf>
    <xf numFmtId="3" fontId="0" fillId="33" borderId="0" xfId="0" applyNumberFormat="1" applyFill="1" applyAlignment="1">
      <alignment horizontal="center" vertical="center" wrapText="1"/>
    </xf>
    <xf numFmtId="3" fontId="0" fillId="33" borderId="0" xfId="0" applyNumberFormat="1" applyFill="1" applyAlignment="1">
      <alignment horizontal="left" vertical="center" wrapText="1"/>
    </xf>
    <xf numFmtId="3" fontId="0" fillId="33" borderId="10" xfId="0" applyNumberFormat="1" applyFill="1" applyBorder="1" applyAlignment="1">
      <alignment horizontal="left" vertical="center" wrapText="1"/>
    </xf>
    <xf numFmtId="3" fontId="0" fillId="33" borderId="11" xfId="0" applyNumberFormat="1" applyFill="1" applyBorder="1" applyAlignment="1">
      <alignment horizontal="center" vertical="center" wrapText="1"/>
    </xf>
    <xf numFmtId="3" fontId="0" fillId="33" borderId="12" xfId="0" applyNumberFormat="1" applyFill="1" applyBorder="1" applyAlignment="1">
      <alignment horizontal="left" vertical="center" wrapText="1"/>
    </xf>
    <xf numFmtId="3" fontId="0" fillId="33" borderId="13" xfId="0" applyNumberFormat="1" applyFill="1" applyBorder="1" applyAlignment="1">
      <alignment horizontal="center" vertical="center" wrapText="1"/>
    </xf>
    <xf numFmtId="3" fontId="0" fillId="33" borderId="14" xfId="0" applyNumberFormat="1" applyFill="1" applyBorder="1" applyAlignment="1">
      <alignment horizontal="left" vertical="center" wrapText="1"/>
    </xf>
    <xf numFmtId="3" fontId="0" fillId="33" borderId="15" xfId="0" applyNumberFormat="1" applyFill="1" applyBorder="1" applyAlignment="1">
      <alignment horizontal="center" vertical="center" wrapText="1"/>
    </xf>
    <xf numFmtId="3" fontId="53" fillId="33" borderId="0" xfId="0" applyNumberFormat="1" applyFont="1" applyFill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49" fontId="53" fillId="33" borderId="16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3" fontId="0" fillId="33" borderId="0" xfId="0" applyNumberFormat="1" applyFill="1" applyBorder="1" applyAlignment="1">
      <alignment horizontal="center" vertical="center" wrapText="1"/>
    </xf>
    <xf numFmtId="3" fontId="0" fillId="33" borderId="17" xfId="0" applyNumberFormat="1" applyFill="1" applyBorder="1" applyAlignment="1">
      <alignment horizontal="center" vertical="center" wrapText="1"/>
    </xf>
    <xf numFmtId="3" fontId="53" fillId="33" borderId="14" xfId="0" applyNumberFormat="1" applyFont="1" applyFill="1" applyBorder="1" applyAlignment="1">
      <alignment horizontal="left" vertical="center" wrapText="1"/>
    </xf>
    <xf numFmtId="3" fontId="53" fillId="33" borderId="17" xfId="0" applyNumberFormat="1" applyFont="1" applyFill="1" applyBorder="1" applyAlignment="1">
      <alignment horizontal="center" vertical="center" wrapText="1"/>
    </xf>
    <xf numFmtId="3" fontId="53" fillId="33" borderId="15" xfId="0" applyNumberFormat="1" applyFont="1" applyFill="1" applyBorder="1" applyAlignment="1">
      <alignment horizontal="center" vertical="center" wrapText="1"/>
    </xf>
    <xf numFmtId="3" fontId="0" fillId="33" borderId="16" xfId="0" applyNumberFormat="1" applyFill="1" applyBorder="1" applyAlignment="1">
      <alignment horizontal="center" vertical="center" wrapText="1"/>
    </xf>
    <xf numFmtId="3" fontId="53" fillId="33" borderId="16" xfId="0" applyNumberFormat="1" applyFont="1" applyFill="1" applyBorder="1" applyAlignment="1">
      <alignment horizontal="center" vertical="center" wrapText="1"/>
    </xf>
    <xf numFmtId="3" fontId="53" fillId="33" borderId="11" xfId="0" applyNumberFormat="1" applyFont="1" applyFill="1" applyBorder="1" applyAlignment="1">
      <alignment horizontal="center" vertical="center" wrapText="1"/>
    </xf>
    <xf numFmtId="3" fontId="54" fillId="33" borderId="14" xfId="0" applyNumberFormat="1" applyFont="1" applyFill="1" applyBorder="1" applyAlignment="1">
      <alignment horizontal="center" vertical="center" wrapText="1"/>
    </xf>
    <xf numFmtId="3" fontId="54" fillId="33" borderId="17" xfId="0" applyNumberFormat="1" applyFont="1" applyFill="1" applyBorder="1" applyAlignment="1">
      <alignment horizontal="center" vertical="center" wrapText="1"/>
    </xf>
    <xf numFmtId="3" fontId="54" fillId="33" borderId="15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54" fillId="33" borderId="12" xfId="0" applyNumberFormat="1" applyFont="1" applyFill="1" applyBorder="1" applyAlignment="1">
      <alignment horizontal="center" vertical="center" wrapText="1"/>
    </xf>
    <xf numFmtId="3" fontId="54" fillId="33" borderId="0" xfId="0" applyNumberFormat="1" applyFont="1" applyFill="1" applyBorder="1" applyAlignment="1">
      <alignment horizontal="center" vertical="center" wrapText="1"/>
    </xf>
    <xf numFmtId="3" fontId="54" fillId="33" borderId="13" xfId="0" applyNumberFormat="1" applyFont="1" applyFill="1" applyBorder="1" applyAlignment="1">
      <alignment horizontal="center" vertical="center" wrapText="1"/>
    </xf>
    <xf numFmtId="3" fontId="53" fillId="33" borderId="0" xfId="0" applyNumberFormat="1" applyFont="1" applyFill="1" applyBorder="1" applyAlignment="1">
      <alignment horizontal="center" vertical="center" wrapText="1"/>
    </xf>
    <xf numFmtId="3" fontId="53" fillId="33" borderId="12" xfId="0" applyNumberFormat="1" applyFont="1" applyFill="1" applyBorder="1" applyAlignment="1">
      <alignment horizontal="left" vertical="center" wrapText="1"/>
    </xf>
    <xf numFmtId="3" fontId="53" fillId="33" borderId="13" xfId="0" applyNumberFormat="1" applyFont="1" applyFill="1" applyBorder="1" applyAlignment="1">
      <alignment horizontal="center" vertical="center" wrapText="1"/>
    </xf>
    <xf numFmtId="165" fontId="53" fillId="33" borderId="16" xfId="0" applyNumberFormat="1" applyFont="1" applyFill="1" applyBorder="1" applyAlignment="1">
      <alignment horizontal="center" vertical="center" wrapText="1"/>
    </xf>
    <xf numFmtId="165" fontId="53" fillId="33" borderId="11" xfId="0" applyNumberFormat="1" applyFont="1" applyFill="1" applyBorder="1" applyAlignment="1">
      <alignment horizontal="center" vertical="center" wrapText="1"/>
    </xf>
    <xf numFmtId="3" fontId="54" fillId="33" borderId="12" xfId="0" applyNumberFormat="1" applyFont="1" applyFill="1" applyBorder="1" applyAlignment="1">
      <alignment horizontal="left" vertical="center" wrapText="1"/>
    </xf>
    <xf numFmtId="3" fontId="55" fillId="33" borderId="14" xfId="0" applyNumberFormat="1" applyFont="1" applyFill="1" applyBorder="1" applyAlignment="1">
      <alignment horizontal="left" vertical="center" wrapText="1"/>
    </xf>
    <xf numFmtId="3" fontId="55" fillId="33" borderId="17" xfId="0" applyNumberFormat="1" applyFont="1" applyFill="1" applyBorder="1" applyAlignment="1">
      <alignment horizontal="center" vertical="center" wrapText="1"/>
    </xf>
    <xf numFmtId="3" fontId="55" fillId="33" borderId="15" xfId="0" applyNumberFormat="1" applyFont="1" applyFill="1" applyBorder="1" applyAlignment="1">
      <alignment horizontal="center" vertical="center" wrapText="1"/>
    </xf>
    <xf numFmtId="3" fontId="54" fillId="34" borderId="12" xfId="0" applyNumberFormat="1" applyFont="1" applyFill="1" applyBorder="1" applyAlignment="1">
      <alignment horizontal="left" vertical="center" wrapText="1"/>
    </xf>
    <xf numFmtId="3" fontId="54" fillId="34" borderId="0" xfId="0" applyNumberFormat="1" applyFont="1" applyFill="1" applyBorder="1" applyAlignment="1">
      <alignment horizontal="center" vertical="center" wrapText="1"/>
    </xf>
    <xf numFmtId="3" fontId="54" fillId="34" borderId="13" xfId="0" applyNumberFormat="1" applyFont="1" applyFill="1" applyBorder="1" applyAlignment="1">
      <alignment horizontal="center" vertical="center" wrapText="1"/>
    </xf>
    <xf numFmtId="3" fontId="53" fillId="33" borderId="0" xfId="0" applyNumberFormat="1" applyFont="1" applyFill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3" fontId="53" fillId="33" borderId="11" xfId="0" applyNumberFormat="1" applyFont="1" applyFill="1" applyBorder="1" applyAlignment="1">
      <alignment horizontal="center" vertical="center" wrapText="1"/>
    </xf>
    <xf numFmtId="3" fontId="53" fillId="33" borderId="12" xfId="0" applyNumberFormat="1" applyFont="1" applyFill="1" applyBorder="1" applyAlignment="1">
      <alignment horizontal="center" vertical="center" wrapText="1"/>
    </xf>
    <xf numFmtId="166" fontId="0" fillId="33" borderId="12" xfId="0" applyNumberFormat="1" applyFill="1" applyBorder="1" applyAlignment="1">
      <alignment horizontal="center" vertical="center" wrapText="1"/>
    </xf>
    <xf numFmtId="166" fontId="53" fillId="33" borderId="14" xfId="0" applyNumberFormat="1" applyFont="1" applyFill="1" applyBorder="1" applyAlignment="1">
      <alignment horizontal="center" vertical="center" wrapText="1"/>
    </xf>
    <xf numFmtId="3" fontId="53" fillId="33" borderId="18" xfId="0" applyNumberFormat="1" applyFont="1" applyFill="1" applyBorder="1" applyAlignment="1">
      <alignment horizontal="center" vertical="center" wrapText="1"/>
    </xf>
    <xf numFmtId="3" fontId="53" fillId="33" borderId="19" xfId="0" applyNumberFormat="1" applyFont="1" applyFill="1" applyBorder="1" applyAlignment="1">
      <alignment horizontal="center" vertical="center" wrapText="1"/>
    </xf>
    <xf numFmtId="3" fontId="53" fillId="33" borderId="20" xfId="0" applyNumberFormat="1" applyFont="1" applyFill="1" applyBorder="1" applyAlignment="1">
      <alignment horizontal="center" vertical="center" wrapText="1"/>
    </xf>
    <xf numFmtId="3" fontId="0" fillId="33" borderId="12" xfId="0" applyNumberFormat="1" applyFill="1" applyBorder="1" applyAlignment="1">
      <alignment horizontal="center" vertical="center" wrapText="1"/>
    </xf>
    <xf numFmtId="166" fontId="0" fillId="33" borderId="10" xfId="0" applyNumberFormat="1" applyFill="1" applyBorder="1" applyAlignment="1">
      <alignment horizontal="center" vertical="center" wrapText="1"/>
    </xf>
    <xf numFmtId="3" fontId="53" fillId="33" borderId="20" xfId="0" applyNumberFormat="1" applyFont="1" applyFill="1" applyBorder="1" applyAlignment="1">
      <alignment horizontal="center" vertical="center" wrapText="1"/>
    </xf>
    <xf numFmtId="3" fontId="53" fillId="33" borderId="21" xfId="0" applyNumberFormat="1" applyFont="1" applyFill="1" applyBorder="1" applyAlignment="1">
      <alignment horizontal="center" vertical="center" wrapText="1"/>
    </xf>
    <xf numFmtId="3" fontId="53" fillId="33" borderId="21" xfId="0" applyNumberFormat="1" applyFont="1" applyFill="1" applyBorder="1" applyAlignment="1">
      <alignment horizontal="center" vertical="center" wrapText="1"/>
    </xf>
    <xf numFmtId="3" fontId="53" fillId="33" borderId="22" xfId="0" applyNumberFormat="1" applyFont="1" applyFill="1" applyBorder="1" applyAlignment="1">
      <alignment horizontal="center" vertical="center" wrapText="1"/>
    </xf>
    <xf numFmtId="3" fontId="53" fillId="33" borderId="23" xfId="0" applyNumberFormat="1" applyFont="1" applyFill="1" applyBorder="1" applyAlignment="1">
      <alignment horizontal="center" vertical="center" wrapText="1"/>
    </xf>
    <xf numFmtId="3" fontId="56" fillId="32" borderId="12" xfId="0" applyNumberFormat="1" applyFont="1" applyFill="1" applyBorder="1" applyAlignment="1">
      <alignment horizontal="center" vertical="center" wrapText="1"/>
    </xf>
    <xf numFmtId="3" fontId="56" fillId="32" borderId="0" xfId="0" applyNumberFormat="1" applyFont="1" applyFill="1" applyBorder="1" applyAlignment="1">
      <alignment vertical="center" wrapText="1"/>
    </xf>
    <xf numFmtId="3" fontId="56" fillId="32" borderId="0" xfId="0" applyNumberFormat="1" applyFont="1" applyFill="1" applyBorder="1" applyAlignment="1">
      <alignment horizontal="center" vertical="center" wrapText="1"/>
    </xf>
    <xf numFmtId="3" fontId="57" fillId="32" borderId="13" xfId="0" applyNumberFormat="1" applyFont="1" applyFill="1" applyBorder="1" applyAlignment="1">
      <alignment horizontal="center" vertical="center" wrapText="1"/>
    </xf>
    <xf numFmtId="3" fontId="56" fillId="32" borderId="14" xfId="0" applyNumberFormat="1" applyFont="1" applyFill="1" applyBorder="1" applyAlignment="1">
      <alignment horizontal="center" vertical="center" wrapText="1"/>
    </xf>
    <xf numFmtId="3" fontId="56" fillId="32" borderId="17" xfId="0" applyNumberFormat="1" applyFont="1" applyFill="1" applyBorder="1" applyAlignment="1">
      <alignment horizontal="center" vertical="center" wrapText="1"/>
    </xf>
    <xf numFmtId="3" fontId="57" fillId="32" borderId="15" xfId="0" applyNumberFormat="1" applyFont="1" applyFill="1" applyBorder="1" applyAlignment="1">
      <alignment horizontal="center" vertical="center" wrapText="1"/>
    </xf>
    <xf numFmtId="166" fontId="0" fillId="33" borderId="14" xfId="0" applyNumberFormat="1" applyFill="1" applyBorder="1" applyAlignment="1">
      <alignment horizontal="center" vertical="center" wrapText="1"/>
    </xf>
    <xf numFmtId="3" fontId="53" fillId="33" borderId="19" xfId="0" applyNumberFormat="1" applyFont="1" applyFill="1" applyBorder="1" applyAlignment="1">
      <alignment horizontal="center" vertical="center" wrapText="1"/>
    </xf>
    <xf numFmtId="3" fontId="0" fillId="33" borderId="14" xfId="0" applyNumberFormat="1" applyFill="1" applyBorder="1" applyAlignment="1">
      <alignment horizontal="center" vertical="center" wrapText="1"/>
    </xf>
    <xf numFmtId="4" fontId="0" fillId="33" borderId="15" xfId="0" applyNumberFormat="1" applyFill="1" applyBorder="1" applyAlignment="1">
      <alignment horizontal="center" vertical="center" wrapText="1"/>
    </xf>
    <xf numFmtId="3" fontId="0" fillId="33" borderId="0" xfId="0" applyNumberFormat="1" applyFill="1" applyBorder="1" applyAlignment="1">
      <alignment horizontal="left" vertical="center" wrapText="1"/>
    </xf>
    <xf numFmtId="3" fontId="53" fillId="33" borderId="0" xfId="0" applyNumberFormat="1" applyFont="1" applyFill="1" applyBorder="1" applyAlignment="1">
      <alignment horizontal="left" vertical="center" wrapText="1"/>
    </xf>
    <xf numFmtId="3" fontId="53" fillId="33" borderId="0" xfId="0" applyNumberFormat="1" applyFont="1" applyFill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3" fontId="53" fillId="33" borderId="11" xfId="0" applyNumberFormat="1" applyFont="1" applyFill="1" applyBorder="1" applyAlignment="1">
      <alignment horizontal="center" vertical="center" wrapText="1"/>
    </xf>
    <xf numFmtId="3" fontId="53" fillId="33" borderId="18" xfId="0" applyNumberFormat="1" applyFont="1" applyFill="1" applyBorder="1" applyAlignment="1">
      <alignment horizontal="center" vertical="center" wrapText="1"/>
    </xf>
    <xf numFmtId="3" fontId="53" fillId="33" borderId="19" xfId="0" applyNumberFormat="1" applyFont="1" applyFill="1" applyBorder="1" applyAlignment="1">
      <alignment horizontal="center" vertical="center" wrapText="1"/>
    </xf>
    <xf numFmtId="3" fontId="53" fillId="33" borderId="20" xfId="0" applyNumberFormat="1" applyFont="1" applyFill="1" applyBorder="1" applyAlignment="1">
      <alignment horizontal="center" vertical="center" wrapText="1"/>
    </xf>
    <xf numFmtId="3" fontId="53" fillId="33" borderId="22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left" vertical="center" wrapText="1"/>
    </xf>
    <xf numFmtId="167" fontId="0" fillId="33" borderId="0" xfId="0" applyNumberFormat="1" applyFill="1" applyBorder="1" applyAlignment="1">
      <alignment horizontal="center" vertical="center" wrapText="1"/>
    </xf>
    <xf numFmtId="3" fontId="54" fillId="35" borderId="12" xfId="0" applyNumberFormat="1" applyFont="1" applyFill="1" applyBorder="1" applyAlignment="1">
      <alignment horizontal="center" vertical="center" wrapText="1"/>
    </xf>
    <xf numFmtId="3" fontId="54" fillId="35" borderId="0" xfId="0" applyNumberFormat="1" applyFont="1" applyFill="1" applyBorder="1" applyAlignment="1">
      <alignment horizontal="center" vertical="center" wrapText="1"/>
    </xf>
    <xf numFmtId="3" fontId="54" fillId="35" borderId="13" xfId="0" applyNumberFormat="1" applyFont="1" applyFill="1" applyBorder="1" applyAlignment="1">
      <alignment horizontal="center" vertical="center" wrapText="1"/>
    </xf>
    <xf numFmtId="4" fontId="54" fillId="35" borderId="0" xfId="0" applyNumberFormat="1" applyFont="1" applyFill="1" applyBorder="1" applyAlignment="1">
      <alignment horizontal="center" vertical="center" wrapText="1"/>
    </xf>
    <xf numFmtId="3" fontId="55" fillId="35" borderId="13" xfId="0" applyNumberFormat="1" applyFont="1" applyFill="1" applyBorder="1" applyAlignment="1">
      <alignment horizontal="center" vertical="center" wrapText="1"/>
    </xf>
    <xf numFmtId="3" fontId="54" fillId="35" borderId="14" xfId="0" applyNumberFormat="1" applyFont="1" applyFill="1" applyBorder="1" applyAlignment="1">
      <alignment horizontal="center" vertical="center" wrapText="1"/>
    </xf>
    <xf numFmtId="3" fontId="54" fillId="35" borderId="17" xfId="0" applyNumberFormat="1" applyFont="1" applyFill="1" applyBorder="1" applyAlignment="1">
      <alignment horizontal="center" vertical="center" wrapText="1"/>
    </xf>
    <xf numFmtId="3" fontId="55" fillId="35" borderId="15" xfId="0" applyNumberFormat="1" applyFont="1" applyFill="1" applyBorder="1" applyAlignment="1">
      <alignment horizontal="center" vertical="center" wrapText="1"/>
    </xf>
    <xf numFmtId="3" fontId="0" fillId="33" borderId="19" xfId="0" applyNumberFormat="1" applyFill="1" applyBorder="1" applyAlignment="1">
      <alignment horizontal="center" vertical="center" wrapText="1"/>
    </xf>
    <xf numFmtId="3" fontId="53" fillId="33" borderId="14" xfId="0" applyNumberFormat="1" applyFont="1" applyFill="1" applyBorder="1" applyAlignment="1">
      <alignment horizontal="center" vertical="center" wrapText="1"/>
    </xf>
    <xf numFmtId="3" fontId="0" fillId="33" borderId="18" xfId="0" applyNumberFormat="1" applyFill="1" applyBorder="1" applyAlignment="1">
      <alignment horizontal="center" vertical="center" wrapText="1"/>
    </xf>
    <xf numFmtId="3" fontId="53" fillId="33" borderId="14" xfId="0" applyNumberFormat="1" applyFont="1" applyFill="1" applyBorder="1" applyAlignment="1">
      <alignment horizontal="center" vertical="center" wrapText="1"/>
    </xf>
    <xf numFmtId="3" fontId="53" fillId="33" borderId="15" xfId="0" applyNumberFormat="1" applyFont="1" applyFill="1" applyBorder="1" applyAlignment="1">
      <alignment horizontal="center" vertical="center" wrapText="1"/>
    </xf>
    <xf numFmtId="3" fontId="0" fillId="33" borderId="12" xfId="0" applyNumberFormat="1" applyFill="1" applyBorder="1" applyAlignment="1">
      <alignment vertical="center" wrapText="1"/>
    </xf>
    <xf numFmtId="3" fontId="53" fillId="33" borderId="14" xfId="0" applyNumberFormat="1" applyFont="1" applyFill="1" applyBorder="1" applyAlignment="1">
      <alignment vertical="center" wrapText="1"/>
    </xf>
    <xf numFmtId="3" fontId="0" fillId="33" borderId="18" xfId="0" applyNumberFormat="1" applyFill="1" applyBorder="1" applyAlignment="1">
      <alignment horizontal="left" vertical="center" wrapText="1"/>
    </xf>
    <xf numFmtId="3" fontId="0" fillId="33" borderId="19" xfId="0" applyNumberFormat="1" applyFill="1" applyBorder="1" applyAlignment="1">
      <alignment horizontal="left" vertical="center" wrapText="1"/>
    </xf>
    <xf numFmtId="3" fontId="53" fillId="33" borderId="20" xfId="0" applyNumberFormat="1" applyFont="1" applyFill="1" applyBorder="1" applyAlignment="1">
      <alignment horizontal="left" vertical="center" wrapText="1"/>
    </xf>
    <xf numFmtId="3" fontId="53" fillId="35" borderId="0" xfId="0" applyNumberFormat="1" applyFont="1" applyFill="1" applyAlignment="1">
      <alignment horizontal="center" vertical="center" wrapText="1"/>
    </xf>
    <xf numFmtId="3" fontId="54" fillId="35" borderId="0" xfId="0" applyNumberFormat="1" applyFont="1" applyFill="1" applyAlignment="1">
      <alignment horizontal="center" vertical="center" wrapText="1"/>
    </xf>
    <xf numFmtId="3" fontId="55" fillId="35" borderId="0" xfId="0" applyNumberFormat="1" applyFont="1" applyFill="1" applyAlignment="1">
      <alignment horizontal="center" vertical="center" wrapText="1"/>
    </xf>
    <xf numFmtId="3" fontId="53" fillId="33" borderId="21" xfId="0" applyNumberFormat="1" applyFont="1" applyFill="1" applyBorder="1" applyAlignment="1">
      <alignment horizontal="left" vertical="center" wrapText="1"/>
    </xf>
    <xf numFmtId="3" fontId="53" fillId="33" borderId="2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 horizontal="center" vertical="center" wrapText="1"/>
    </xf>
    <xf numFmtId="167" fontId="0" fillId="33" borderId="17" xfId="0" applyNumberFormat="1" applyFill="1" applyBorder="1" applyAlignment="1">
      <alignment horizontal="center" vertical="center" wrapText="1"/>
    </xf>
    <xf numFmtId="3" fontId="53" fillId="35" borderId="10" xfId="0" applyNumberFormat="1" applyFont="1" applyFill="1" applyBorder="1" applyAlignment="1">
      <alignment horizontal="center" vertical="center" wrapText="1"/>
    </xf>
    <xf numFmtId="3" fontId="54" fillId="35" borderId="12" xfId="0" applyNumberFormat="1" applyFont="1" applyFill="1" applyBorder="1" applyAlignment="1">
      <alignment horizontal="left" vertical="center" wrapText="1"/>
    </xf>
    <xf numFmtId="3" fontId="54" fillId="35" borderId="14" xfId="0" applyNumberFormat="1" applyFont="1" applyFill="1" applyBorder="1" applyAlignment="1">
      <alignment horizontal="left" vertical="center" wrapText="1"/>
    </xf>
    <xf numFmtId="3" fontId="54" fillId="35" borderId="10" xfId="0" applyNumberFormat="1" applyFont="1" applyFill="1" applyBorder="1" applyAlignment="1">
      <alignment horizontal="left" vertical="center" wrapText="1"/>
    </xf>
    <xf numFmtId="3" fontId="53" fillId="35" borderId="18" xfId="0" applyNumberFormat="1" applyFont="1" applyFill="1" applyBorder="1" applyAlignment="1">
      <alignment horizontal="center" vertical="center" wrapText="1"/>
    </xf>
    <xf numFmtId="3" fontId="55" fillId="35" borderId="18" xfId="0" applyNumberFormat="1" applyFont="1" applyFill="1" applyBorder="1" applyAlignment="1">
      <alignment horizontal="center" vertical="center" wrapText="1"/>
    </xf>
    <xf numFmtId="3" fontId="55" fillId="35" borderId="19" xfId="0" applyNumberFormat="1" applyFont="1" applyFill="1" applyBorder="1" applyAlignment="1">
      <alignment horizontal="center" vertical="center" wrapText="1"/>
    </xf>
    <xf numFmtId="3" fontId="55" fillId="35" borderId="20" xfId="0" applyNumberFormat="1" applyFont="1" applyFill="1" applyBorder="1" applyAlignment="1">
      <alignment horizontal="center" vertical="center" wrapText="1"/>
    </xf>
    <xf numFmtId="9" fontId="0" fillId="33" borderId="11" xfId="49" applyFont="1" applyFill="1" applyBorder="1" applyAlignment="1">
      <alignment horizontal="center" vertical="center" wrapText="1"/>
    </xf>
    <xf numFmtId="9" fontId="0" fillId="33" borderId="13" xfId="49" applyFont="1" applyFill="1" applyBorder="1" applyAlignment="1">
      <alignment horizontal="center" vertical="center" wrapText="1"/>
    </xf>
    <xf numFmtId="166" fontId="53" fillId="33" borderId="21" xfId="0" applyNumberFormat="1" applyFont="1" applyFill="1" applyBorder="1" applyAlignment="1">
      <alignment horizontal="center" vertical="center" wrapText="1"/>
    </xf>
    <xf numFmtId="9" fontId="53" fillId="33" borderId="22" xfId="49" applyFont="1" applyFill="1" applyBorder="1" applyAlignment="1">
      <alignment horizontal="center" vertical="center" wrapText="1"/>
    </xf>
    <xf numFmtId="9" fontId="0" fillId="33" borderId="15" xfId="49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3" fontId="53" fillId="33" borderId="11" xfId="0" applyNumberFormat="1" applyFont="1" applyFill="1" applyBorder="1" applyAlignment="1">
      <alignment horizontal="center" vertical="center" wrapText="1"/>
    </xf>
    <xf numFmtId="3" fontId="53" fillId="33" borderId="15" xfId="0" applyNumberFormat="1" applyFont="1" applyFill="1" applyBorder="1" applyAlignment="1">
      <alignment horizontal="center" vertical="center" wrapText="1"/>
    </xf>
    <xf numFmtId="3" fontId="53" fillId="33" borderId="16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3" fontId="53" fillId="33" borderId="11" xfId="0" applyNumberFormat="1" applyFont="1" applyFill="1" applyBorder="1" applyAlignment="1">
      <alignment horizontal="center" vertical="center" wrapText="1"/>
    </xf>
    <xf numFmtId="3" fontId="53" fillId="33" borderId="14" xfId="0" applyNumberFormat="1" applyFont="1" applyFill="1" applyBorder="1" applyAlignment="1">
      <alignment horizontal="center" vertical="center" wrapText="1"/>
    </xf>
    <xf numFmtId="3" fontId="53" fillId="33" borderId="15" xfId="0" applyNumberFormat="1" applyFont="1" applyFill="1" applyBorder="1" applyAlignment="1">
      <alignment horizontal="center" vertical="center" wrapText="1"/>
    </xf>
    <xf numFmtId="3" fontId="53" fillId="33" borderId="16" xfId="0" applyNumberFormat="1" applyFont="1" applyFill="1" applyBorder="1" applyAlignment="1">
      <alignment horizontal="center" vertical="center" wrapText="1"/>
    </xf>
    <xf numFmtId="3" fontId="0" fillId="33" borderId="14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9" fontId="0" fillId="33" borderId="17" xfId="49" applyFont="1" applyFill="1" applyBorder="1" applyAlignment="1">
      <alignment horizontal="center" vertical="center" wrapText="1"/>
    </xf>
    <xf numFmtId="3" fontId="54" fillId="33" borderId="16" xfId="0" applyNumberFormat="1" applyFont="1" applyFill="1" applyBorder="1" applyAlignment="1">
      <alignment horizontal="center" vertical="center" wrapText="1"/>
    </xf>
    <xf numFmtId="3" fontId="54" fillId="33" borderId="11" xfId="0" applyNumberFormat="1" applyFont="1" applyFill="1" applyBorder="1" applyAlignment="1">
      <alignment horizontal="center" vertical="center" wrapText="1"/>
    </xf>
    <xf numFmtId="3" fontId="54" fillId="33" borderId="10" xfId="0" applyNumberFormat="1" applyFont="1" applyFill="1" applyBorder="1" applyAlignment="1">
      <alignment horizontal="left" vertical="center" wrapText="1"/>
    </xf>
    <xf numFmtId="3" fontId="54" fillId="33" borderId="14" xfId="0" applyNumberFormat="1" applyFont="1" applyFill="1" applyBorder="1" applyAlignment="1">
      <alignment horizontal="left" vertical="center" wrapText="1"/>
    </xf>
    <xf numFmtId="3" fontId="53" fillId="33" borderId="14" xfId="0" applyNumberFormat="1" applyFont="1" applyFill="1" applyBorder="1" applyAlignment="1">
      <alignment horizontal="center" vertical="center" wrapText="1"/>
    </xf>
    <xf numFmtId="3" fontId="53" fillId="33" borderId="15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54" fillId="36" borderId="0" xfId="0" applyNumberFormat="1" applyFont="1" applyFill="1" applyBorder="1" applyAlignment="1">
      <alignment horizontal="center" vertical="center" wrapText="1"/>
    </xf>
    <xf numFmtId="3" fontId="54" fillId="36" borderId="0" xfId="0" applyNumberFormat="1" applyFont="1" applyFill="1" applyBorder="1" applyAlignment="1">
      <alignment horizontal="left" vertical="center" wrapText="1"/>
    </xf>
    <xf numFmtId="3" fontId="58" fillId="33" borderId="10" xfId="0" applyNumberFormat="1" applyFont="1" applyFill="1" applyBorder="1" applyAlignment="1">
      <alignment horizontal="center" vertical="center" wrapText="1"/>
    </xf>
    <xf numFmtId="3" fontId="0" fillId="33" borderId="13" xfId="0" applyNumberFormat="1" applyFill="1" applyBorder="1" applyAlignment="1">
      <alignment horizontal="left" vertical="center" wrapText="1"/>
    </xf>
    <xf numFmtId="3" fontId="0" fillId="33" borderId="15" xfId="0" applyNumberFormat="1" applyFill="1" applyBorder="1" applyAlignment="1">
      <alignment horizontal="left" vertical="center" wrapText="1"/>
    </xf>
    <xf numFmtId="3" fontId="0" fillId="34" borderId="0" xfId="0" applyNumberForma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left" vertical="center" wrapText="1"/>
    </xf>
    <xf numFmtId="3" fontId="0" fillId="34" borderId="16" xfId="0" applyNumberFormat="1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3" fontId="0" fillId="34" borderId="14" xfId="0" applyNumberFormat="1" applyFill="1" applyBorder="1" applyAlignment="1">
      <alignment horizontal="left" vertical="center" wrapText="1"/>
    </xf>
    <xf numFmtId="3" fontId="0" fillId="34" borderId="17" xfId="0" applyNumberFormat="1" applyFill="1" applyBorder="1" applyAlignment="1">
      <alignment horizontal="center" vertical="center" wrapText="1"/>
    </xf>
    <xf numFmtId="3" fontId="0" fillId="34" borderId="15" xfId="0" applyNumberFormat="1" applyFill="1" applyBorder="1" applyAlignment="1">
      <alignment horizontal="center" vertical="center" wrapText="1"/>
    </xf>
    <xf numFmtId="3" fontId="0" fillId="34" borderId="12" xfId="0" applyNumberFormat="1" applyFill="1" applyBorder="1" applyAlignment="1">
      <alignment horizontal="left" vertical="center" wrapText="1"/>
    </xf>
    <xf numFmtId="3" fontId="0" fillId="34" borderId="13" xfId="0" applyNumberFormat="1" applyFill="1" applyBorder="1" applyAlignment="1">
      <alignment horizontal="center" vertical="center" wrapText="1"/>
    </xf>
    <xf numFmtId="166" fontId="0" fillId="33" borderId="13" xfId="0" applyNumberFormat="1" applyFill="1" applyBorder="1" applyAlignment="1">
      <alignment horizontal="center" vertical="center" wrapText="1"/>
    </xf>
    <xf numFmtId="3" fontId="53" fillId="33" borderId="17" xfId="0" applyNumberFormat="1" applyFont="1" applyFill="1" applyBorder="1" applyAlignment="1">
      <alignment horizontal="center" vertical="center" wrapText="1"/>
    </xf>
    <xf numFmtId="168" fontId="0" fillId="33" borderId="11" xfId="49" applyNumberFormat="1" applyFont="1" applyFill="1" applyBorder="1" applyAlignment="1">
      <alignment horizontal="center" vertical="center" wrapText="1"/>
    </xf>
    <xf numFmtId="168" fontId="0" fillId="33" borderId="13" xfId="49" applyNumberFormat="1" applyFont="1" applyFill="1" applyBorder="1" applyAlignment="1">
      <alignment horizontal="center" vertical="center" wrapText="1"/>
    </xf>
    <xf numFmtId="168" fontId="53" fillId="33" borderId="15" xfId="49" applyNumberFormat="1" applyFont="1" applyFill="1" applyBorder="1" applyAlignment="1">
      <alignment horizontal="center" vertical="center" wrapText="1"/>
    </xf>
    <xf numFmtId="9" fontId="53" fillId="33" borderId="15" xfId="49" applyFont="1" applyFill="1" applyBorder="1" applyAlignment="1">
      <alignment horizontal="center" vertical="center" wrapText="1"/>
    </xf>
    <xf numFmtId="3" fontId="53" fillId="33" borderId="21" xfId="0" applyNumberFormat="1" applyFont="1" applyFill="1" applyBorder="1" applyAlignment="1">
      <alignment horizontal="center" vertical="center" wrapText="1"/>
    </xf>
    <xf numFmtId="3" fontId="53" fillId="33" borderId="22" xfId="0" applyNumberFormat="1" applyFont="1" applyFill="1" applyBorder="1" applyAlignment="1">
      <alignment horizontal="center" vertical="center" wrapText="1"/>
    </xf>
    <xf numFmtId="3" fontId="53" fillId="33" borderId="14" xfId="0" applyNumberFormat="1" applyFont="1" applyFill="1" applyBorder="1" applyAlignment="1">
      <alignment horizontal="center" vertical="center" wrapText="1"/>
    </xf>
    <xf numFmtId="3" fontId="53" fillId="33" borderId="15" xfId="0" applyNumberFormat="1" applyFont="1" applyFill="1" applyBorder="1" applyAlignment="1">
      <alignment horizontal="center" vertical="center" wrapText="1"/>
    </xf>
    <xf numFmtId="3" fontId="53" fillId="33" borderId="24" xfId="0" applyNumberFormat="1" applyFont="1" applyFill="1" applyBorder="1" applyAlignment="1">
      <alignment horizontal="center" vertical="center" wrapText="1"/>
    </xf>
    <xf numFmtId="3" fontId="53" fillId="33" borderId="16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0" fillId="33" borderId="14" xfId="0" applyNumberFormat="1" applyFill="1" applyBorder="1" applyAlignment="1">
      <alignment horizontal="center" vertical="center" wrapText="1"/>
    </xf>
    <xf numFmtId="3" fontId="53" fillId="33" borderId="17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3" fontId="53" fillId="33" borderId="11" xfId="0" applyNumberFormat="1" applyFont="1" applyFill="1" applyBorder="1" applyAlignment="1">
      <alignment horizontal="center" vertical="center" wrapText="1"/>
    </xf>
    <xf numFmtId="3" fontId="53" fillId="33" borderId="15" xfId="0" applyNumberFormat="1" applyFont="1" applyFill="1" applyBorder="1" applyAlignment="1">
      <alignment horizontal="center" vertical="center" wrapText="1"/>
    </xf>
    <xf numFmtId="3" fontId="53" fillId="33" borderId="16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53" fillId="33" borderId="17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Border="1" applyAlignment="1">
      <alignment horizontal="center" vertical="center" wrapText="1"/>
    </xf>
    <xf numFmtId="166" fontId="0" fillId="33" borderId="16" xfId="0" applyNumberFormat="1" applyFill="1" applyBorder="1" applyAlignment="1">
      <alignment horizontal="center" vertical="center" wrapText="1"/>
    </xf>
    <xf numFmtId="166" fontId="0" fillId="33" borderId="17" xfId="0" applyNumberFormat="1" applyFill="1" applyBorder="1" applyAlignment="1">
      <alignment horizontal="center" vertical="center" wrapText="1"/>
    </xf>
    <xf numFmtId="3" fontId="55" fillId="33" borderId="10" xfId="0" applyNumberFormat="1" applyFont="1" applyFill="1" applyBorder="1" applyAlignment="1">
      <alignment horizontal="center" vertical="center" wrapText="1"/>
    </xf>
    <xf numFmtId="3" fontId="55" fillId="33" borderId="11" xfId="0" applyNumberFormat="1" applyFont="1" applyFill="1" applyBorder="1" applyAlignment="1">
      <alignment horizontal="center" vertical="center" wrapText="1"/>
    </xf>
    <xf numFmtId="3" fontId="55" fillId="33" borderId="21" xfId="0" applyNumberFormat="1" applyFont="1" applyFill="1" applyBorder="1" applyAlignment="1">
      <alignment horizontal="center" vertical="center" wrapText="1"/>
    </xf>
    <xf numFmtId="3" fontId="55" fillId="33" borderId="22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center" vertical="center" wrapText="1"/>
    </xf>
    <xf numFmtId="169" fontId="53" fillId="33" borderId="22" xfId="0" applyNumberFormat="1" applyFont="1" applyFill="1" applyBorder="1" applyAlignment="1">
      <alignment horizontal="center" vertical="center" wrapText="1"/>
    </xf>
    <xf numFmtId="4" fontId="0" fillId="33" borderId="16" xfId="0" applyNumberFormat="1" applyFill="1" applyBorder="1" applyAlignment="1">
      <alignment horizontal="center" vertical="center" wrapText="1"/>
    </xf>
    <xf numFmtId="4" fontId="0" fillId="33" borderId="11" xfId="0" applyNumberFormat="1" applyFill="1" applyBorder="1" applyAlignment="1">
      <alignment horizontal="center" vertical="center" wrapText="1"/>
    </xf>
    <xf numFmtId="4" fontId="0" fillId="33" borderId="13" xfId="0" applyNumberForma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3" fontId="0" fillId="33" borderId="21" xfId="0" applyNumberFormat="1" applyFill="1" applyBorder="1" applyAlignment="1">
      <alignment horizontal="center" vertical="center" wrapText="1"/>
    </xf>
    <xf numFmtId="3" fontId="0" fillId="33" borderId="24" xfId="0" applyNumberFormat="1" applyFill="1" applyBorder="1" applyAlignment="1">
      <alignment horizontal="center" vertical="center" wrapText="1"/>
    </xf>
    <xf numFmtId="3" fontId="0" fillId="33" borderId="22" xfId="0" applyNumberFormat="1" applyFill="1" applyBorder="1" applyAlignment="1">
      <alignment horizontal="center" vertical="center" wrapText="1"/>
    </xf>
    <xf numFmtId="170" fontId="54" fillId="33" borderId="0" xfId="45" applyNumberFormat="1" applyFont="1" applyFill="1" applyBorder="1" applyAlignment="1">
      <alignment horizontal="center" vertical="center" wrapText="1"/>
    </xf>
    <xf numFmtId="170" fontId="55" fillId="33" borderId="0" xfId="45" applyNumberFormat="1" applyFont="1" applyFill="1" applyBorder="1" applyAlignment="1">
      <alignment horizontal="center" vertical="center" wrapText="1"/>
    </xf>
    <xf numFmtId="9" fontId="0" fillId="33" borderId="0" xfId="49" applyFont="1" applyFill="1" applyBorder="1" applyAlignment="1">
      <alignment horizontal="center" vertical="center" wrapText="1"/>
    </xf>
    <xf numFmtId="9" fontId="53" fillId="33" borderId="17" xfId="49" applyFont="1" applyFill="1" applyBorder="1" applyAlignment="1">
      <alignment horizontal="center" vertical="center" wrapText="1"/>
    </xf>
    <xf numFmtId="10" fontId="0" fillId="33" borderId="22" xfId="49" applyNumberFormat="1" applyFont="1" applyFill="1" applyBorder="1" applyAlignment="1">
      <alignment horizontal="center" vertical="center" wrapText="1"/>
    </xf>
    <xf numFmtId="3" fontId="59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60" fillId="35" borderId="0" xfId="0" applyFont="1" applyFill="1" applyBorder="1" applyAlignment="1">
      <alignment horizontal="center" vertical="center" wrapText="1"/>
    </xf>
    <xf numFmtId="3" fontId="60" fillId="35" borderId="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60" fillId="35" borderId="12" xfId="0" applyFont="1" applyFill="1" applyBorder="1" applyAlignment="1">
      <alignment horizontal="center" vertical="center" wrapText="1"/>
    </xf>
    <xf numFmtId="3" fontId="59" fillId="33" borderId="13" xfId="0" applyNumberFormat="1" applyFont="1" applyFill="1" applyBorder="1" applyAlignment="1">
      <alignment horizontal="center" vertical="center" wrapText="1"/>
    </xf>
    <xf numFmtId="3" fontId="61" fillId="33" borderId="13" xfId="0" applyNumberFormat="1" applyFont="1" applyFill="1" applyBorder="1" applyAlignment="1">
      <alignment horizontal="center" vertical="center" wrapText="1"/>
    </xf>
    <xf numFmtId="0" fontId="60" fillId="32" borderId="14" xfId="0" applyFont="1" applyFill="1" applyBorder="1" applyAlignment="1">
      <alignment horizontal="center" vertical="center" wrapText="1"/>
    </xf>
    <xf numFmtId="9" fontId="60" fillId="32" borderId="17" xfId="49" applyFont="1" applyFill="1" applyBorder="1" applyAlignment="1">
      <alignment horizontal="center" vertical="center" wrapText="1"/>
    </xf>
    <xf numFmtId="3" fontId="59" fillId="33" borderId="16" xfId="0" applyNumberFormat="1" applyFont="1" applyFill="1" applyBorder="1" applyAlignment="1">
      <alignment horizontal="center" vertical="center" wrapText="1"/>
    </xf>
    <xf numFmtId="3" fontId="59" fillId="33" borderId="11" xfId="0" applyNumberFormat="1" applyFont="1" applyFill="1" applyBorder="1" applyAlignment="1">
      <alignment horizontal="center" vertical="center" wrapText="1"/>
    </xf>
    <xf numFmtId="9" fontId="60" fillId="32" borderId="15" xfId="49" applyFont="1" applyFill="1" applyBorder="1" applyAlignment="1">
      <alignment horizontal="center" vertical="center" wrapText="1"/>
    </xf>
    <xf numFmtId="3" fontId="55" fillId="33" borderId="16" xfId="0" applyNumberFormat="1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3" fontId="60" fillId="35" borderId="16" xfId="0" applyNumberFormat="1" applyFont="1" applyFill="1" applyBorder="1" applyAlignment="1">
      <alignment horizontal="center" vertical="center" wrapText="1"/>
    </xf>
    <xf numFmtId="3" fontId="60" fillId="35" borderId="11" xfId="0" applyNumberFormat="1" applyFont="1" applyFill="1" applyBorder="1" applyAlignment="1">
      <alignment horizontal="center" vertical="center" wrapText="1"/>
    </xf>
    <xf numFmtId="3" fontId="60" fillId="35" borderId="13" xfId="0" applyNumberFormat="1" applyFont="1" applyFill="1" applyBorder="1" applyAlignment="1">
      <alignment horizontal="center" vertical="center" wrapText="1"/>
    </xf>
    <xf numFmtId="3" fontId="12" fillId="33" borderId="16" xfId="0" applyNumberFormat="1" applyFont="1" applyFill="1" applyBorder="1" applyAlignment="1">
      <alignment horizontal="center" vertical="center" wrapText="1"/>
    </xf>
    <xf numFmtId="3" fontId="12" fillId="33" borderId="11" xfId="0" applyNumberFormat="1" applyFont="1" applyFill="1" applyBorder="1" applyAlignment="1">
      <alignment horizontal="center" vertical="center" wrapText="1"/>
    </xf>
    <xf numFmtId="3" fontId="13" fillId="33" borderId="0" xfId="0" applyNumberFormat="1" applyFont="1" applyFill="1" applyBorder="1" applyAlignment="1">
      <alignment horizontal="center" vertical="center" wrapText="1"/>
    </xf>
    <xf numFmtId="3" fontId="13" fillId="33" borderId="13" xfId="0" applyNumberFormat="1" applyFont="1" applyFill="1" applyBorder="1" applyAlignment="1">
      <alignment horizontal="center" vertical="center" wrapText="1"/>
    </xf>
    <xf numFmtId="3" fontId="12" fillId="33" borderId="17" xfId="0" applyNumberFormat="1" applyFont="1" applyFill="1" applyBorder="1" applyAlignment="1">
      <alignment horizontal="center" vertical="center" wrapText="1"/>
    </xf>
    <xf numFmtId="3" fontId="12" fillId="33" borderId="15" xfId="0" applyNumberFormat="1" applyFont="1" applyFill="1" applyBorder="1" applyAlignment="1">
      <alignment horizontal="center" vertical="center" wrapText="1"/>
    </xf>
    <xf numFmtId="3" fontId="38" fillId="33" borderId="0" xfId="0" applyNumberFormat="1" applyFont="1" applyFill="1" applyBorder="1" applyAlignment="1">
      <alignment horizontal="center" vertical="center" wrapText="1"/>
    </xf>
    <xf numFmtId="3" fontId="0" fillId="33" borderId="25" xfId="0" applyNumberFormat="1" applyFill="1" applyBorder="1" applyAlignment="1">
      <alignment horizontal="center" vertical="center" wrapText="1"/>
    </xf>
    <xf numFmtId="3" fontId="0" fillId="33" borderId="26" xfId="0" applyNumberFormat="1" applyFill="1" applyBorder="1" applyAlignment="1">
      <alignment horizontal="center" vertical="center" wrapText="1"/>
    </xf>
    <xf numFmtId="3" fontId="0" fillId="33" borderId="27" xfId="0" applyNumberFormat="1" applyFill="1" applyBorder="1" applyAlignment="1">
      <alignment horizontal="center" vertical="center" wrapText="1"/>
    </xf>
    <xf numFmtId="3" fontId="0" fillId="33" borderId="28" xfId="0" applyNumberFormat="1" applyFill="1" applyBorder="1" applyAlignment="1">
      <alignment horizontal="center" vertical="center" wrapText="1"/>
    </xf>
    <xf numFmtId="3" fontId="0" fillId="33" borderId="29" xfId="0" applyNumberFormat="1" applyFill="1" applyBorder="1" applyAlignment="1">
      <alignment horizontal="center" vertical="center" wrapText="1"/>
    </xf>
    <xf numFmtId="3" fontId="0" fillId="33" borderId="30" xfId="0" applyNumberFormat="1" applyFill="1" applyBorder="1" applyAlignment="1">
      <alignment horizontal="center" vertical="center" wrapText="1"/>
    </xf>
    <xf numFmtId="3" fontId="0" fillId="33" borderId="31" xfId="0" applyNumberFormat="1" applyFill="1" applyBorder="1" applyAlignment="1">
      <alignment horizontal="center" vertical="center" wrapText="1"/>
    </xf>
    <xf numFmtId="3" fontId="0" fillId="33" borderId="32" xfId="0" applyNumberFormat="1" applyFill="1" applyBorder="1" applyAlignment="1">
      <alignment horizontal="center" vertical="center" wrapText="1"/>
    </xf>
    <xf numFmtId="9" fontId="54" fillId="33" borderId="0" xfId="49" applyFont="1" applyFill="1" applyBorder="1" applyAlignment="1">
      <alignment horizontal="center" vertical="center" wrapText="1"/>
    </xf>
    <xf numFmtId="9" fontId="54" fillId="33" borderId="13" xfId="49" applyFont="1" applyFill="1" applyBorder="1" applyAlignment="1">
      <alignment horizontal="center" vertical="center" wrapText="1"/>
    </xf>
    <xf numFmtId="9" fontId="54" fillId="33" borderId="17" xfId="49" applyFont="1" applyFill="1" applyBorder="1" applyAlignment="1">
      <alignment horizontal="center" vertical="center" wrapText="1"/>
    </xf>
    <xf numFmtId="9" fontId="54" fillId="33" borderId="15" xfId="49" applyFont="1" applyFill="1" applyBorder="1" applyAlignment="1">
      <alignment horizontal="center" vertical="center" wrapText="1"/>
    </xf>
    <xf numFmtId="3" fontId="53" fillId="33" borderId="0" xfId="0" applyNumberFormat="1" applyFont="1" applyFill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3" fontId="53" fillId="33" borderId="11" xfId="0" applyNumberFormat="1" applyFont="1" applyFill="1" applyBorder="1" applyAlignment="1">
      <alignment horizontal="center" vertical="center" wrapText="1"/>
    </xf>
    <xf numFmtId="3" fontId="53" fillId="33" borderId="15" xfId="0" applyNumberFormat="1" applyFont="1" applyFill="1" applyBorder="1" applyAlignment="1">
      <alignment horizontal="center" vertical="center" wrapText="1"/>
    </xf>
    <xf numFmtId="3" fontId="53" fillId="33" borderId="16" xfId="0" applyNumberFormat="1" applyFont="1" applyFill="1" applyBorder="1" applyAlignment="1">
      <alignment horizontal="center" vertical="center" wrapText="1"/>
    </xf>
    <xf numFmtId="3" fontId="53" fillId="33" borderId="17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3" fontId="53" fillId="33" borderId="11" xfId="0" applyNumberFormat="1" applyFont="1" applyFill="1" applyBorder="1" applyAlignment="1">
      <alignment horizontal="center" vertical="center" wrapText="1"/>
    </xf>
    <xf numFmtId="3" fontId="53" fillId="33" borderId="21" xfId="0" applyNumberFormat="1" applyFont="1" applyFill="1" applyBorder="1" applyAlignment="1">
      <alignment horizontal="center" vertical="center" wrapText="1"/>
    </xf>
    <xf numFmtId="3" fontId="53" fillId="33" borderId="22" xfId="0" applyNumberFormat="1" applyFont="1" applyFill="1" applyBorder="1" applyAlignment="1">
      <alignment horizontal="center" vertical="center" wrapText="1"/>
    </xf>
    <xf numFmtId="3" fontId="53" fillId="33" borderId="14" xfId="0" applyNumberFormat="1" applyFont="1" applyFill="1" applyBorder="1" applyAlignment="1">
      <alignment horizontal="center" vertical="center" wrapText="1"/>
    </xf>
    <xf numFmtId="3" fontId="53" fillId="33" borderId="15" xfId="0" applyNumberFormat="1" applyFont="1" applyFill="1" applyBorder="1" applyAlignment="1">
      <alignment horizontal="center" vertical="center" wrapText="1"/>
    </xf>
    <xf numFmtId="3" fontId="54" fillId="35" borderId="13" xfId="0" applyNumberFormat="1" applyFont="1" applyFill="1" applyBorder="1" applyAlignment="1">
      <alignment horizontal="center" vertical="center" wrapText="1"/>
    </xf>
    <xf numFmtId="3" fontId="53" fillId="33" borderId="17" xfId="0" applyNumberFormat="1" applyFont="1" applyFill="1" applyBorder="1" applyAlignment="1">
      <alignment horizontal="center" vertical="center" wrapText="1"/>
    </xf>
    <xf numFmtId="3" fontId="53" fillId="33" borderId="21" xfId="0" applyNumberFormat="1" applyFont="1" applyFill="1" applyBorder="1" applyAlignment="1">
      <alignment horizontal="left" vertical="center" wrapText="1"/>
    </xf>
    <xf numFmtId="3" fontId="54" fillId="35" borderId="11" xfId="0" applyNumberFormat="1" applyFont="1" applyFill="1" applyBorder="1" applyAlignment="1">
      <alignment horizontal="center" vertical="center" wrapText="1"/>
    </xf>
    <xf numFmtId="3" fontId="54" fillId="35" borderId="15" xfId="0" applyNumberFormat="1" applyFont="1" applyFill="1" applyBorder="1" applyAlignment="1">
      <alignment horizontal="center" vertical="center" wrapText="1"/>
    </xf>
    <xf numFmtId="9" fontId="53" fillId="33" borderId="13" xfId="49" applyFont="1" applyFill="1" applyBorder="1" applyAlignment="1">
      <alignment horizontal="center" vertical="center" wrapText="1"/>
    </xf>
    <xf numFmtId="3" fontId="53" fillId="37" borderId="23" xfId="0" applyNumberFormat="1" applyFont="1" applyFill="1" applyBorder="1" applyAlignment="1">
      <alignment horizontal="left" vertical="center" wrapText="1"/>
    </xf>
    <xf numFmtId="166" fontId="53" fillId="37" borderId="21" xfId="0" applyNumberFormat="1" applyFont="1" applyFill="1" applyBorder="1" applyAlignment="1">
      <alignment horizontal="center" vertical="center" wrapText="1"/>
    </xf>
    <xf numFmtId="3" fontId="53" fillId="37" borderId="24" xfId="0" applyNumberFormat="1" applyFont="1" applyFill="1" applyBorder="1" applyAlignment="1">
      <alignment horizontal="center" vertical="center" wrapText="1"/>
    </xf>
    <xf numFmtId="9" fontId="53" fillId="37" borderId="22" xfId="49" applyFont="1" applyFill="1" applyBorder="1" applyAlignment="1">
      <alignment horizontal="center" vertical="center" wrapText="1"/>
    </xf>
    <xf numFmtId="3" fontId="53" fillId="33" borderId="19" xfId="0" applyNumberFormat="1" applyFont="1" applyFill="1" applyBorder="1" applyAlignment="1">
      <alignment horizontal="left" vertical="center" wrapText="1"/>
    </xf>
    <xf numFmtId="166" fontId="53" fillId="33" borderId="12" xfId="0" applyNumberFormat="1" applyFont="1" applyFill="1" applyBorder="1" applyAlignment="1">
      <alignment horizontal="center" vertical="center" wrapText="1"/>
    </xf>
    <xf numFmtId="3" fontId="53" fillId="33" borderId="11" xfId="0" applyNumberFormat="1" applyFont="1" applyFill="1" applyBorder="1" applyAlignment="1">
      <alignment horizontal="center" vertical="center" wrapText="1"/>
    </xf>
    <xf numFmtId="3" fontId="53" fillId="33" borderId="15" xfId="0" applyNumberFormat="1" applyFont="1" applyFill="1" applyBorder="1" applyAlignment="1">
      <alignment horizontal="center" vertical="center" wrapText="1"/>
    </xf>
    <xf numFmtId="3" fontId="53" fillId="33" borderId="16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166" fontId="53" fillId="33" borderId="17" xfId="0" applyNumberFormat="1" applyFont="1" applyFill="1" applyBorder="1" applyAlignment="1">
      <alignment horizontal="center" vertical="center" wrapText="1"/>
    </xf>
    <xf numFmtId="166" fontId="53" fillId="33" borderId="15" xfId="0" applyNumberFormat="1" applyFont="1" applyFill="1" applyBorder="1" applyAlignment="1">
      <alignment horizontal="center" vertical="center" wrapText="1"/>
    </xf>
    <xf numFmtId="3" fontId="54" fillId="35" borderId="19" xfId="0" applyNumberFormat="1" applyFont="1" applyFill="1" applyBorder="1" applyAlignment="1">
      <alignment horizontal="left" vertical="center" wrapText="1"/>
    </xf>
    <xf numFmtId="3" fontId="53" fillId="37" borderId="20" xfId="0" applyNumberFormat="1" applyFont="1" applyFill="1" applyBorder="1" applyAlignment="1">
      <alignment horizontal="left" vertical="center" wrapText="1"/>
    </xf>
    <xf numFmtId="3" fontId="53" fillId="37" borderId="14" xfId="0" applyNumberFormat="1" applyFont="1" applyFill="1" applyBorder="1" applyAlignment="1">
      <alignment horizontal="center" vertical="center" wrapText="1"/>
    </xf>
    <xf numFmtId="3" fontId="53" fillId="37" borderId="15" xfId="0" applyNumberFormat="1" applyFont="1" applyFill="1" applyBorder="1" applyAlignment="1">
      <alignment horizontal="center" vertical="center" wrapText="1"/>
    </xf>
    <xf numFmtId="3" fontId="53" fillId="33" borderId="0" xfId="0" applyNumberFormat="1" applyFont="1" applyFill="1" applyAlignment="1">
      <alignment horizontal="center" vertical="center" wrapText="1"/>
    </xf>
    <xf numFmtId="3" fontId="53" fillId="33" borderId="11" xfId="0" applyNumberFormat="1" applyFont="1" applyFill="1" applyBorder="1" applyAlignment="1">
      <alignment horizontal="center" vertical="center" wrapText="1"/>
    </xf>
    <xf numFmtId="3" fontId="53" fillId="33" borderId="15" xfId="0" applyNumberFormat="1" applyFont="1" applyFill="1" applyBorder="1" applyAlignment="1">
      <alignment horizontal="center" vertical="center" wrapText="1"/>
    </xf>
    <xf numFmtId="3" fontId="55" fillId="33" borderId="21" xfId="0" applyNumberFormat="1" applyFont="1" applyFill="1" applyBorder="1" applyAlignment="1">
      <alignment horizontal="center" vertical="center" wrapText="1"/>
    </xf>
    <xf numFmtId="3" fontId="55" fillId="33" borderId="22" xfId="0" applyNumberFormat="1" applyFont="1" applyFill="1" applyBorder="1" applyAlignment="1">
      <alignment horizontal="center" vertical="center" wrapText="1"/>
    </xf>
    <xf numFmtId="3" fontId="54" fillId="35" borderId="15" xfId="0" applyNumberFormat="1" applyFont="1" applyFill="1" applyBorder="1" applyAlignment="1">
      <alignment horizontal="center" vertical="center" wrapText="1"/>
    </xf>
    <xf numFmtId="3" fontId="53" fillId="33" borderId="11" xfId="0" applyNumberFormat="1" applyFont="1" applyFill="1" applyBorder="1" applyAlignment="1">
      <alignment horizontal="center" vertical="center" wrapText="1"/>
    </xf>
    <xf numFmtId="3" fontId="53" fillId="33" borderId="15" xfId="0" applyNumberFormat="1" applyFont="1" applyFill="1" applyBorder="1" applyAlignment="1">
      <alignment horizontal="center" vertical="center" wrapText="1"/>
    </xf>
    <xf numFmtId="3" fontId="55" fillId="33" borderId="21" xfId="0" applyNumberFormat="1" applyFont="1" applyFill="1" applyBorder="1" applyAlignment="1">
      <alignment horizontal="center" vertical="center" wrapText="1"/>
    </xf>
    <xf numFmtId="3" fontId="55" fillId="33" borderId="22" xfId="0" applyNumberFormat="1" applyFont="1" applyFill="1" applyBorder="1" applyAlignment="1">
      <alignment horizontal="center" vertical="center" wrapText="1"/>
    </xf>
    <xf numFmtId="166" fontId="53" fillId="33" borderId="0" xfId="0" applyNumberFormat="1" applyFont="1" applyFill="1" applyAlignment="1">
      <alignment horizontal="center" vertical="center" wrapText="1"/>
    </xf>
    <xf numFmtId="166" fontId="53" fillId="33" borderId="11" xfId="0" applyNumberFormat="1" applyFont="1" applyFill="1" applyBorder="1" applyAlignment="1">
      <alignment horizontal="center" vertical="center" wrapText="1"/>
    </xf>
    <xf numFmtId="166" fontId="53" fillId="33" borderId="13" xfId="0" applyNumberFormat="1" applyFont="1" applyFill="1" applyBorder="1" applyAlignment="1">
      <alignment horizontal="center" vertical="center" wrapText="1"/>
    </xf>
    <xf numFmtId="3" fontId="0" fillId="33" borderId="21" xfId="0" applyNumberFormat="1" applyFill="1" applyBorder="1" applyAlignment="1">
      <alignment horizontal="left" vertical="center" wrapText="1"/>
    </xf>
    <xf numFmtId="3" fontId="0" fillId="33" borderId="12" xfId="0" applyNumberFormat="1" applyFont="1" applyFill="1" applyBorder="1" applyAlignment="1">
      <alignment horizontal="left" vertical="center" wrapText="1"/>
    </xf>
    <xf numFmtId="166" fontId="0" fillId="33" borderId="13" xfId="0" applyNumberFormat="1" applyFont="1" applyFill="1" applyBorder="1" applyAlignment="1">
      <alignment horizontal="center" vertical="center" wrapText="1"/>
    </xf>
    <xf numFmtId="3" fontId="53" fillId="33" borderId="0" xfId="0" applyNumberFormat="1" applyFont="1" applyFill="1" applyAlignment="1">
      <alignment horizontal="center" vertical="center" wrapText="1"/>
    </xf>
    <xf numFmtId="0" fontId="62" fillId="0" borderId="23" xfId="0" applyFont="1" applyBorder="1" applyAlignment="1">
      <alignment horizontal="center" vertical="center"/>
    </xf>
    <xf numFmtId="0" fontId="63" fillId="0" borderId="23" xfId="0" applyFont="1" applyBorder="1" applyAlignment="1">
      <alignment horizontal="left" vertical="center"/>
    </xf>
    <xf numFmtId="171" fontId="63" fillId="0" borderId="23" xfId="0" applyNumberFormat="1" applyFont="1" applyBorder="1" applyAlignment="1">
      <alignment horizontal="center" vertical="center"/>
    </xf>
    <xf numFmtId="0" fontId="64" fillId="35" borderId="23" xfId="0" applyFont="1" applyFill="1" applyBorder="1" applyAlignment="1">
      <alignment horizontal="left" vertical="center"/>
    </xf>
    <xf numFmtId="3" fontId="64" fillId="35" borderId="23" xfId="0" applyNumberFormat="1" applyFont="1" applyFill="1" applyBorder="1" applyAlignment="1">
      <alignment horizontal="center" vertical="center"/>
    </xf>
    <xf numFmtId="3" fontId="65" fillId="35" borderId="23" xfId="0" applyNumberFormat="1" applyFont="1" applyFill="1" applyBorder="1" applyAlignment="1">
      <alignment horizontal="center" vertical="center"/>
    </xf>
    <xf numFmtId="9" fontId="64" fillId="35" borderId="23" xfId="49" applyFont="1" applyFill="1" applyBorder="1" applyAlignment="1">
      <alignment horizontal="center" vertical="center"/>
    </xf>
    <xf numFmtId="9" fontId="65" fillId="35" borderId="23" xfId="49" applyFont="1" applyFill="1" applyBorder="1" applyAlignment="1">
      <alignment horizontal="center" vertical="center"/>
    </xf>
    <xf numFmtId="4" fontId="53" fillId="33" borderId="22" xfId="0" applyNumberFormat="1" applyFont="1" applyFill="1" applyBorder="1" applyAlignment="1">
      <alignment horizontal="center" vertical="center" wrapText="1"/>
    </xf>
    <xf numFmtId="4" fontId="66" fillId="33" borderId="24" xfId="0" applyNumberFormat="1" applyFont="1" applyFill="1" applyBorder="1" applyAlignment="1">
      <alignment horizontal="center" vertical="center" wrapText="1"/>
    </xf>
    <xf numFmtId="3" fontId="53" fillId="33" borderId="11" xfId="0" applyNumberFormat="1" applyFont="1" applyFill="1" applyBorder="1" applyAlignment="1">
      <alignment horizontal="center" vertical="center" wrapText="1"/>
    </xf>
    <xf numFmtId="3" fontId="53" fillId="33" borderId="18" xfId="0" applyNumberFormat="1" applyFont="1" applyFill="1" applyBorder="1" applyAlignment="1">
      <alignment horizontal="center" vertical="center" wrapText="1"/>
    </xf>
    <xf numFmtId="3" fontId="53" fillId="33" borderId="20" xfId="0" applyNumberFormat="1" applyFont="1" applyFill="1" applyBorder="1" applyAlignment="1">
      <alignment horizontal="center" vertical="center" wrapText="1"/>
    </xf>
    <xf numFmtId="3" fontId="53" fillId="33" borderId="14" xfId="0" applyNumberFormat="1" applyFont="1" applyFill="1" applyBorder="1" applyAlignment="1">
      <alignment horizontal="center" vertical="center" wrapText="1"/>
    </xf>
    <xf numFmtId="3" fontId="53" fillId="33" borderId="15" xfId="0" applyNumberFormat="1" applyFont="1" applyFill="1" applyBorder="1" applyAlignment="1">
      <alignment horizontal="center" vertical="center" wrapText="1"/>
    </xf>
    <xf numFmtId="3" fontId="53" fillId="33" borderId="16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53" fillId="33" borderId="17" xfId="0" applyNumberFormat="1" applyFont="1" applyFill="1" applyBorder="1" applyAlignment="1">
      <alignment horizontal="center" vertical="center" wrapText="1"/>
    </xf>
    <xf numFmtId="3" fontId="53" fillId="33" borderId="0" xfId="0" applyNumberFormat="1" applyFont="1" applyFill="1" applyAlignment="1">
      <alignment horizontal="center" vertical="center" wrapText="1"/>
    </xf>
    <xf numFmtId="3" fontId="53" fillId="33" borderId="11" xfId="0" applyNumberFormat="1" applyFont="1" applyFill="1" applyBorder="1" applyAlignment="1">
      <alignment horizontal="center" vertical="center" wrapText="1"/>
    </xf>
    <xf numFmtId="3" fontId="53" fillId="33" borderId="21" xfId="0" applyNumberFormat="1" applyFont="1" applyFill="1" applyBorder="1" applyAlignment="1">
      <alignment horizontal="center" vertical="center" wrapText="1"/>
    </xf>
    <xf numFmtId="3" fontId="53" fillId="33" borderId="22" xfId="0" applyNumberFormat="1" applyFont="1" applyFill="1" applyBorder="1" applyAlignment="1">
      <alignment horizontal="center" vertical="center" wrapText="1"/>
    </xf>
    <xf numFmtId="3" fontId="53" fillId="33" borderId="15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0" fillId="33" borderId="14" xfId="0" applyNumberFormat="1" applyFill="1" applyBorder="1" applyAlignment="1">
      <alignment horizontal="center" vertical="center" wrapText="1"/>
    </xf>
    <xf numFmtId="3" fontId="54" fillId="35" borderId="15" xfId="0" applyNumberFormat="1" applyFont="1" applyFill="1" applyBorder="1" applyAlignment="1">
      <alignment horizontal="center" vertical="center" wrapText="1"/>
    </xf>
    <xf numFmtId="3" fontId="54" fillId="35" borderId="11" xfId="0" applyNumberFormat="1" applyFont="1" applyFill="1" applyBorder="1" applyAlignment="1">
      <alignment horizontal="center" vertical="center" wrapText="1"/>
    </xf>
    <xf numFmtId="3" fontId="54" fillId="33" borderId="24" xfId="0" applyNumberFormat="1" applyFont="1" applyFill="1" applyBorder="1" applyAlignment="1">
      <alignment horizontal="center" vertical="center" wrapText="1"/>
    </xf>
    <xf numFmtId="3" fontId="58" fillId="33" borderId="12" xfId="0" applyNumberFormat="1" applyFont="1" applyFill="1" applyBorder="1" applyAlignment="1">
      <alignment horizontal="center" vertical="center" wrapText="1"/>
    </xf>
    <xf numFmtId="3" fontId="54" fillId="35" borderId="21" xfId="0" applyNumberFormat="1" applyFont="1" applyFill="1" applyBorder="1" applyAlignment="1">
      <alignment horizontal="center" vertical="center" wrapText="1"/>
    </xf>
    <xf numFmtId="3" fontId="54" fillId="35" borderId="23" xfId="0" applyNumberFormat="1" applyFont="1" applyFill="1" applyBorder="1" applyAlignment="1">
      <alignment horizontal="center" vertical="center" wrapText="1"/>
    </xf>
    <xf numFmtId="3" fontId="55" fillId="35" borderId="22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left" vertical="center" wrapText="1"/>
    </xf>
    <xf numFmtId="3" fontId="53" fillId="37" borderId="14" xfId="0" applyNumberFormat="1" applyFont="1" applyFill="1" applyBorder="1" applyAlignment="1">
      <alignment horizontal="left" vertical="center" wrapText="1"/>
    </xf>
    <xf numFmtId="3" fontId="53" fillId="37" borderId="17" xfId="0" applyNumberFormat="1" applyFont="1" applyFill="1" applyBorder="1" applyAlignment="1">
      <alignment horizontal="center" vertical="center" wrapText="1"/>
    </xf>
    <xf numFmtId="3" fontId="0" fillId="33" borderId="12" xfId="0" applyNumberFormat="1" applyFill="1" applyBorder="1" applyAlignment="1">
      <alignment horizontal="left" vertical="center" wrapText="1"/>
    </xf>
    <xf numFmtId="166" fontId="0" fillId="33" borderId="11" xfId="0" applyNumberFormat="1" applyFill="1" applyBorder="1" applyAlignment="1">
      <alignment horizontal="center" vertical="center" wrapText="1"/>
    </xf>
    <xf numFmtId="168" fontId="54" fillId="33" borderId="11" xfId="49" applyNumberFormat="1" applyFont="1" applyFill="1" applyBorder="1" applyAlignment="1">
      <alignment horizontal="center" vertical="center" wrapText="1"/>
    </xf>
    <xf numFmtId="168" fontId="54" fillId="33" borderId="13" xfId="49" applyNumberFormat="1" applyFont="1" applyFill="1" applyBorder="1" applyAlignment="1">
      <alignment horizontal="center" vertical="center" wrapText="1"/>
    </xf>
    <xf numFmtId="168" fontId="54" fillId="33" borderId="15" xfId="49" applyNumberFormat="1" applyFont="1" applyFill="1" applyBorder="1" applyAlignment="1">
      <alignment horizontal="center" vertical="center" wrapText="1"/>
    </xf>
    <xf numFmtId="168" fontId="54" fillId="33" borderId="22" xfId="49" applyNumberFormat="1" applyFont="1" applyFill="1" applyBorder="1" applyAlignment="1">
      <alignment horizontal="center" vertical="center" wrapText="1"/>
    </xf>
    <xf numFmtId="3" fontId="67" fillId="33" borderId="12" xfId="0" applyNumberFormat="1" applyFont="1" applyFill="1" applyBorder="1" applyAlignment="1">
      <alignment horizontal="left" vertical="center" wrapText="1" indent="1"/>
    </xf>
    <xf numFmtId="3" fontId="68" fillId="33" borderId="0" xfId="0" applyNumberFormat="1" applyFont="1" applyFill="1" applyBorder="1" applyAlignment="1">
      <alignment horizontal="center" vertical="center" wrapText="1"/>
    </xf>
    <xf numFmtId="3" fontId="67" fillId="33" borderId="13" xfId="0" applyNumberFormat="1" applyFont="1" applyFill="1" applyBorder="1" applyAlignment="1">
      <alignment horizontal="center" vertical="center" wrapText="1"/>
    </xf>
    <xf numFmtId="3" fontId="67" fillId="33" borderId="14" xfId="0" applyNumberFormat="1" applyFont="1" applyFill="1" applyBorder="1" applyAlignment="1">
      <alignment horizontal="left" vertical="center" wrapText="1" indent="1"/>
    </xf>
    <xf numFmtId="3" fontId="68" fillId="33" borderId="17" xfId="0" applyNumberFormat="1" applyFont="1" applyFill="1" applyBorder="1" applyAlignment="1">
      <alignment horizontal="center" vertical="center" wrapText="1"/>
    </xf>
    <xf numFmtId="3" fontId="67" fillId="33" borderId="15" xfId="0" applyNumberFormat="1" applyFont="1" applyFill="1" applyBorder="1" applyAlignment="1">
      <alignment horizontal="center" vertical="center" wrapText="1"/>
    </xf>
    <xf numFmtId="3" fontId="69" fillId="33" borderId="0" xfId="0" applyNumberFormat="1" applyFont="1" applyFill="1" applyBorder="1" applyAlignment="1">
      <alignment horizontal="center" vertical="center" wrapText="1"/>
    </xf>
    <xf numFmtId="3" fontId="70" fillId="33" borderId="13" xfId="0" applyNumberFormat="1" applyFont="1" applyFill="1" applyBorder="1" applyAlignment="1">
      <alignment horizontal="center" vertical="center" wrapText="1"/>
    </xf>
    <xf numFmtId="168" fontId="0" fillId="33" borderId="0" xfId="49" applyNumberFormat="1" applyFont="1" applyFill="1" applyAlignment="1">
      <alignment horizontal="center" vertical="center" wrapText="1"/>
    </xf>
    <xf numFmtId="172" fontId="0" fillId="33" borderId="11" xfId="49" applyNumberFormat="1" applyFont="1" applyFill="1" applyBorder="1" applyAlignment="1">
      <alignment horizontal="center" vertical="center" wrapText="1"/>
    </xf>
    <xf numFmtId="10" fontId="0" fillId="33" borderId="13" xfId="49" applyNumberFormat="1" applyFont="1" applyFill="1" applyBorder="1" applyAlignment="1">
      <alignment horizontal="center" vertical="center" wrapText="1"/>
    </xf>
    <xf numFmtId="167" fontId="0" fillId="33" borderId="15" xfId="0" applyNumberFormat="1" applyFill="1" applyBorder="1" applyAlignment="1">
      <alignment horizontal="center" vertical="center" wrapText="1"/>
    </xf>
    <xf numFmtId="3" fontId="55" fillId="33" borderId="13" xfId="0" applyNumberFormat="1" applyFont="1" applyFill="1" applyBorder="1" applyAlignment="1">
      <alignment horizontal="center" vertical="center" wrapText="1"/>
    </xf>
    <xf numFmtId="3" fontId="53" fillId="35" borderId="21" xfId="0" applyNumberFormat="1" applyFont="1" applyFill="1" applyBorder="1" applyAlignment="1">
      <alignment horizontal="center" vertical="center" wrapText="1"/>
    </xf>
    <xf numFmtId="3" fontId="54" fillId="35" borderId="22" xfId="0" applyNumberFormat="1" applyFont="1" applyFill="1" applyBorder="1" applyAlignment="1">
      <alignment horizontal="center" vertical="center" wrapText="1"/>
    </xf>
    <xf numFmtId="3" fontId="55" fillId="37" borderId="15" xfId="0" applyNumberFormat="1" applyFont="1" applyFill="1" applyBorder="1" applyAlignment="1">
      <alignment horizontal="center" vertical="center" wrapText="1"/>
    </xf>
    <xf numFmtId="4" fontId="0" fillId="33" borderId="21" xfId="0" applyNumberFormat="1" applyFill="1" applyBorder="1" applyAlignment="1">
      <alignment horizontal="center" vertical="center" wrapText="1"/>
    </xf>
    <xf numFmtId="9" fontId="54" fillId="35" borderId="22" xfId="49" applyFont="1" applyFill="1" applyBorder="1" applyAlignment="1">
      <alignment horizontal="center" vertical="center" wrapText="1"/>
    </xf>
    <xf numFmtId="3" fontId="53" fillId="37" borderId="18" xfId="0" applyNumberFormat="1" applyFont="1" applyFill="1" applyBorder="1" applyAlignment="1">
      <alignment horizontal="center" vertical="center" wrapText="1"/>
    </xf>
    <xf numFmtId="3" fontId="53" fillId="37" borderId="19" xfId="0" applyNumberFormat="1" applyFont="1" applyFill="1" applyBorder="1" applyAlignment="1">
      <alignment horizontal="center" vertical="center" wrapText="1"/>
    </xf>
    <xf numFmtId="3" fontId="53" fillId="37" borderId="20" xfId="0" applyNumberFormat="1" applyFont="1" applyFill="1" applyBorder="1" applyAlignment="1">
      <alignment horizontal="center" vertical="center" wrapText="1"/>
    </xf>
    <xf numFmtId="3" fontId="53" fillId="33" borderId="0" xfId="0" applyNumberFormat="1" applyFont="1" applyFill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3" fontId="53" fillId="33" borderId="11" xfId="0" applyNumberFormat="1" applyFont="1" applyFill="1" applyBorder="1" applyAlignment="1">
      <alignment horizontal="center" vertical="center" wrapText="1"/>
    </xf>
    <xf numFmtId="3" fontId="53" fillId="33" borderId="18" xfId="0" applyNumberFormat="1" applyFont="1" applyFill="1" applyBorder="1" applyAlignment="1">
      <alignment horizontal="center" vertical="center" wrapText="1"/>
    </xf>
    <xf numFmtId="3" fontId="53" fillId="33" borderId="20" xfId="0" applyNumberFormat="1" applyFont="1" applyFill="1" applyBorder="1" applyAlignment="1">
      <alignment horizontal="center" vertical="center" wrapText="1"/>
    </xf>
    <xf numFmtId="3" fontId="53" fillId="33" borderId="21" xfId="0" applyNumberFormat="1" applyFont="1" applyFill="1" applyBorder="1" applyAlignment="1">
      <alignment horizontal="center" vertical="center" wrapText="1"/>
    </xf>
    <xf numFmtId="3" fontId="53" fillId="33" borderId="22" xfId="0" applyNumberFormat="1" applyFont="1" applyFill="1" applyBorder="1" applyAlignment="1">
      <alignment horizontal="center" vertical="center" wrapText="1"/>
    </xf>
    <xf numFmtId="3" fontId="53" fillId="33" borderId="19" xfId="0" applyNumberFormat="1" applyFont="1" applyFill="1" applyBorder="1" applyAlignment="1">
      <alignment horizontal="center" vertical="center" wrapText="1"/>
    </xf>
    <xf numFmtId="3" fontId="53" fillId="33" borderId="14" xfId="0" applyNumberFormat="1" applyFont="1" applyFill="1" applyBorder="1" applyAlignment="1">
      <alignment horizontal="center" vertical="center" wrapText="1"/>
    </xf>
    <xf numFmtId="3" fontId="53" fillId="33" borderId="15" xfId="0" applyNumberFormat="1" applyFont="1" applyFill="1" applyBorder="1" applyAlignment="1">
      <alignment horizontal="center" vertical="center" wrapText="1"/>
    </xf>
    <xf numFmtId="3" fontId="53" fillId="33" borderId="24" xfId="0" applyNumberFormat="1" applyFont="1" applyFill="1" applyBorder="1" applyAlignment="1">
      <alignment horizontal="center" vertical="center" wrapText="1"/>
    </xf>
    <xf numFmtId="3" fontId="54" fillId="35" borderId="12" xfId="0" applyNumberFormat="1" applyFont="1" applyFill="1" applyBorder="1" applyAlignment="1">
      <alignment horizontal="center" vertical="center" wrapText="1"/>
    </xf>
    <xf numFmtId="3" fontId="54" fillId="35" borderId="13" xfId="0" applyNumberFormat="1" applyFont="1" applyFill="1" applyBorder="1" applyAlignment="1">
      <alignment horizontal="center" vertical="center" wrapText="1"/>
    </xf>
    <xf numFmtId="3" fontId="53" fillId="38" borderId="18" xfId="0" applyNumberFormat="1" applyFont="1" applyFill="1" applyBorder="1" applyAlignment="1">
      <alignment horizontal="center" vertical="center" wrapText="1"/>
    </xf>
    <xf numFmtId="3" fontId="53" fillId="38" borderId="19" xfId="0" applyNumberFormat="1" applyFont="1" applyFill="1" applyBorder="1" applyAlignment="1">
      <alignment horizontal="center" vertical="center" wrapText="1"/>
    </xf>
    <xf numFmtId="3" fontId="53" fillId="38" borderId="20" xfId="0" applyNumberFormat="1" applyFont="1" applyFill="1" applyBorder="1" applyAlignment="1">
      <alignment horizontal="center" vertical="center" wrapText="1"/>
    </xf>
    <xf numFmtId="3" fontId="53" fillId="35" borderId="10" xfId="0" applyNumberFormat="1" applyFont="1" applyFill="1" applyBorder="1" applyAlignment="1">
      <alignment horizontal="center" vertical="center" wrapText="1"/>
    </xf>
    <xf numFmtId="3" fontId="53" fillId="35" borderId="11" xfId="0" applyNumberFormat="1" applyFont="1" applyFill="1" applyBorder="1" applyAlignment="1">
      <alignment horizontal="center" vertical="center" wrapText="1"/>
    </xf>
    <xf numFmtId="166" fontId="54" fillId="35" borderId="10" xfId="0" applyNumberFormat="1" applyFont="1" applyFill="1" applyBorder="1" applyAlignment="1">
      <alignment horizontal="center" vertical="center" wrapText="1"/>
    </xf>
    <xf numFmtId="166" fontId="54" fillId="35" borderId="11" xfId="0" applyNumberFormat="1" applyFont="1" applyFill="1" applyBorder="1" applyAlignment="1">
      <alignment horizontal="center" vertical="center" wrapText="1"/>
    </xf>
    <xf numFmtId="166" fontId="54" fillId="35" borderId="16" xfId="0" applyNumberFormat="1" applyFont="1" applyFill="1" applyBorder="1" applyAlignment="1">
      <alignment horizontal="center" vertical="center" wrapText="1"/>
    </xf>
    <xf numFmtId="166" fontId="54" fillId="35" borderId="17" xfId="0" applyNumberFormat="1" applyFont="1" applyFill="1" applyBorder="1" applyAlignment="1">
      <alignment horizontal="center" vertical="center" wrapText="1"/>
    </xf>
    <xf numFmtId="3" fontId="53" fillId="33" borderId="16" xfId="0" applyNumberFormat="1" applyFont="1" applyFill="1" applyBorder="1" applyAlignment="1">
      <alignment horizontal="center" vertical="center" wrapText="1"/>
    </xf>
    <xf numFmtId="3" fontId="54" fillId="35" borderId="0" xfId="0" applyNumberFormat="1" applyFont="1" applyFill="1" applyBorder="1" applyAlignment="1">
      <alignment horizontal="center" vertical="center" wrapText="1"/>
    </xf>
    <xf numFmtId="166" fontId="54" fillId="35" borderId="12" xfId="0" applyNumberFormat="1" applyFont="1" applyFill="1" applyBorder="1" applyAlignment="1">
      <alignment horizontal="center" vertical="center" wrapText="1"/>
    </xf>
    <xf numFmtId="166" fontId="54" fillId="35" borderId="13" xfId="0" applyNumberFormat="1" applyFont="1" applyFill="1" applyBorder="1" applyAlignment="1">
      <alignment horizontal="center" vertical="center" wrapText="1"/>
    </xf>
    <xf numFmtId="166" fontId="54" fillId="35" borderId="0" xfId="0" applyNumberFormat="1" applyFont="1" applyFill="1" applyBorder="1" applyAlignment="1">
      <alignment horizontal="center" vertical="center" wrapText="1"/>
    </xf>
    <xf numFmtId="166" fontId="54" fillId="35" borderId="14" xfId="0" applyNumberFormat="1" applyFont="1" applyFill="1" applyBorder="1" applyAlignment="1">
      <alignment horizontal="center" vertical="center" wrapText="1"/>
    </xf>
    <xf numFmtId="166" fontId="54" fillId="35" borderId="15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0" fillId="33" borderId="14" xfId="0" applyNumberForma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left" vertical="center" wrapText="1"/>
    </xf>
    <xf numFmtId="3" fontId="0" fillId="34" borderId="16" xfId="0" applyNumberFormat="1" applyFill="1" applyBorder="1" applyAlignment="1">
      <alignment horizontal="left" vertical="center" wrapText="1"/>
    </xf>
    <xf numFmtId="3" fontId="0" fillId="34" borderId="11" xfId="0" applyNumberFormat="1" applyFill="1" applyBorder="1" applyAlignment="1">
      <alignment horizontal="left" vertical="center" wrapText="1"/>
    </xf>
    <xf numFmtId="3" fontId="0" fillId="34" borderId="12" xfId="0" applyNumberFormat="1" applyFill="1" applyBorder="1" applyAlignment="1">
      <alignment horizontal="left" vertical="center" wrapText="1"/>
    </xf>
    <xf numFmtId="3" fontId="0" fillId="34" borderId="0" xfId="0" applyNumberFormat="1" applyFill="1" applyBorder="1" applyAlignment="1">
      <alignment horizontal="left" vertical="center" wrapText="1"/>
    </xf>
    <xf numFmtId="3" fontId="0" fillId="34" borderId="13" xfId="0" applyNumberFormat="1" applyFill="1" applyBorder="1" applyAlignment="1">
      <alignment horizontal="left" vertical="center" wrapText="1"/>
    </xf>
    <xf numFmtId="3" fontId="0" fillId="34" borderId="14" xfId="0" applyNumberFormat="1" applyFill="1" applyBorder="1" applyAlignment="1">
      <alignment horizontal="left" vertical="center" wrapText="1"/>
    </xf>
    <xf numFmtId="3" fontId="0" fillId="34" borderId="17" xfId="0" applyNumberFormat="1" applyFill="1" applyBorder="1" applyAlignment="1">
      <alignment horizontal="left" vertical="center" wrapText="1"/>
    </xf>
    <xf numFmtId="3" fontId="0" fillId="34" borderId="15" xfId="0" applyNumberFormat="1" applyFill="1" applyBorder="1" applyAlignment="1">
      <alignment horizontal="left" vertical="center" wrapText="1"/>
    </xf>
    <xf numFmtId="3" fontId="53" fillId="33" borderId="17" xfId="0" applyNumberFormat="1" applyFont="1" applyFill="1" applyBorder="1" applyAlignment="1">
      <alignment horizontal="center" vertical="center" wrapText="1"/>
    </xf>
    <xf numFmtId="3" fontId="55" fillId="33" borderId="10" xfId="0" applyNumberFormat="1" applyFont="1" applyFill="1" applyBorder="1" applyAlignment="1">
      <alignment horizontal="center" vertical="center" wrapText="1"/>
    </xf>
    <xf numFmtId="3" fontId="55" fillId="33" borderId="11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/>
    </xf>
    <xf numFmtId="3" fontId="53" fillId="33" borderId="16" xfId="0" applyNumberFormat="1" applyFont="1" applyFill="1" applyBorder="1" applyAlignment="1">
      <alignment horizontal="center" vertical="center"/>
    </xf>
    <xf numFmtId="3" fontId="53" fillId="33" borderId="11" xfId="0" applyNumberFormat="1" applyFont="1" applyFill="1" applyBorder="1" applyAlignment="1">
      <alignment horizontal="center" vertical="center"/>
    </xf>
    <xf numFmtId="3" fontId="53" fillId="33" borderId="21" xfId="0" applyNumberFormat="1" applyFont="1" applyFill="1" applyBorder="1" applyAlignment="1">
      <alignment horizontal="left" vertical="center" wrapText="1"/>
    </xf>
    <xf numFmtId="3" fontId="53" fillId="33" borderId="24" xfId="0" applyNumberFormat="1" applyFont="1" applyFill="1" applyBorder="1" applyAlignment="1">
      <alignment horizontal="left" vertical="center" wrapText="1"/>
    </xf>
    <xf numFmtId="3" fontId="53" fillId="33" borderId="22" xfId="0" applyNumberFormat="1" applyFont="1" applyFill="1" applyBorder="1" applyAlignment="1">
      <alignment horizontal="left" vertical="center" wrapText="1"/>
    </xf>
    <xf numFmtId="3" fontId="55" fillId="33" borderId="21" xfId="0" applyNumberFormat="1" applyFont="1" applyFill="1" applyBorder="1" applyAlignment="1">
      <alignment horizontal="center" vertical="center" wrapText="1"/>
    </xf>
    <xf numFmtId="3" fontId="55" fillId="33" borderId="24" xfId="0" applyNumberFormat="1" applyFont="1" applyFill="1" applyBorder="1" applyAlignment="1">
      <alignment horizontal="center" vertical="center" wrapText="1"/>
    </xf>
    <xf numFmtId="3" fontId="55" fillId="33" borderId="22" xfId="0" applyNumberFormat="1" applyFont="1" applyFill="1" applyBorder="1" applyAlignment="1">
      <alignment horizontal="center" vertical="center" wrapText="1"/>
    </xf>
    <xf numFmtId="3" fontId="54" fillId="35" borderId="14" xfId="0" applyNumberFormat="1" applyFont="1" applyFill="1" applyBorder="1" applyAlignment="1">
      <alignment horizontal="center" vertical="center" wrapText="1"/>
    </xf>
    <xf numFmtId="3" fontId="54" fillId="35" borderId="17" xfId="0" applyNumberFormat="1" applyFont="1" applyFill="1" applyBorder="1" applyAlignment="1">
      <alignment horizontal="center" vertical="center" wrapText="1"/>
    </xf>
    <xf numFmtId="3" fontId="54" fillId="35" borderId="15" xfId="0" applyNumberFormat="1" applyFont="1" applyFill="1" applyBorder="1" applyAlignment="1">
      <alignment horizontal="center" vertical="center" wrapText="1"/>
    </xf>
    <xf numFmtId="3" fontId="55" fillId="35" borderId="17" xfId="0" applyNumberFormat="1" applyFont="1" applyFill="1" applyBorder="1" applyAlignment="1">
      <alignment horizontal="center" vertical="center" wrapText="1"/>
    </xf>
    <xf numFmtId="3" fontId="55" fillId="35" borderId="15" xfId="0" applyNumberFormat="1" applyFont="1" applyFill="1" applyBorder="1" applyAlignment="1">
      <alignment horizontal="center" vertical="center" wrapText="1"/>
    </xf>
    <xf numFmtId="3" fontId="54" fillId="35" borderId="10" xfId="0" applyNumberFormat="1" applyFont="1" applyFill="1" applyBorder="1" applyAlignment="1">
      <alignment horizontal="center" vertical="center" wrapText="1"/>
    </xf>
    <xf numFmtId="3" fontId="54" fillId="35" borderId="16" xfId="0" applyNumberFormat="1" applyFont="1" applyFill="1" applyBorder="1" applyAlignment="1">
      <alignment horizontal="center" vertical="center" wrapText="1"/>
    </xf>
    <xf numFmtId="3" fontId="54" fillId="35" borderId="11" xfId="0" applyNumberFormat="1" applyFont="1" applyFill="1" applyBorder="1" applyAlignment="1">
      <alignment horizontal="center" vertical="center" wrapText="1"/>
    </xf>
    <xf numFmtId="3" fontId="55" fillId="35" borderId="16" xfId="0" applyNumberFormat="1" applyFont="1" applyFill="1" applyBorder="1" applyAlignment="1">
      <alignment horizontal="center" vertical="center" wrapText="1"/>
    </xf>
    <xf numFmtId="3" fontId="55" fillId="35" borderId="11" xfId="0" applyNumberFormat="1" applyFont="1" applyFill="1" applyBorder="1" applyAlignment="1">
      <alignment horizontal="center" vertical="center" wrapText="1"/>
    </xf>
    <xf numFmtId="3" fontId="55" fillId="33" borderId="21" xfId="0" applyNumberFormat="1" applyFont="1" applyFill="1" applyBorder="1" applyAlignment="1">
      <alignment horizontal="left" vertical="center" wrapText="1"/>
    </xf>
    <xf numFmtId="3" fontId="55" fillId="33" borderId="24" xfId="0" applyNumberFormat="1" applyFont="1" applyFill="1" applyBorder="1" applyAlignment="1">
      <alignment horizontal="left" vertical="center" wrapText="1"/>
    </xf>
    <xf numFmtId="3" fontId="55" fillId="33" borderId="22" xfId="0" applyNumberFormat="1" applyFont="1" applyFill="1" applyBorder="1" applyAlignment="1">
      <alignment horizontal="left" vertical="center" wrapText="1"/>
    </xf>
    <xf numFmtId="9" fontId="63" fillId="0" borderId="23" xfId="0" applyNumberFormat="1" applyFont="1" applyBorder="1" applyAlignment="1">
      <alignment horizontal="center" vertical="center"/>
    </xf>
    <xf numFmtId="3" fontId="63" fillId="0" borderId="23" xfId="0" applyNumberFormat="1" applyFont="1" applyBorder="1" applyAlignment="1">
      <alignment horizontal="center" vertical="center"/>
    </xf>
    <xf numFmtId="3" fontId="71" fillId="33" borderId="21" xfId="0" applyNumberFormat="1" applyFont="1" applyFill="1" applyBorder="1" applyAlignment="1">
      <alignment horizontal="center" vertical="center" wrapText="1"/>
    </xf>
    <xf numFmtId="3" fontId="71" fillId="33" borderId="24" xfId="0" applyNumberFormat="1" applyFont="1" applyFill="1" applyBorder="1" applyAlignment="1">
      <alignment horizontal="center" vertical="center" wrapText="1"/>
    </xf>
    <xf numFmtId="3" fontId="71" fillId="33" borderId="22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left" vertical="center" wrapText="1"/>
    </xf>
    <xf numFmtId="3" fontId="0" fillId="33" borderId="16" xfId="0" applyNumberFormat="1" applyFill="1" applyBorder="1" applyAlignment="1">
      <alignment horizontal="left" vertical="center" wrapText="1"/>
    </xf>
    <xf numFmtId="3" fontId="0" fillId="33" borderId="12" xfId="0" applyNumberFormat="1" applyFill="1" applyBorder="1" applyAlignment="1">
      <alignment horizontal="left" vertical="center" wrapText="1"/>
    </xf>
    <xf numFmtId="3" fontId="0" fillId="33" borderId="0" xfId="0" applyNumberForma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0"/>
  <sheetViews>
    <sheetView zoomScale="130" zoomScaleNormal="130" zoomScalePageLayoutView="0" workbookViewId="0" topLeftCell="A2">
      <selection activeCell="G7" sqref="G7"/>
    </sheetView>
  </sheetViews>
  <sheetFormatPr defaultColWidth="9.140625" defaultRowHeight="15"/>
  <cols>
    <col min="1" max="1" width="3.28125" style="1" customWidth="1"/>
    <col min="2" max="2" width="38.28125" style="1" customWidth="1"/>
    <col min="3" max="16384" width="9.140625" style="1" customWidth="1"/>
  </cols>
  <sheetData>
    <row r="1" ht="15"/>
    <row r="2" spans="2:3" ht="30">
      <c r="B2" s="3" t="s">
        <v>0</v>
      </c>
      <c r="C2" s="4">
        <v>130000</v>
      </c>
    </row>
    <row r="3" spans="2:3" ht="15">
      <c r="B3" s="5" t="s">
        <v>1</v>
      </c>
      <c r="C3" s="6">
        <v>10</v>
      </c>
    </row>
    <row r="4" spans="2:3" ht="15">
      <c r="B4" s="5" t="s">
        <v>2</v>
      </c>
      <c r="C4" s="6">
        <v>40000</v>
      </c>
    </row>
    <row r="5" spans="2:3" ht="15">
      <c r="B5" s="5" t="s">
        <v>3</v>
      </c>
      <c r="C5" s="6">
        <f>+(C2-C4)/C3</f>
        <v>9000</v>
      </c>
    </row>
    <row r="6" spans="2:3" ht="30">
      <c r="B6" s="7" t="s">
        <v>4</v>
      </c>
      <c r="C6" s="8">
        <v>107500</v>
      </c>
    </row>
    <row r="7" ht="15">
      <c r="B7" s="2"/>
    </row>
    <row r="8" spans="2:5" ht="30">
      <c r="B8" s="10" t="s">
        <v>8</v>
      </c>
      <c r="C8" s="11" t="s">
        <v>5</v>
      </c>
      <c r="D8" s="11" t="s">
        <v>6</v>
      </c>
      <c r="E8" s="12" t="s">
        <v>7</v>
      </c>
    </row>
    <row r="9" spans="2:5" ht="15">
      <c r="B9" s="5" t="s">
        <v>9</v>
      </c>
      <c r="C9" s="13">
        <f>+C2</f>
        <v>130000</v>
      </c>
      <c r="D9" s="13">
        <f>+C9</f>
        <v>130000</v>
      </c>
      <c r="E9" s="6">
        <f>+D9</f>
        <v>130000</v>
      </c>
    </row>
    <row r="10" spans="2:5" ht="15">
      <c r="B10" s="7" t="s">
        <v>10</v>
      </c>
      <c r="C10" s="14">
        <f>-C5</f>
        <v>-9000</v>
      </c>
      <c r="D10" s="14">
        <f>+C10-$C$5</f>
        <v>-18000</v>
      </c>
      <c r="E10" s="8">
        <f>+D10-$C$5</f>
        <v>-27000</v>
      </c>
    </row>
    <row r="11" ht="15">
      <c r="B11" s="2"/>
    </row>
    <row r="12" spans="2:5" ht="15">
      <c r="B12" s="10" t="s">
        <v>11</v>
      </c>
      <c r="C12" s="11" t="s">
        <v>12</v>
      </c>
      <c r="D12" s="11" t="s">
        <v>13</v>
      </c>
      <c r="E12" s="12" t="s">
        <v>14</v>
      </c>
    </row>
    <row r="13" spans="2:5" ht="15">
      <c r="B13" s="5" t="s">
        <v>15</v>
      </c>
      <c r="C13" s="13">
        <f>-C5</f>
        <v>-9000</v>
      </c>
      <c r="D13" s="13">
        <f>+C13</f>
        <v>-9000</v>
      </c>
      <c r="E13" s="6">
        <f>+D13</f>
        <v>-9000</v>
      </c>
    </row>
    <row r="14" spans="2:5" ht="15">
      <c r="B14" s="5" t="s">
        <v>16</v>
      </c>
      <c r="C14" s="13">
        <v>0</v>
      </c>
      <c r="D14" s="13">
        <v>0</v>
      </c>
      <c r="E14" s="6">
        <f>+C6-SUM(E9:E10)</f>
        <v>4500</v>
      </c>
    </row>
    <row r="15" spans="2:6" ht="15">
      <c r="B15" s="15" t="s">
        <v>17</v>
      </c>
      <c r="C15" s="16">
        <f>SUM(C13:C14)</f>
        <v>-9000</v>
      </c>
      <c r="D15" s="16">
        <f>SUM(D13:D14)</f>
        <v>-9000</v>
      </c>
      <c r="E15" s="17">
        <f>SUM(E13:E14)</f>
        <v>-4500</v>
      </c>
      <c r="F15" s="9">
        <f>SUM(C15:E15)</f>
        <v>-22500</v>
      </c>
    </row>
    <row r="17" spans="2:5" ht="15">
      <c r="B17" s="10" t="s">
        <v>18</v>
      </c>
      <c r="C17" s="11" t="s">
        <v>12</v>
      </c>
      <c r="D17" s="11" t="s">
        <v>13</v>
      </c>
      <c r="E17" s="12" t="s">
        <v>14</v>
      </c>
    </row>
    <row r="18" spans="2:5" ht="15">
      <c r="B18" s="5" t="s">
        <v>19</v>
      </c>
      <c r="C18" s="13">
        <f>-C2</f>
        <v>-130000</v>
      </c>
      <c r="D18" s="13">
        <v>0</v>
      </c>
      <c r="E18" s="6">
        <v>0</v>
      </c>
    </row>
    <row r="19" spans="2:5" ht="15">
      <c r="B19" s="5" t="s">
        <v>20</v>
      </c>
      <c r="C19" s="13">
        <v>0</v>
      </c>
      <c r="D19" s="13">
        <v>0</v>
      </c>
      <c r="E19" s="6">
        <f>+C6</f>
        <v>107500</v>
      </c>
    </row>
    <row r="20" spans="2:6" ht="15">
      <c r="B20" s="15" t="s">
        <v>17</v>
      </c>
      <c r="C20" s="16">
        <f>SUM(C18:C19)</f>
        <v>-130000</v>
      </c>
      <c r="D20" s="16">
        <f>SUM(D18:D19)</f>
        <v>0</v>
      </c>
      <c r="E20" s="17">
        <f>SUM(E18:E19)</f>
        <v>107500</v>
      </c>
      <c r="F20" s="9">
        <f>SUM(C20:E20)</f>
        <v>-22500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51"/>
  <sheetViews>
    <sheetView zoomScale="120" zoomScaleNormal="120" zoomScalePageLayoutView="0" workbookViewId="0" topLeftCell="A21">
      <selection activeCell="H40" sqref="H40"/>
    </sheetView>
  </sheetViews>
  <sheetFormatPr defaultColWidth="9.140625" defaultRowHeight="15"/>
  <cols>
    <col min="1" max="1" width="3.28125" style="1" customWidth="1"/>
    <col min="2" max="2" width="25.57421875" style="13" bestFit="1" customWidth="1"/>
    <col min="3" max="7" width="10.57421875" style="13" customWidth="1"/>
    <col min="8" max="8" width="9.140625" style="1" customWidth="1"/>
    <col min="9" max="9" width="8.8515625" style="1" bestFit="1" customWidth="1"/>
    <col min="10" max="10" width="15.8515625" style="1" customWidth="1"/>
    <col min="11" max="16384" width="9.140625" style="1" customWidth="1"/>
  </cols>
  <sheetData>
    <row r="1" spans="2:7" ht="15">
      <c r="B1" s="1"/>
      <c r="C1" s="1"/>
      <c r="D1" s="1"/>
      <c r="E1" s="1"/>
      <c r="F1" s="1"/>
      <c r="G1" s="1"/>
    </row>
    <row r="2" spans="2:3" ht="15">
      <c r="B2" s="347" t="s">
        <v>195</v>
      </c>
      <c r="C2" s="348"/>
    </row>
    <row r="3" spans="2:3" ht="15">
      <c r="B3" s="49" t="s">
        <v>39</v>
      </c>
      <c r="C3" s="6">
        <v>10000</v>
      </c>
    </row>
    <row r="4" spans="2:3" ht="15">
      <c r="B4" s="125" t="s">
        <v>196</v>
      </c>
      <c r="C4" s="8">
        <v>10000</v>
      </c>
    </row>
    <row r="5" ht="15"/>
    <row r="6" spans="2:7" ht="15">
      <c r="B6" s="351" t="s">
        <v>197</v>
      </c>
      <c r="C6" s="356"/>
      <c r="D6" s="356"/>
      <c r="E6" s="356"/>
      <c r="F6" s="356"/>
      <c r="G6" s="352"/>
    </row>
    <row r="7" spans="2:7" ht="15">
      <c r="B7" s="126"/>
      <c r="C7" s="124" t="s">
        <v>12</v>
      </c>
      <c r="D7" s="124" t="s">
        <v>13</v>
      </c>
      <c r="E7" s="124" t="s">
        <v>14</v>
      </c>
      <c r="F7" s="124" t="s">
        <v>198</v>
      </c>
      <c r="G7" s="121" t="s">
        <v>17</v>
      </c>
    </row>
    <row r="8" spans="2:7" ht="15">
      <c r="B8" s="375" t="s">
        <v>199</v>
      </c>
      <c r="C8" s="18">
        <v>5000</v>
      </c>
      <c r="D8" s="18">
        <v>1000</v>
      </c>
      <c r="E8" s="18">
        <v>1000</v>
      </c>
      <c r="F8" s="18">
        <v>3000</v>
      </c>
      <c r="G8" s="4">
        <v>10000</v>
      </c>
    </row>
    <row r="9" spans="2:7" ht="15">
      <c r="B9" s="376"/>
      <c r="C9" s="127">
        <v>0.5</v>
      </c>
      <c r="D9" s="127">
        <v>0.1</v>
      </c>
      <c r="E9" s="127">
        <v>0.1</v>
      </c>
      <c r="F9" s="127">
        <v>0.3</v>
      </c>
      <c r="G9" s="115">
        <v>1</v>
      </c>
    </row>
    <row r="10" spans="2:7" ht="15">
      <c r="B10" s="375" t="s">
        <v>200</v>
      </c>
      <c r="C10" s="18">
        <v>2500</v>
      </c>
      <c r="D10" s="18">
        <v>1800</v>
      </c>
      <c r="E10" s="18">
        <v>1700</v>
      </c>
      <c r="F10" s="18"/>
      <c r="G10" s="4">
        <v>6000</v>
      </c>
    </row>
    <row r="11" spans="2:7" ht="15">
      <c r="B11" s="376"/>
      <c r="C11" s="127">
        <v>0.417</v>
      </c>
      <c r="D11" s="127">
        <v>0.3</v>
      </c>
      <c r="E11" s="127">
        <v>0.283</v>
      </c>
      <c r="F11" s="127"/>
      <c r="G11" s="115">
        <v>1</v>
      </c>
    </row>
    <row r="12" ht="15"/>
    <row r="13" spans="2:7" ht="15">
      <c r="B13" s="76" t="s">
        <v>26</v>
      </c>
      <c r="C13" s="124" t="str">
        <f>+C7</f>
        <v>ANO X1</v>
      </c>
      <c r="D13" s="124" t="str">
        <f aca="true" t="shared" si="0" ref="D13:G14">+D7</f>
        <v>ANO X2</v>
      </c>
      <c r="E13" s="124" t="str">
        <f t="shared" si="0"/>
        <v>ANO X3</v>
      </c>
      <c r="F13" s="124" t="str">
        <f t="shared" si="0"/>
        <v>ANO X4</v>
      </c>
      <c r="G13" s="121" t="str">
        <f t="shared" si="0"/>
        <v>TOTAL</v>
      </c>
    </row>
    <row r="14" spans="2:7" ht="15">
      <c r="B14" s="5" t="s">
        <v>27</v>
      </c>
      <c r="C14" s="13">
        <f>+C8</f>
        <v>5000</v>
      </c>
      <c r="D14" s="13">
        <f t="shared" si="0"/>
        <v>1000</v>
      </c>
      <c r="E14" s="13">
        <f t="shared" si="0"/>
        <v>1000</v>
      </c>
      <c r="F14" s="13">
        <f t="shared" si="0"/>
        <v>3000</v>
      </c>
      <c r="G14" s="30">
        <f>+SUM(C14:F14)</f>
        <v>10000</v>
      </c>
    </row>
    <row r="15" spans="2:7" ht="15">
      <c r="B15" s="5" t="s">
        <v>28</v>
      </c>
      <c r="C15" s="13">
        <f>-C10</f>
        <v>-2500</v>
      </c>
      <c r="D15" s="13">
        <f>-D10</f>
        <v>-1800</v>
      </c>
      <c r="E15" s="13">
        <f>-E10</f>
        <v>-1700</v>
      </c>
      <c r="F15" s="13">
        <f>-F10</f>
        <v>0</v>
      </c>
      <c r="G15" s="30">
        <f>+SUM(C15:F15)</f>
        <v>-6000</v>
      </c>
    </row>
    <row r="16" spans="2:7" ht="15">
      <c r="B16" s="15" t="s">
        <v>201</v>
      </c>
      <c r="C16" s="16">
        <f>+SUM(C14:C15)</f>
        <v>2500</v>
      </c>
      <c r="D16" s="16">
        <f>+SUM(D14:D15)</f>
        <v>-800</v>
      </c>
      <c r="E16" s="16">
        <f>+SUM(E14:E15)</f>
        <v>-700</v>
      </c>
      <c r="F16" s="16">
        <f>+SUM(F14:F15)</f>
        <v>3000</v>
      </c>
      <c r="G16" s="123">
        <f>+SUM(G14:G15)</f>
        <v>4000</v>
      </c>
    </row>
    <row r="17" spans="2:7" ht="15">
      <c r="B17" s="130" t="s">
        <v>30</v>
      </c>
      <c r="C17" s="128">
        <v>10000</v>
      </c>
      <c r="D17" s="128">
        <f>+C18</f>
        <v>12500</v>
      </c>
      <c r="E17" s="128">
        <f>+D18</f>
        <v>11700</v>
      </c>
      <c r="F17" s="128">
        <f>+E18</f>
        <v>11000</v>
      </c>
      <c r="G17" s="129"/>
    </row>
    <row r="18" spans="2:7" ht="15">
      <c r="B18" s="131" t="s">
        <v>31</v>
      </c>
      <c r="C18" s="22">
        <f>+C17+C16</f>
        <v>12500</v>
      </c>
      <c r="D18" s="22">
        <f>+D17+D16</f>
        <v>11700</v>
      </c>
      <c r="E18" s="22">
        <f>+E17+E16</f>
        <v>11000</v>
      </c>
      <c r="F18" s="22">
        <f>+F17+F16</f>
        <v>14000</v>
      </c>
      <c r="G18" s="23"/>
    </row>
    <row r="19" ht="15"/>
    <row r="20" spans="2:7" ht="15">
      <c r="B20" s="120" t="s">
        <v>87</v>
      </c>
      <c r="C20" s="124" t="str">
        <f>+C13</f>
        <v>ANO X1</v>
      </c>
      <c r="D20" s="124" t="str">
        <f>+D13</f>
        <v>ANO X2</v>
      </c>
      <c r="E20" s="121" t="str">
        <f>+E13</f>
        <v>ANO X3</v>
      </c>
      <c r="F20" s="1"/>
      <c r="G20" s="1"/>
    </row>
    <row r="21" spans="2:7" ht="15">
      <c r="B21" s="5" t="s">
        <v>32</v>
      </c>
      <c r="C21" s="13">
        <v>0</v>
      </c>
      <c r="D21" s="13">
        <v>0</v>
      </c>
      <c r="E21" s="6">
        <f>+G8</f>
        <v>10000</v>
      </c>
      <c r="F21" s="1"/>
      <c r="G21" s="1"/>
    </row>
    <row r="22" spans="2:7" ht="30">
      <c r="B22" s="5" t="s">
        <v>202</v>
      </c>
      <c r="E22" s="6">
        <f>-G10</f>
        <v>-6000</v>
      </c>
      <c r="F22" s="1"/>
      <c r="G22" s="1"/>
    </row>
    <row r="23" spans="2:7" ht="15">
      <c r="B23" s="15" t="s">
        <v>34</v>
      </c>
      <c r="C23" s="16">
        <f>+SUM(C21:C22)</f>
        <v>0</v>
      </c>
      <c r="D23" s="16">
        <f>+SUM(D21:D22)</f>
        <v>0</v>
      </c>
      <c r="E23" s="123">
        <f>+SUM(E21:E22)</f>
        <v>4000</v>
      </c>
      <c r="F23" s="1"/>
      <c r="G23" s="1"/>
    </row>
    <row r="24" ht="15">
      <c r="G24" s="1"/>
    </row>
    <row r="25" spans="2:5" ht="15">
      <c r="B25" s="347" t="s">
        <v>38</v>
      </c>
      <c r="C25" s="368"/>
      <c r="D25" s="368"/>
      <c r="E25" s="348"/>
    </row>
    <row r="26" spans="2:5" ht="30">
      <c r="B26" s="120" t="s">
        <v>8</v>
      </c>
      <c r="C26" s="124" t="s">
        <v>203</v>
      </c>
      <c r="D26" s="124" t="s">
        <v>204</v>
      </c>
      <c r="E26" s="121" t="s">
        <v>205</v>
      </c>
    </row>
    <row r="27" spans="2:5" ht="15">
      <c r="B27" s="5" t="s">
        <v>39</v>
      </c>
      <c r="C27" s="13">
        <f>+C18</f>
        <v>12500</v>
      </c>
      <c r="D27" s="13">
        <f>+D18</f>
        <v>11700</v>
      </c>
      <c r="E27" s="6">
        <f>+E18</f>
        <v>11000</v>
      </c>
    </row>
    <row r="28" spans="2:5" ht="15">
      <c r="B28" s="5" t="s">
        <v>40</v>
      </c>
      <c r="C28" s="13">
        <v>0</v>
      </c>
      <c r="D28" s="13">
        <v>0</v>
      </c>
      <c r="E28" s="6">
        <f>+F14</f>
        <v>3000</v>
      </c>
    </row>
    <row r="29" spans="2:5" ht="30">
      <c r="B29" s="5" t="s">
        <v>206</v>
      </c>
      <c r="C29" s="13">
        <f>+C10</f>
        <v>2500</v>
      </c>
      <c r="D29" s="13">
        <f>+C29+D10</f>
        <v>4300</v>
      </c>
      <c r="E29" s="6">
        <f>+D29+E10+E22</f>
        <v>0</v>
      </c>
    </row>
    <row r="30" spans="2:5" ht="15">
      <c r="B30" s="15" t="s">
        <v>17</v>
      </c>
      <c r="C30" s="16">
        <f>SUM(C27:C29)</f>
        <v>15000</v>
      </c>
      <c r="D30" s="16">
        <f>SUM(D27:D29)</f>
        <v>16000</v>
      </c>
      <c r="E30" s="123">
        <f>SUM(E27:E29)</f>
        <v>14000</v>
      </c>
    </row>
    <row r="31" spans="2:5" ht="30">
      <c r="B31" s="120" t="s">
        <v>41</v>
      </c>
      <c r="C31" s="124" t="s">
        <v>203</v>
      </c>
      <c r="D31" s="124" t="s">
        <v>204</v>
      </c>
      <c r="E31" s="121" t="s">
        <v>205</v>
      </c>
    </row>
    <row r="32" spans="2:5" ht="30">
      <c r="B32" s="5" t="s">
        <v>207</v>
      </c>
      <c r="C32" s="13">
        <f>+C8</f>
        <v>5000</v>
      </c>
      <c r="D32" s="13">
        <f>+C32+D8</f>
        <v>6000</v>
      </c>
      <c r="E32" s="6">
        <f>+D32+E8-7000</f>
        <v>0</v>
      </c>
    </row>
    <row r="33" spans="2:5" ht="15">
      <c r="B33" s="5" t="s">
        <v>196</v>
      </c>
      <c r="C33" s="13">
        <v>10000</v>
      </c>
      <c r="D33" s="13">
        <v>10000</v>
      </c>
      <c r="E33" s="6">
        <v>10000</v>
      </c>
    </row>
    <row r="34" spans="2:5" ht="30">
      <c r="B34" s="5" t="s">
        <v>43</v>
      </c>
      <c r="C34" s="13">
        <f>+C23</f>
        <v>0</v>
      </c>
      <c r="D34" s="13">
        <f>+C34+D23</f>
        <v>0</v>
      </c>
      <c r="E34" s="6">
        <f>+D34+E23</f>
        <v>4000</v>
      </c>
    </row>
    <row r="35" spans="2:5" ht="15">
      <c r="B35" s="15" t="s">
        <v>17</v>
      </c>
      <c r="C35" s="16">
        <f>SUM(C32:C34)</f>
        <v>15000</v>
      </c>
      <c r="D35" s="16">
        <f>SUM(D32:D34)</f>
        <v>16000</v>
      </c>
      <c r="E35" s="123">
        <f>SUM(E32:E34)</f>
        <v>14000</v>
      </c>
    </row>
    <row r="36" ht="15"/>
    <row r="37" spans="2:5" ht="15">
      <c r="B37" s="120" t="s">
        <v>87</v>
      </c>
      <c r="C37" s="124" t="str">
        <f>+C20</f>
        <v>ANO X1</v>
      </c>
      <c r="D37" s="124" t="str">
        <f>+D20</f>
        <v>ANO X2</v>
      </c>
      <c r="E37" s="121" t="str">
        <f>+E20</f>
        <v>ANO X3</v>
      </c>
    </row>
    <row r="38" spans="2:5" ht="15">
      <c r="B38" s="5" t="s">
        <v>32</v>
      </c>
      <c r="C38" s="13">
        <f>+C11*$G$8</f>
        <v>4170</v>
      </c>
      <c r="D38" s="13">
        <f>+D11*$G$8</f>
        <v>3000</v>
      </c>
      <c r="E38" s="6">
        <f>+E11*$G$8</f>
        <v>2829.9999999999995</v>
      </c>
    </row>
    <row r="39" spans="2:5" ht="30">
      <c r="B39" s="5" t="s">
        <v>202</v>
      </c>
      <c r="C39" s="13">
        <f>-C10</f>
        <v>-2500</v>
      </c>
      <c r="D39" s="13">
        <f>-D10</f>
        <v>-1800</v>
      </c>
      <c r="E39" s="6">
        <f>-E10</f>
        <v>-1700</v>
      </c>
    </row>
    <row r="40" spans="2:5" ht="15">
      <c r="B40" s="15" t="s">
        <v>34</v>
      </c>
      <c r="C40" s="16">
        <f>+SUM(C38:C39)</f>
        <v>1670</v>
      </c>
      <c r="D40" s="16">
        <f>+SUM(D38:D39)</f>
        <v>1200</v>
      </c>
      <c r="E40" s="123">
        <f>+SUM(E38:E39)</f>
        <v>1129.9999999999995</v>
      </c>
    </row>
    <row r="42" spans="2:5" ht="15">
      <c r="B42" s="347" t="s">
        <v>38</v>
      </c>
      <c r="C42" s="368"/>
      <c r="D42" s="368"/>
      <c r="E42" s="348"/>
    </row>
    <row r="43" spans="2:5" ht="15">
      <c r="B43" s="120" t="s">
        <v>8</v>
      </c>
      <c r="C43" s="124" t="s">
        <v>203</v>
      </c>
      <c r="D43" s="124" t="s">
        <v>204</v>
      </c>
      <c r="E43" s="121" t="s">
        <v>205</v>
      </c>
    </row>
    <row r="44" spans="2:5" ht="15">
      <c r="B44" s="5" t="s">
        <v>39</v>
      </c>
      <c r="C44" s="13">
        <f>+C27</f>
        <v>12500</v>
      </c>
      <c r="D44" s="13">
        <f>+D27</f>
        <v>11700</v>
      </c>
      <c r="E44" s="6">
        <f>+E27</f>
        <v>11000</v>
      </c>
    </row>
    <row r="45" spans="2:5" ht="15">
      <c r="B45" s="5" t="s">
        <v>40</v>
      </c>
      <c r="C45" s="13">
        <v>0</v>
      </c>
      <c r="D45" s="13">
        <f>+D38-D8-C48</f>
        <v>1170</v>
      </c>
      <c r="E45" s="6">
        <f>+F8</f>
        <v>3000</v>
      </c>
    </row>
    <row r="46" spans="2:5" ht="15">
      <c r="B46" s="15" t="s">
        <v>17</v>
      </c>
      <c r="C46" s="16">
        <f>SUM(C44:C45)</f>
        <v>12500</v>
      </c>
      <c r="D46" s="16">
        <f>SUM(D44:D45)</f>
        <v>12870</v>
      </c>
      <c r="E46" s="123">
        <f>SUM(E44:E45)</f>
        <v>14000</v>
      </c>
    </row>
    <row r="47" spans="2:5" ht="15">
      <c r="B47" s="120" t="s">
        <v>41</v>
      </c>
      <c r="C47" s="124" t="s">
        <v>203</v>
      </c>
      <c r="D47" s="124" t="s">
        <v>204</v>
      </c>
      <c r="E47" s="121" t="s">
        <v>205</v>
      </c>
    </row>
    <row r="48" spans="2:5" ht="15">
      <c r="B48" s="5" t="s">
        <v>207</v>
      </c>
      <c r="C48" s="13">
        <f>+C8-C38</f>
        <v>830</v>
      </c>
      <c r="D48" s="13">
        <v>0</v>
      </c>
      <c r="E48" s="6">
        <v>0</v>
      </c>
    </row>
    <row r="49" spans="2:5" ht="15">
      <c r="B49" s="5" t="s">
        <v>196</v>
      </c>
      <c r="C49" s="13">
        <v>10000</v>
      </c>
      <c r="D49" s="13">
        <v>10000</v>
      </c>
      <c r="E49" s="6">
        <v>10000</v>
      </c>
    </row>
    <row r="50" spans="2:5" ht="15">
      <c r="B50" s="5" t="s">
        <v>43</v>
      </c>
      <c r="C50" s="13">
        <f>+C40</f>
        <v>1670</v>
      </c>
      <c r="D50" s="13">
        <f>+C50+D40</f>
        <v>2870</v>
      </c>
      <c r="E50" s="6">
        <f>+D50+E40</f>
        <v>3999.9999999999995</v>
      </c>
    </row>
    <row r="51" spans="2:5" ht="15">
      <c r="B51" s="15" t="s">
        <v>17</v>
      </c>
      <c r="C51" s="16">
        <f>SUM(C48:C50)</f>
        <v>12500</v>
      </c>
      <c r="D51" s="16">
        <f>SUM(D48:D50)</f>
        <v>12870</v>
      </c>
      <c r="E51" s="123">
        <f>SUM(E48:E50)</f>
        <v>14000</v>
      </c>
    </row>
  </sheetData>
  <sheetProtection/>
  <mergeCells count="6">
    <mergeCell ref="B42:E42"/>
    <mergeCell ref="B2:C2"/>
    <mergeCell ref="B6:G6"/>
    <mergeCell ref="B8:B9"/>
    <mergeCell ref="B10:B11"/>
    <mergeCell ref="B25:E25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28"/>
  <sheetViews>
    <sheetView zoomScale="120" zoomScaleNormal="120" zoomScalePageLayoutView="0" workbookViewId="0" topLeftCell="A9">
      <selection activeCell="E28" sqref="E28"/>
    </sheetView>
  </sheetViews>
  <sheetFormatPr defaultColWidth="9.140625" defaultRowHeight="15"/>
  <cols>
    <col min="1" max="1" width="3.28125" style="1" customWidth="1"/>
    <col min="2" max="2" width="25.57421875" style="13" bestFit="1" customWidth="1"/>
    <col min="3" max="6" width="10.57421875" style="13" customWidth="1"/>
    <col min="7" max="7" width="13.140625" style="13" customWidth="1"/>
    <col min="8" max="8" width="9.140625" style="1" customWidth="1"/>
    <col min="9" max="9" width="8.8515625" style="1" bestFit="1" customWidth="1"/>
    <col min="10" max="10" width="15.8515625" style="1" customWidth="1"/>
    <col min="11" max="16384" width="9.140625" style="1" customWidth="1"/>
  </cols>
  <sheetData>
    <row r="2" spans="2:4" ht="15">
      <c r="B2" s="135" t="s">
        <v>208</v>
      </c>
      <c r="C2" s="135">
        <v>16000</v>
      </c>
      <c r="D2" s="136" t="s">
        <v>62</v>
      </c>
    </row>
    <row r="4" spans="2:4" ht="15">
      <c r="B4" s="137" t="s">
        <v>214</v>
      </c>
      <c r="C4" s="18"/>
      <c r="D4" s="4"/>
    </row>
    <row r="5" spans="2:4" ht="15">
      <c r="B5" s="49" t="s">
        <v>215</v>
      </c>
      <c r="C5" s="13">
        <v>16000</v>
      </c>
      <c r="D5" s="138" t="s">
        <v>62</v>
      </c>
    </row>
    <row r="6" spans="2:4" ht="15">
      <c r="B6" s="125" t="s">
        <v>216</v>
      </c>
      <c r="C6" s="14">
        <f>+C5*(1-5%)</f>
        <v>15200</v>
      </c>
      <c r="D6" s="139" t="s">
        <v>62</v>
      </c>
    </row>
    <row r="7" ht="15">
      <c r="D7" s="67"/>
    </row>
    <row r="8" spans="2:4" ht="15">
      <c r="B8" s="137" t="s">
        <v>217</v>
      </c>
      <c r="C8" s="18"/>
      <c r="D8" s="4"/>
    </row>
    <row r="9" spans="2:4" ht="15">
      <c r="B9" s="49" t="s">
        <v>215</v>
      </c>
      <c r="C9" s="13">
        <f>+C6</f>
        <v>15200</v>
      </c>
      <c r="D9" s="138" t="s">
        <v>62</v>
      </c>
    </row>
    <row r="10" spans="2:4" ht="15">
      <c r="B10" s="49" t="s">
        <v>216</v>
      </c>
      <c r="C10" s="13">
        <f>+C9*(1-5%)</f>
        <v>14440</v>
      </c>
      <c r="D10" s="138" t="s">
        <v>62</v>
      </c>
    </row>
    <row r="11" spans="2:4" ht="15">
      <c r="B11" s="125" t="s">
        <v>218</v>
      </c>
      <c r="C11" s="14">
        <f>+C9-C10</f>
        <v>760</v>
      </c>
      <c r="D11" s="139" t="s">
        <v>62</v>
      </c>
    </row>
    <row r="12" ht="15">
      <c r="D12" s="67"/>
    </row>
    <row r="13" spans="2:3" ht="15">
      <c r="B13" s="3" t="s">
        <v>209</v>
      </c>
      <c r="C13" s="4">
        <v>80000</v>
      </c>
    </row>
    <row r="14" spans="2:3" ht="15">
      <c r="B14" s="5" t="s">
        <v>211</v>
      </c>
      <c r="C14" s="6">
        <f>-C13*18%</f>
        <v>-14400</v>
      </c>
    </row>
    <row r="15" spans="2:3" ht="15">
      <c r="B15" s="29" t="s">
        <v>219</v>
      </c>
      <c r="C15" s="30">
        <f>SUM(C13:C14)</f>
        <v>65600</v>
      </c>
    </row>
    <row r="16" spans="2:3" ht="15">
      <c r="B16" s="5" t="s">
        <v>213</v>
      </c>
      <c r="C16" s="6">
        <f>-2*C11</f>
        <v>-1520</v>
      </c>
    </row>
    <row r="17" spans="2:3" ht="15">
      <c r="B17" s="15" t="s">
        <v>212</v>
      </c>
      <c r="C17" s="123">
        <f>+SUM(C15:C16)</f>
        <v>64080</v>
      </c>
    </row>
    <row r="19" spans="2:4" ht="15">
      <c r="B19" s="126"/>
      <c r="C19" s="124" t="s">
        <v>93</v>
      </c>
      <c r="D19" s="121" t="s">
        <v>94</v>
      </c>
    </row>
    <row r="20" spans="2:4" ht="15">
      <c r="B20" s="3" t="s">
        <v>220</v>
      </c>
      <c r="C20" s="18"/>
      <c r="D20" s="4">
        <f>+C13</f>
        <v>80000</v>
      </c>
    </row>
    <row r="21" spans="2:4" ht="15">
      <c r="B21" s="5" t="s">
        <v>221</v>
      </c>
      <c r="C21" s="13">
        <f>+C15</f>
        <v>65600</v>
      </c>
      <c r="D21" s="6"/>
    </row>
    <row r="22" spans="2:4" ht="15">
      <c r="B22" s="5" t="s">
        <v>222</v>
      </c>
      <c r="C22" s="13">
        <f>+-C14</f>
        <v>14400</v>
      </c>
      <c r="D22" s="6"/>
    </row>
    <row r="23" spans="2:4" ht="15">
      <c r="B23" s="5" t="s">
        <v>221</v>
      </c>
      <c r="D23" s="6">
        <f>-C16</f>
        <v>1520</v>
      </c>
    </row>
    <row r="24" spans="2:4" ht="15">
      <c r="B24" s="5" t="s">
        <v>223</v>
      </c>
      <c r="C24" s="13">
        <f>+D23</f>
        <v>1520</v>
      </c>
      <c r="D24" s="6"/>
    </row>
    <row r="25" spans="2:7" ht="15">
      <c r="B25" s="141" t="s">
        <v>224</v>
      </c>
      <c r="C25" s="142">
        <f>+C11*2.1</f>
        <v>1596</v>
      </c>
      <c r="D25" s="143"/>
      <c r="E25" s="377" t="s">
        <v>225</v>
      </c>
      <c r="F25" s="378"/>
      <c r="G25" s="379"/>
    </row>
    <row r="26" spans="2:7" ht="15">
      <c r="B26" s="147" t="s">
        <v>223</v>
      </c>
      <c r="C26" s="140"/>
      <c r="D26" s="148">
        <f>+C24</f>
        <v>1520</v>
      </c>
      <c r="E26" s="380"/>
      <c r="F26" s="381"/>
      <c r="G26" s="382"/>
    </row>
    <row r="27" spans="2:7" ht="15">
      <c r="B27" s="144" t="s">
        <v>123</v>
      </c>
      <c r="C27" s="145"/>
      <c r="D27" s="146">
        <f>+C25-D26</f>
        <v>76</v>
      </c>
      <c r="E27" s="383"/>
      <c r="F27" s="384"/>
      <c r="G27" s="385"/>
    </row>
    <row r="28" spans="2:4" ht="15">
      <c r="B28" s="15" t="s">
        <v>17</v>
      </c>
      <c r="C28" s="16">
        <f>+SUM(C20:C27)</f>
        <v>83116</v>
      </c>
      <c r="D28" s="123">
        <f>+SUM(D20:D27)</f>
        <v>83116</v>
      </c>
    </row>
  </sheetData>
  <sheetProtection/>
  <mergeCells count="1">
    <mergeCell ref="E25:G2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30"/>
  <sheetViews>
    <sheetView zoomScale="120" zoomScaleNormal="120" zoomScalePageLayoutView="0" workbookViewId="0" topLeftCell="A1">
      <selection activeCell="C32" sqref="C32"/>
    </sheetView>
  </sheetViews>
  <sheetFormatPr defaultColWidth="9.140625" defaultRowHeight="15"/>
  <cols>
    <col min="1" max="1" width="3.28125" style="1" customWidth="1"/>
    <col min="2" max="2" width="25.57421875" style="13" bestFit="1" customWidth="1"/>
    <col min="3" max="6" width="10.57421875" style="13" customWidth="1"/>
    <col min="7" max="7" width="13.140625" style="13" customWidth="1"/>
    <col min="8" max="8" width="9.140625" style="1" customWidth="1"/>
    <col min="9" max="9" width="8.8515625" style="1" bestFit="1" customWidth="1"/>
    <col min="10" max="10" width="15.8515625" style="1" customWidth="1"/>
    <col min="11" max="16384" width="9.140625" style="1" customWidth="1"/>
  </cols>
  <sheetData>
    <row r="2" spans="2:4" ht="15">
      <c r="B2" s="135" t="s">
        <v>226</v>
      </c>
      <c r="C2" s="135">
        <v>50000</v>
      </c>
      <c r="D2" s="135" t="s">
        <v>62</v>
      </c>
    </row>
    <row r="4" spans="2:5" ht="30">
      <c r="B4" s="126"/>
      <c r="C4" s="124" t="s">
        <v>227</v>
      </c>
      <c r="D4" s="124" t="s">
        <v>228</v>
      </c>
      <c r="E4" s="121" t="s">
        <v>229</v>
      </c>
    </row>
    <row r="5" spans="2:7" ht="15">
      <c r="B5" s="49" t="s">
        <v>230</v>
      </c>
      <c r="C5" s="26">
        <v>30000</v>
      </c>
      <c r="D5" s="26">
        <v>30000</v>
      </c>
      <c r="E5" s="149">
        <v>5</v>
      </c>
      <c r="F5" s="126">
        <f>+E5*C5</f>
        <v>150000</v>
      </c>
      <c r="G5" s="111">
        <f>+F5/$F$8</f>
        <v>0.5</v>
      </c>
    </row>
    <row r="6" spans="2:7" ht="15">
      <c r="B6" s="49" t="s">
        <v>231</v>
      </c>
      <c r="C6" s="26">
        <v>15000</v>
      </c>
      <c r="D6" s="26">
        <v>15000</v>
      </c>
      <c r="E6" s="149">
        <v>6.8</v>
      </c>
      <c r="F6" s="49">
        <f>+E6*C6</f>
        <v>102000</v>
      </c>
      <c r="G6" s="112">
        <f>+F6/$F$8</f>
        <v>0.34</v>
      </c>
    </row>
    <row r="7" spans="2:7" ht="15">
      <c r="B7" s="49" t="s">
        <v>232</v>
      </c>
      <c r="C7" s="26">
        <v>5000</v>
      </c>
      <c r="D7" s="26">
        <v>3800</v>
      </c>
      <c r="E7" s="149">
        <v>9.6</v>
      </c>
      <c r="F7" s="49">
        <f>+E7*C7</f>
        <v>48000</v>
      </c>
      <c r="G7" s="112">
        <f>+F7/$F$8</f>
        <v>0.16</v>
      </c>
    </row>
    <row r="8" spans="2:7" ht="15">
      <c r="B8" s="125"/>
      <c r="C8" s="35">
        <f>SUM(C5:C7)</f>
        <v>50000</v>
      </c>
      <c r="D8" s="35">
        <f>SUM(D5:D7)</f>
        <v>48800</v>
      </c>
      <c r="E8" s="8"/>
      <c r="F8" s="122">
        <f>SUM(F5:F7)</f>
        <v>300000</v>
      </c>
      <c r="G8" s="154">
        <f>SUM(G5:G7)</f>
        <v>1</v>
      </c>
    </row>
    <row r="10" spans="2:3" ht="15">
      <c r="B10" s="347" t="s">
        <v>235</v>
      </c>
      <c r="C10" s="348"/>
    </row>
    <row r="11" spans="2:3" ht="15">
      <c r="B11" s="5" t="s">
        <v>210</v>
      </c>
      <c r="C11" s="6">
        <f>3*C2</f>
        <v>150000</v>
      </c>
    </row>
    <row r="12" spans="2:3" ht="15">
      <c r="B12" s="5" t="s">
        <v>233</v>
      </c>
      <c r="C12" s="6">
        <v>25000</v>
      </c>
    </row>
    <row r="13" spans="2:3" ht="15">
      <c r="B13" s="5" t="s">
        <v>234</v>
      </c>
      <c r="C13" s="6">
        <v>12500</v>
      </c>
    </row>
    <row r="14" spans="2:3" ht="15">
      <c r="B14" s="15" t="s">
        <v>17</v>
      </c>
      <c r="C14" s="123">
        <f>SUM(C11:C13)</f>
        <v>187500</v>
      </c>
    </row>
    <row r="16" spans="2:8" ht="15">
      <c r="B16" s="351" t="s">
        <v>236</v>
      </c>
      <c r="C16" s="356"/>
      <c r="D16" s="356"/>
      <c r="E16" s="356"/>
      <c r="F16" s="356"/>
      <c r="G16" s="356"/>
      <c r="H16" s="352"/>
    </row>
    <row r="17" spans="2:8" ht="15">
      <c r="B17" s="347" t="s">
        <v>237</v>
      </c>
      <c r="C17" s="347" t="s">
        <v>238</v>
      </c>
      <c r="D17" s="368" t="s">
        <v>123</v>
      </c>
      <c r="E17" s="368" t="s">
        <v>239</v>
      </c>
      <c r="F17" s="347" t="s">
        <v>32</v>
      </c>
      <c r="G17" s="368" t="s">
        <v>240</v>
      </c>
      <c r="H17" s="348"/>
    </row>
    <row r="18" spans="2:8" ht="15">
      <c r="B18" s="354"/>
      <c r="C18" s="354"/>
      <c r="D18" s="386"/>
      <c r="E18" s="386"/>
      <c r="F18" s="354"/>
      <c r="G18" s="150" t="s">
        <v>241</v>
      </c>
      <c r="H18" s="133" t="s">
        <v>193</v>
      </c>
    </row>
    <row r="19" spans="2:8" ht="15">
      <c r="B19" s="126" t="str">
        <f>+B5</f>
        <v>Quirera</v>
      </c>
      <c r="C19" s="134">
        <f>+$C$14/$C$8*C5</f>
        <v>112500</v>
      </c>
      <c r="D19" s="18">
        <f>+C19/C5*D5</f>
        <v>112500</v>
      </c>
      <c r="E19" s="18">
        <f>+C19/C5*(C5-D5)</f>
        <v>0</v>
      </c>
      <c r="F19" s="134">
        <f>+D5*E5</f>
        <v>150000</v>
      </c>
      <c r="G19" s="18">
        <f>+F19-D19</f>
        <v>37500</v>
      </c>
      <c r="H19" s="151">
        <f>+G19/F19</f>
        <v>0.25</v>
      </c>
    </row>
    <row r="20" spans="2:8" ht="15">
      <c r="B20" s="49" t="str">
        <f>+B6</f>
        <v>Fubá</v>
      </c>
      <c r="C20" s="49">
        <f>+$C$14/$C$8*C6</f>
        <v>56250</v>
      </c>
      <c r="D20" s="13">
        <f>+C20/C6*D6</f>
        <v>56250</v>
      </c>
      <c r="E20" s="13">
        <f>+C20/C6*(C6-D6)</f>
        <v>0</v>
      </c>
      <c r="F20" s="49">
        <f>+D6*E6</f>
        <v>102000</v>
      </c>
      <c r="G20" s="13">
        <f>+F20-D20</f>
        <v>45750</v>
      </c>
      <c r="H20" s="152">
        <f>+G20/F20</f>
        <v>0.4485294117647059</v>
      </c>
    </row>
    <row r="21" spans="2:8" ht="15">
      <c r="B21" s="49" t="str">
        <f>+B7</f>
        <v>Germe</v>
      </c>
      <c r="C21" s="49">
        <f>+$C$14/$C$8*C7</f>
        <v>18750</v>
      </c>
      <c r="D21" s="13">
        <f>+C21/C7*D7</f>
        <v>14250</v>
      </c>
      <c r="E21" s="13">
        <f>+C21/C7*(C7-D7)</f>
        <v>4500</v>
      </c>
      <c r="F21" s="49">
        <f>+D7*E7</f>
        <v>36480</v>
      </c>
      <c r="G21" s="13">
        <f>+F21-D21</f>
        <v>22230</v>
      </c>
      <c r="H21" s="152">
        <f>+G21/F21</f>
        <v>0.609375</v>
      </c>
    </row>
    <row r="22" spans="2:8" ht="15">
      <c r="B22" s="122" t="s">
        <v>17</v>
      </c>
      <c r="C22" s="132">
        <f>SUM(C19:C21)</f>
        <v>187500</v>
      </c>
      <c r="D22" s="150">
        <f>SUM(D19:D21)</f>
        <v>183000</v>
      </c>
      <c r="E22" s="150">
        <f>SUM(E19:E21)</f>
        <v>4500</v>
      </c>
      <c r="F22" s="132">
        <f>SUM(F19:F21)</f>
        <v>288480</v>
      </c>
      <c r="G22" s="150">
        <f>SUM(G19:G21)</f>
        <v>105480</v>
      </c>
      <c r="H22" s="153">
        <f>+G22/F22</f>
        <v>0.3656405990016639</v>
      </c>
    </row>
    <row r="24" spans="2:8" ht="15">
      <c r="B24" s="351" t="s">
        <v>242</v>
      </c>
      <c r="C24" s="356"/>
      <c r="D24" s="356"/>
      <c r="E24" s="356"/>
      <c r="F24" s="356"/>
      <c r="G24" s="356"/>
      <c r="H24" s="352"/>
    </row>
    <row r="25" spans="2:8" ht="15">
      <c r="B25" s="347" t="s">
        <v>237</v>
      </c>
      <c r="C25" s="347" t="s">
        <v>238</v>
      </c>
      <c r="D25" s="368" t="s">
        <v>123</v>
      </c>
      <c r="E25" s="348" t="s">
        <v>239</v>
      </c>
      <c r="F25" s="368" t="s">
        <v>32</v>
      </c>
      <c r="G25" s="368" t="s">
        <v>240</v>
      </c>
      <c r="H25" s="348"/>
    </row>
    <row r="26" spans="2:8" ht="15">
      <c r="B26" s="354"/>
      <c r="C26" s="354"/>
      <c r="D26" s="386"/>
      <c r="E26" s="355"/>
      <c r="F26" s="386"/>
      <c r="G26" s="16" t="s">
        <v>241</v>
      </c>
      <c r="H26" s="123" t="s">
        <v>193</v>
      </c>
    </row>
    <row r="27" spans="2:8" ht="15">
      <c r="B27" s="126" t="str">
        <f>+B19</f>
        <v>Quirera</v>
      </c>
      <c r="C27" s="134">
        <f>+$C$14*G5</f>
        <v>93750</v>
      </c>
      <c r="D27" s="18">
        <f>+C27/C5*D5</f>
        <v>93750</v>
      </c>
      <c r="E27" s="4">
        <f>+C27/C5*(C5-D5)</f>
        <v>0</v>
      </c>
      <c r="F27" s="18">
        <f>+D5*E5</f>
        <v>150000</v>
      </c>
      <c r="G27" s="18">
        <f>+F27-D27</f>
        <v>56250</v>
      </c>
      <c r="H27" s="151">
        <f>+G27/F27</f>
        <v>0.375</v>
      </c>
    </row>
    <row r="28" spans="2:8" ht="15">
      <c r="B28" s="49" t="str">
        <f>+B20</f>
        <v>Fubá</v>
      </c>
      <c r="C28" s="49">
        <f>+$C$14*G6</f>
        <v>63750.00000000001</v>
      </c>
      <c r="D28" s="13">
        <f>+C28/C6*D6</f>
        <v>63750.000000000015</v>
      </c>
      <c r="E28" s="6">
        <f>+C28/C6*(C6-D6)</f>
        <v>0</v>
      </c>
      <c r="F28" s="13">
        <f>+D6*E6</f>
        <v>102000</v>
      </c>
      <c r="G28" s="13">
        <f>+F28-D28</f>
        <v>38249.999999999985</v>
      </c>
      <c r="H28" s="152">
        <f>+G28/F28</f>
        <v>0.37499999999999983</v>
      </c>
    </row>
    <row r="29" spans="2:8" ht="15">
      <c r="B29" s="49" t="str">
        <f>+B21</f>
        <v>Germe</v>
      </c>
      <c r="C29" s="49">
        <f>+$C$14*G7</f>
        <v>30000</v>
      </c>
      <c r="D29" s="13">
        <f>+C29/C7*D7</f>
        <v>22800</v>
      </c>
      <c r="E29" s="6">
        <f>+C29/C7*(C7-D7)</f>
        <v>7200</v>
      </c>
      <c r="F29" s="13">
        <f>+D7*E7</f>
        <v>36480</v>
      </c>
      <c r="G29" s="13">
        <f>+F29-D29</f>
        <v>13680</v>
      </c>
      <c r="H29" s="152">
        <f>+G29/F29</f>
        <v>0.375</v>
      </c>
    </row>
    <row r="30" spans="2:8" ht="15">
      <c r="B30" s="122" t="s">
        <v>17</v>
      </c>
      <c r="C30" s="132">
        <f>SUM(C27:C29)</f>
        <v>187500</v>
      </c>
      <c r="D30" s="150">
        <f>SUM(D27:D29)</f>
        <v>180300</v>
      </c>
      <c r="E30" s="133">
        <f>SUM(E27:E29)</f>
        <v>7200</v>
      </c>
      <c r="F30" s="16">
        <f>SUM(F27:F29)</f>
        <v>288480</v>
      </c>
      <c r="G30" s="16">
        <f>SUM(G27:G29)</f>
        <v>108179.99999999999</v>
      </c>
      <c r="H30" s="153">
        <f>+G30/F30</f>
        <v>0.37499999999999994</v>
      </c>
    </row>
  </sheetData>
  <sheetProtection/>
  <mergeCells count="15">
    <mergeCell ref="B10:C10"/>
    <mergeCell ref="G17:H17"/>
    <mergeCell ref="B16:H16"/>
    <mergeCell ref="B17:B18"/>
    <mergeCell ref="C17:C18"/>
    <mergeCell ref="D17:D18"/>
    <mergeCell ref="E17:E18"/>
    <mergeCell ref="F17:F18"/>
    <mergeCell ref="B24:H24"/>
    <mergeCell ref="B25:B26"/>
    <mergeCell ref="C25:C26"/>
    <mergeCell ref="D25:D26"/>
    <mergeCell ref="E25:E26"/>
    <mergeCell ref="F25:F26"/>
    <mergeCell ref="G25:H2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50"/>
  <sheetViews>
    <sheetView zoomScale="120" zoomScaleNormal="120" zoomScalePageLayoutView="0" workbookViewId="0" topLeftCell="A31">
      <selection activeCell="B47" sqref="B47"/>
    </sheetView>
  </sheetViews>
  <sheetFormatPr defaultColWidth="9.140625" defaultRowHeight="15"/>
  <cols>
    <col min="1" max="1" width="3.28125" style="1" customWidth="1"/>
    <col min="2" max="2" width="37.7109375" style="13" customWidth="1"/>
    <col min="3" max="3" width="10.57421875" style="13" customWidth="1"/>
    <col min="4" max="4" width="14.8515625" style="13" customWidth="1"/>
    <col min="5" max="6" width="10.57421875" style="13" customWidth="1"/>
    <col min="7" max="7" width="13.140625" style="13" customWidth="1"/>
    <col min="8" max="8" width="9.140625" style="1" customWidth="1"/>
    <col min="9" max="9" width="8.8515625" style="1" bestFit="1" customWidth="1"/>
    <col min="10" max="10" width="15.8515625" style="1" customWidth="1"/>
    <col min="11" max="16384" width="9.140625" style="1" customWidth="1"/>
  </cols>
  <sheetData>
    <row r="1" ht="15"/>
    <row r="2" spans="2:4" ht="15">
      <c r="B2" s="161" t="s">
        <v>243</v>
      </c>
      <c r="C2" s="171">
        <v>6</v>
      </c>
      <c r="D2" s="4" t="s">
        <v>244</v>
      </c>
    </row>
    <row r="3" spans="2:4" ht="30">
      <c r="B3" s="49" t="s">
        <v>245</v>
      </c>
      <c r="C3" s="170">
        <v>42</v>
      </c>
      <c r="D3" s="6" t="s">
        <v>247</v>
      </c>
    </row>
    <row r="4" spans="2:4" ht="15">
      <c r="B4" s="162" t="s">
        <v>245</v>
      </c>
      <c r="C4" s="172">
        <f>+C3/C2</f>
        <v>7</v>
      </c>
      <c r="D4" s="8" t="s">
        <v>246</v>
      </c>
    </row>
    <row r="5" ht="15"/>
    <row r="6" spans="2:3" ht="15">
      <c r="B6" s="347" t="s">
        <v>248</v>
      </c>
      <c r="C6" s="348"/>
    </row>
    <row r="7" spans="2:3" ht="15">
      <c r="B7" s="49" t="s">
        <v>249</v>
      </c>
      <c r="C7" s="152">
        <v>0.2</v>
      </c>
    </row>
    <row r="8" spans="2:3" ht="15">
      <c r="B8" s="49" t="s">
        <v>250</v>
      </c>
      <c r="C8" s="152">
        <v>0.05</v>
      </c>
    </row>
    <row r="9" spans="2:3" ht="15">
      <c r="B9" s="49" t="s">
        <v>251</v>
      </c>
      <c r="C9" s="152">
        <v>0.03</v>
      </c>
    </row>
    <row r="10" spans="2:3" ht="15">
      <c r="B10" s="49" t="s">
        <v>252</v>
      </c>
      <c r="C10" s="152">
        <v>0.08</v>
      </c>
    </row>
    <row r="11" spans="2:3" ht="15">
      <c r="B11" s="157" t="s">
        <v>17</v>
      </c>
      <c r="C11" s="153">
        <f>+SUM(C7:C10)</f>
        <v>0.36000000000000004</v>
      </c>
    </row>
    <row r="12" ht="15"/>
    <row r="13" spans="2:3" ht="15">
      <c r="B13" s="387" t="s">
        <v>253</v>
      </c>
      <c r="C13" s="388"/>
    </row>
    <row r="14" spans="2:3" ht="15">
      <c r="B14" s="33" t="s">
        <v>254</v>
      </c>
      <c r="C14" s="27">
        <v>365</v>
      </c>
    </row>
    <row r="15" spans="2:3" ht="15">
      <c r="B15" s="33" t="s">
        <v>255</v>
      </c>
      <c r="C15" s="27">
        <v>-48</v>
      </c>
    </row>
    <row r="16" spans="2:3" ht="15">
      <c r="B16" s="33" t="s">
        <v>256</v>
      </c>
      <c r="C16" s="27">
        <v>-30</v>
      </c>
    </row>
    <row r="17" spans="2:3" ht="15">
      <c r="B17" s="33" t="s">
        <v>257</v>
      </c>
      <c r="C17" s="27">
        <v>-12</v>
      </c>
    </row>
    <row r="18" spans="2:3" ht="15">
      <c r="B18" s="33" t="s">
        <v>258</v>
      </c>
      <c r="C18" s="27">
        <v>-3</v>
      </c>
    </row>
    <row r="19" spans="2:3" ht="30">
      <c r="B19" s="34" t="s">
        <v>259</v>
      </c>
      <c r="C19" s="36">
        <f>SUM(C14:C18)</f>
        <v>272</v>
      </c>
    </row>
    <row r="20" spans="2:3" ht="15">
      <c r="B20" s="26"/>
      <c r="C20" s="26"/>
    </row>
    <row r="21" spans="2:3" ht="15">
      <c r="B21" s="175" t="s">
        <v>260</v>
      </c>
      <c r="C21" s="176">
        <f>+C19*C4</f>
        <v>1904</v>
      </c>
    </row>
    <row r="23" spans="2:4" ht="15">
      <c r="B23" s="389" t="s">
        <v>261</v>
      </c>
      <c r="C23" s="390"/>
      <c r="D23" s="391"/>
    </row>
    <row r="24" spans="2:4" ht="15">
      <c r="B24" s="5" t="s">
        <v>262</v>
      </c>
      <c r="C24" s="13">
        <f>5*C21</f>
        <v>9520</v>
      </c>
      <c r="D24" s="152">
        <f aca="true" t="shared" si="0" ref="D24:D35">+C24/$C$36</f>
        <v>0.49382716049382713</v>
      </c>
    </row>
    <row r="25" spans="2:4" ht="15">
      <c r="B25" s="5" t="s">
        <v>265</v>
      </c>
      <c r="C25" s="13">
        <f>-C15*7*5</f>
        <v>1680</v>
      </c>
      <c r="D25" s="152">
        <f t="shared" si="0"/>
        <v>0.08714596949891068</v>
      </c>
    </row>
    <row r="26" spans="2:4" ht="15">
      <c r="B26" s="5" t="s">
        <v>264</v>
      </c>
      <c r="C26" s="13">
        <f>+-5*7*C17</f>
        <v>420</v>
      </c>
      <c r="D26" s="152">
        <f t="shared" si="0"/>
        <v>0.02178649237472767</v>
      </c>
    </row>
    <row r="27" spans="2:4" ht="15">
      <c r="B27" s="5" t="s">
        <v>263</v>
      </c>
      <c r="C27" s="13">
        <f>-5*7*C18</f>
        <v>105</v>
      </c>
      <c r="D27" s="152">
        <f t="shared" si="0"/>
        <v>0.0054466230936819175</v>
      </c>
    </row>
    <row r="28" spans="2:4" ht="15">
      <c r="B28" s="5" t="s">
        <v>266</v>
      </c>
      <c r="C28" s="13">
        <f>30*7*5</f>
        <v>1050</v>
      </c>
      <c r="D28" s="152">
        <f t="shared" si="0"/>
        <v>0.054466230936819175</v>
      </c>
    </row>
    <row r="29" spans="2:4" ht="15">
      <c r="B29" s="5" t="s">
        <v>267</v>
      </c>
      <c r="C29" s="13">
        <f>30*7*5</f>
        <v>1050</v>
      </c>
      <c r="D29" s="152">
        <f t="shared" si="0"/>
        <v>0.054466230936819175</v>
      </c>
    </row>
    <row r="30" spans="2:4" ht="15">
      <c r="B30" s="5" t="s">
        <v>268</v>
      </c>
      <c r="C30" s="13">
        <f>+C29/3</f>
        <v>350</v>
      </c>
      <c r="D30" s="152">
        <f t="shared" si="0"/>
        <v>0.01815541031227306</v>
      </c>
    </row>
    <row r="31" spans="2:4" ht="15">
      <c r="B31" s="29" t="s">
        <v>219</v>
      </c>
      <c r="C31" s="28">
        <f>SUM(C24:C30)</f>
        <v>14175</v>
      </c>
      <c r="D31" s="152"/>
    </row>
    <row r="32" spans="2:4" ht="15">
      <c r="B32" s="5" t="s">
        <v>269</v>
      </c>
      <c r="C32" s="13">
        <f>+$C$31*C7</f>
        <v>2835</v>
      </c>
      <c r="D32" s="152">
        <f t="shared" si="0"/>
        <v>0.14705882352941177</v>
      </c>
    </row>
    <row r="33" spans="2:4" ht="15">
      <c r="B33" s="5" t="s">
        <v>270</v>
      </c>
      <c r="C33" s="13">
        <f>+$C$31*C8</f>
        <v>708.75</v>
      </c>
      <c r="D33" s="152">
        <f t="shared" si="0"/>
        <v>0.03676470588235294</v>
      </c>
    </row>
    <row r="34" spans="2:4" ht="15">
      <c r="B34" s="5" t="s">
        <v>271</v>
      </c>
      <c r="C34" s="13">
        <f>+$C$31*C9</f>
        <v>425.25</v>
      </c>
      <c r="D34" s="152">
        <f t="shared" si="0"/>
        <v>0.022058823529411766</v>
      </c>
    </row>
    <row r="35" spans="2:4" ht="15">
      <c r="B35" s="5" t="s">
        <v>272</v>
      </c>
      <c r="C35" s="13">
        <f>+$C$31*C10</f>
        <v>1134</v>
      </c>
      <c r="D35" s="152">
        <f t="shared" si="0"/>
        <v>0.058823529411764705</v>
      </c>
    </row>
    <row r="36" spans="2:4" ht="15">
      <c r="B36" s="15" t="s">
        <v>273</v>
      </c>
      <c r="C36" s="163">
        <f>SUM(C31:C35)</f>
        <v>19278</v>
      </c>
      <c r="D36" s="153">
        <f>+SUM(D24:D35)</f>
        <v>1</v>
      </c>
    </row>
    <row r="37" ht="15">
      <c r="B37" s="67"/>
    </row>
    <row r="38" spans="2:3" ht="15">
      <c r="B38" s="155" t="s">
        <v>274</v>
      </c>
      <c r="C38" s="178">
        <f>+C36/C21</f>
        <v>10.125</v>
      </c>
    </row>
    <row r="40" spans="2:4" ht="30" customHeight="1">
      <c r="B40" s="392" t="s">
        <v>278</v>
      </c>
      <c r="C40" s="393"/>
      <c r="D40" s="394"/>
    </row>
    <row r="42" spans="3:4" ht="15">
      <c r="C42" s="28" t="s">
        <v>93</v>
      </c>
      <c r="D42" s="28" t="s">
        <v>94</v>
      </c>
    </row>
    <row r="43" spans="2:4" ht="15">
      <c r="B43" s="3" t="s">
        <v>275</v>
      </c>
      <c r="C43" s="179">
        <f>+C38*1500</f>
        <v>15187.5</v>
      </c>
      <c r="D43" s="180"/>
    </row>
    <row r="44" spans="2:4" ht="15">
      <c r="B44" s="5" t="s">
        <v>276</v>
      </c>
      <c r="C44" s="177"/>
      <c r="D44" s="181">
        <f>+C43*(D24+D25+D26+D27)</f>
        <v>9237.132352941177</v>
      </c>
    </row>
    <row r="45" spans="2:4" ht="15">
      <c r="B45" s="5" t="s">
        <v>277</v>
      </c>
      <c r="C45" s="177"/>
      <c r="D45" s="181">
        <f>+$C$43*D28</f>
        <v>827.2058823529412</v>
      </c>
    </row>
    <row r="46" spans="2:4" ht="15">
      <c r="B46" s="5" t="s">
        <v>279</v>
      </c>
      <c r="C46" s="177"/>
      <c r="D46" s="181">
        <f>+$C$43*(D29+D30)</f>
        <v>1102.9411764705883</v>
      </c>
    </row>
    <row r="47" spans="2:4" ht="15">
      <c r="B47" s="5" t="s">
        <v>280</v>
      </c>
      <c r="C47" s="177"/>
      <c r="D47" s="181">
        <f>+C43*SUM(D32:D34)</f>
        <v>3126.838235294118</v>
      </c>
    </row>
    <row r="48" spans="2:4" ht="15">
      <c r="B48" s="5" t="s">
        <v>281</v>
      </c>
      <c r="C48" s="177"/>
      <c r="D48" s="181">
        <f>+C43*D35</f>
        <v>893.3823529411765</v>
      </c>
    </row>
    <row r="49" spans="2:4" ht="15">
      <c r="B49" s="15" t="s">
        <v>17</v>
      </c>
      <c r="C49" s="182">
        <f>SUM(C43:C48)</f>
        <v>15187.5</v>
      </c>
      <c r="D49" s="183">
        <f>SUM(D43:D48)</f>
        <v>15187.500000000002</v>
      </c>
    </row>
    <row r="50" ht="15">
      <c r="B50" s="67"/>
    </row>
  </sheetData>
  <sheetProtection/>
  <mergeCells count="4">
    <mergeCell ref="B6:C6"/>
    <mergeCell ref="B13:C13"/>
    <mergeCell ref="B23:D23"/>
    <mergeCell ref="B40:D40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2:E55"/>
  <sheetViews>
    <sheetView zoomScale="120" zoomScaleNormal="120" zoomScalePageLayoutView="0" workbookViewId="0" topLeftCell="A1">
      <selection activeCell="C27" sqref="C27"/>
    </sheetView>
  </sheetViews>
  <sheetFormatPr defaultColWidth="9.140625" defaultRowHeight="15"/>
  <cols>
    <col min="1" max="1" width="3.28125" style="1" customWidth="1"/>
    <col min="2" max="2" width="37.7109375" style="13" customWidth="1"/>
    <col min="3" max="3" width="10.57421875" style="13" customWidth="1"/>
    <col min="4" max="4" width="14.8515625" style="13" customWidth="1"/>
    <col min="5" max="6" width="10.57421875" style="13" customWidth="1"/>
    <col min="7" max="7" width="13.140625" style="13" customWidth="1"/>
    <col min="8" max="8" width="9.140625" style="1" customWidth="1"/>
    <col min="9" max="9" width="8.8515625" style="1" bestFit="1" customWidth="1"/>
    <col min="10" max="10" width="15.8515625" style="1" customWidth="1"/>
    <col min="11" max="16384" width="9.140625" style="1" customWidth="1"/>
  </cols>
  <sheetData>
    <row r="1" ht="15"/>
    <row r="2" spans="2:4" ht="15">
      <c r="B2" s="184" t="s">
        <v>284</v>
      </c>
      <c r="C2" s="185">
        <v>1500</v>
      </c>
      <c r="D2" s="186" t="s">
        <v>285</v>
      </c>
    </row>
    <row r="3" ht="15"/>
    <row r="4" spans="2:5" ht="15">
      <c r="B4" s="161"/>
      <c r="C4" s="160" t="s">
        <v>282</v>
      </c>
      <c r="D4" s="160" t="s">
        <v>283</v>
      </c>
      <c r="E4" s="4"/>
    </row>
    <row r="5" spans="2:5" ht="15">
      <c r="B5" s="5" t="s">
        <v>262</v>
      </c>
      <c r="C5" s="187">
        <f>11+0.333333333333333</f>
        <v>11.333333333333334</v>
      </c>
      <c r="D5" s="13">
        <f>+C5*$C$2</f>
        <v>17000</v>
      </c>
      <c r="E5" s="112">
        <f aca="true" t="shared" si="0" ref="E5:E15">+D5/$D$16</f>
        <v>0.6194959003947766</v>
      </c>
    </row>
    <row r="6" spans="2:5" ht="15">
      <c r="B6" s="5" t="s">
        <v>286</v>
      </c>
      <c r="C6" s="187">
        <v>0.6666666666666666</v>
      </c>
      <c r="D6" s="13">
        <f>+C6*$C$2</f>
        <v>1000</v>
      </c>
      <c r="E6" s="112">
        <f t="shared" si="0"/>
        <v>0.03644093531733981</v>
      </c>
    </row>
    <row r="7" spans="2:5" ht="15">
      <c r="B7" s="5" t="s">
        <v>287</v>
      </c>
      <c r="C7" s="187">
        <v>0.3333333333333333</v>
      </c>
      <c r="D7" s="13">
        <f>+C7*$C$2</f>
        <v>500</v>
      </c>
      <c r="E7" s="112">
        <f t="shared" si="0"/>
        <v>0.018220467658669904</v>
      </c>
    </row>
    <row r="8" spans="2:5" ht="15">
      <c r="B8" s="5" t="s">
        <v>288</v>
      </c>
      <c r="C8" s="187">
        <v>1</v>
      </c>
      <c r="D8" s="13">
        <f>+C8*$C$2</f>
        <v>1500</v>
      </c>
      <c r="E8" s="112">
        <f t="shared" si="0"/>
        <v>0.05466140297600971</v>
      </c>
    </row>
    <row r="9" spans="2:5" ht="15">
      <c r="B9" s="5" t="s">
        <v>289</v>
      </c>
      <c r="C9" s="187">
        <f>+C6/3</f>
        <v>0.2222222222222222</v>
      </c>
      <c r="D9" s="13">
        <f>+C9*$C$2</f>
        <v>333.3333333333333</v>
      </c>
      <c r="E9" s="112">
        <f t="shared" si="0"/>
        <v>0.012146978439113268</v>
      </c>
    </row>
    <row r="10" spans="2:5" ht="15">
      <c r="B10" s="5" t="s">
        <v>289</v>
      </c>
      <c r="C10" s="187">
        <f>+C7/3</f>
        <v>0.1111111111111111</v>
      </c>
      <c r="D10" s="13">
        <f>+C10*$C$2</f>
        <v>166.66666666666666</v>
      </c>
      <c r="E10" s="112">
        <f t="shared" si="0"/>
        <v>0.006073489219556634</v>
      </c>
    </row>
    <row r="11" spans="2:5" ht="15">
      <c r="B11" s="29" t="s">
        <v>17</v>
      </c>
      <c r="C11" s="188"/>
      <c r="D11" s="28">
        <f>SUM(D5:D10)</f>
        <v>20500</v>
      </c>
      <c r="E11" s="112"/>
    </row>
    <row r="12" spans="2:5" ht="15">
      <c r="B12" s="5" t="s">
        <v>249</v>
      </c>
      <c r="C12" s="189">
        <v>0.2</v>
      </c>
      <c r="D12" s="13">
        <f>+C12*(D5+D6+D8+D9)</f>
        <v>3966.6666666666665</v>
      </c>
      <c r="E12" s="112">
        <f t="shared" si="0"/>
        <v>0.1445490434254479</v>
      </c>
    </row>
    <row r="13" spans="2:5" ht="15">
      <c r="B13" s="5" t="s">
        <v>290</v>
      </c>
      <c r="C13" s="189">
        <v>0.02</v>
      </c>
      <c r="D13" s="13">
        <f>+C13*($D$5+$D$6+$D$8+$D$9)</f>
        <v>396.66666666666663</v>
      </c>
      <c r="E13" s="112">
        <f t="shared" si="0"/>
        <v>0.014454904342544789</v>
      </c>
    </row>
    <row r="14" spans="2:5" ht="15">
      <c r="B14" s="5" t="s">
        <v>251</v>
      </c>
      <c r="C14" s="189">
        <v>0.05</v>
      </c>
      <c r="D14" s="13">
        <f>+C14*($D$5+$D$6+$D$8+$D$9)</f>
        <v>991.6666666666666</v>
      </c>
      <c r="E14" s="112">
        <f t="shared" si="0"/>
        <v>0.03613726085636197</v>
      </c>
    </row>
    <row r="15" spans="2:5" ht="15">
      <c r="B15" s="5" t="s">
        <v>252</v>
      </c>
      <c r="C15" s="189">
        <v>0.08</v>
      </c>
      <c r="D15" s="13">
        <f>+C15*($D$5+$D$6+$D$8+$D$9)</f>
        <v>1586.6666666666665</v>
      </c>
      <c r="E15" s="112">
        <f t="shared" si="0"/>
        <v>0.057819617370179155</v>
      </c>
    </row>
    <row r="16" spans="2:5" ht="15">
      <c r="B16" s="15" t="s">
        <v>17</v>
      </c>
      <c r="C16" s="190">
        <f>SUM(C12:C15)</f>
        <v>0.35000000000000003</v>
      </c>
      <c r="D16" s="163">
        <f>SUM(D11:D15)</f>
        <v>27441.66666666667</v>
      </c>
      <c r="E16" s="154">
        <f>+SUM(E5:E15)</f>
        <v>0.9999999999999999</v>
      </c>
    </row>
    <row r="17" ht="15"/>
    <row r="18" spans="2:4" ht="30">
      <c r="B18" s="155" t="s">
        <v>294</v>
      </c>
      <c r="C18" s="159" t="s">
        <v>93</v>
      </c>
      <c r="D18" s="156" t="s">
        <v>94</v>
      </c>
    </row>
    <row r="19" spans="2:4" ht="15">
      <c r="B19" s="3" t="s">
        <v>291</v>
      </c>
      <c r="C19" s="18">
        <f>+D16/12</f>
        <v>2286.805555555556</v>
      </c>
      <c r="D19" s="4"/>
    </row>
    <row r="20" spans="2:4" ht="15">
      <c r="B20" s="5" t="s">
        <v>276</v>
      </c>
      <c r="D20" s="6">
        <f>+$C$19*E5</f>
        <v>1416.6666666666667</v>
      </c>
    </row>
    <row r="21" spans="2:4" ht="15">
      <c r="B21" s="5" t="s">
        <v>279</v>
      </c>
      <c r="D21" s="6">
        <f>+$C$19*SUM(E6,E7,E9,E10)</f>
        <v>166.66666666666669</v>
      </c>
    </row>
    <row r="22" spans="2:4" ht="15">
      <c r="B22" s="5" t="s">
        <v>292</v>
      </c>
      <c r="D22" s="6">
        <f>+C19*E8</f>
        <v>125.00000000000001</v>
      </c>
    </row>
    <row r="23" spans="2:4" ht="15">
      <c r="B23" s="5" t="s">
        <v>293</v>
      </c>
      <c r="D23" s="6">
        <f>+C19*SUM(E12,E13,E14)</f>
        <v>446.25</v>
      </c>
    </row>
    <row r="24" spans="2:4" ht="15">
      <c r="B24" s="5" t="s">
        <v>281</v>
      </c>
      <c r="D24" s="6">
        <f>+C19*E15</f>
        <v>132.22222222222223</v>
      </c>
    </row>
    <row r="25" spans="2:4" ht="15">
      <c r="B25" s="15" t="s">
        <v>17</v>
      </c>
      <c r="C25" s="163">
        <f>SUM(C19:C24)</f>
        <v>2286.805555555556</v>
      </c>
      <c r="D25" s="158">
        <f>SUM(D19:D24)</f>
        <v>2286.8055555555557</v>
      </c>
    </row>
    <row r="26" ht="15"/>
    <row r="27" spans="2:3" ht="15">
      <c r="B27" s="184" t="s">
        <v>297</v>
      </c>
      <c r="C27" s="191">
        <f>+D16/D5-1</f>
        <v>0.6142156862745101</v>
      </c>
    </row>
    <row r="28" ht="15">
      <c r="B28" s="67"/>
    </row>
    <row r="29" ht="15">
      <c r="B29" s="67"/>
    </row>
    <row r="30" spans="2:4" ht="15">
      <c r="B30" s="184" t="s">
        <v>295</v>
      </c>
      <c r="C30" s="185">
        <v>2000</v>
      </c>
      <c r="D30" s="186" t="s">
        <v>285</v>
      </c>
    </row>
    <row r="31" ht="15"/>
    <row r="32" spans="2:5" ht="15">
      <c r="B32" s="161"/>
      <c r="C32" s="160" t="s">
        <v>282</v>
      </c>
      <c r="D32" s="160" t="s">
        <v>283</v>
      </c>
      <c r="E32" s="4"/>
    </row>
    <row r="33" spans="2:5" ht="15">
      <c r="B33" s="5" t="s">
        <v>262</v>
      </c>
      <c r="C33" s="187">
        <f>11+0.333333333333333</f>
        <v>11.333333333333334</v>
      </c>
      <c r="D33" s="13">
        <f>+C33*$C$30</f>
        <v>22666.666666666668</v>
      </c>
      <c r="E33" s="112">
        <f>+D33/$D$44</f>
        <v>0.6194959003947768</v>
      </c>
    </row>
    <row r="34" spans="2:5" ht="15">
      <c r="B34" s="5" t="s">
        <v>286</v>
      </c>
      <c r="C34" s="187">
        <v>0.6666666666666666</v>
      </c>
      <c r="D34" s="13">
        <f>+C34*$C$30</f>
        <v>1333.3333333333333</v>
      </c>
      <c r="E34" s="112">
        <f aca="true" t="shared" si="1" ref="E34:E43">+D34/$D$44</f>
        <v>0.03644093531733981</v>
      </c>
    </row>
    <row r="35" spans="2:5" ht="15">
      <c r="B35" s="5" t="s">
        <v>287</v>
      </c>
      <c r="C35" s="187">
        <v>0.3333333333333333</v>
      </c>
      <c r="D35" s="13">
        <f>+C35*$C$30</f>
        <v>666.6666666666666</v>
      </c>
      <c r="E35" s="112">
        <f t="shared" si="1"/>
        <v>0.018220467658669904</v>
      </c>
    </row>
    <row r="36" spans="2:5" ht="15">
      <c r="B36" s="5" t="s">
        <v>288</v>
      </c>
      <c r="C36" s="187">
        <v>1</v>
      </c>
      <c r="D36" s="13">
        <f>+C36*$C$30</f>
        <v>2000</v>
      </c>
      <c r="E36" s="112">
        <f t="shared" si="1"/>
        <v>0.054661402976009715</v>
      </c>
    </row>
    <row r="37" spans="2:5" ht="15">
      <c r="B37" s="5" t="s">
        <v>289</v>
      </c>
      <c r="C37" s="187">
        <f>+C34/3</f>
        <v>0.2222222222222222</v>
      </c>
      <c r="D37" s="13">
        <f>+C37*$C$30</f>
        <v>444.4444444444444</v>
      </c>
      <c r="E37" s="112">
        <f t="shared" si="1"/>
        <v>0.01214697843911327</v>
      </c>
    </row>
    <row r="38" spans="2:5" ht="15">
      <c r="B38" s="5" t="s">
        <v>289</v>
      </c>
      <c r="C38" s="187">
        <f>+C35/3</f>
        <v>0.1111111111111111</v>
      </c>
      <c r="D38" s="13">
        <f>+C38*$C$30</f>
        <v>222.2222222222222</v>
      </c>
      <c r="E38" s="112">
        <f t="shared" si="1"/>
        <v>0.006073489219556635</v>
      </c>
    </row>
    <row r="39" spans="2:5" ht="15">
      <c r="B39" s="29" t="s">
        <v>17</v>
      </c>
      <c r="C39" s="188"/>
      <c r="D39" s="28">
        <f>SUM(D33:D38)</f>
        <v>27333.333333333336</v>
      </c>
      <c r="E39" s="112"/>
    </row>
    <row r="40" spans="2:5" ht="15">
      <c r="B40" s="5" t="s">
        <v>249</v>
      </c>
      <c r="C40" s="189">
        <v>0.2</v>
      </c>
      <c r="D40" s="13">
        <f>+C40*($D$33+$D$34+$D$36+$D$37)</f>
        <v>5288.88888888889</v>
      </c>
      <c r="E40" s="112">
        <f t="shared" si="1"/>
        <v>0.14454904342544794</v>
      </c>
    </row>
    <row r="41" spans="2:5" ht="15">
      <c r="B41" s="5" t="s">
        <v>290</v>
      </c>
      <c r="C41" s="189">
        <v>0.02</v>
      </c>
      <c r="D41" s="13">
        <f>+C41*($D$33+$D$34+$D$36+$D$37)</f>
        <v>528.8888888888889</v>
      </c>
      <c r="E41" s="112">
        <f t="shared" si="1"/>
        <v>0.014454904342544792</v>
      </c>
    </row>
    <row r="42" spans="2:5" ht="15">
      <c r="B42" s="5" t="s">
        <v>251</v>
      </c>
      <c r="C42" s="189">
        <v>0.05</v>
      </c>
      <c r="D42" s="13">
        <f>+C42*($D$33+$D$34+$D$36+$D$37)</f>
        <v>1322.2222222222224</v>
      </c>
      <c r="E42" s="112">
        <f t="shared" si="1"/>
        <v>0.036137260856361986</v>
      </c>
    </row>
    <row r="43" spans="2:5" ht="15">
      <c r="B43" s="5" t="s">
        <v>252</v>
      </c>
      <c r="C43" s="189">
        <v>0.08</v>
      </c>
      <c r="D43" s="13">
        <f>+C43*($D$33+$D$34+$D$36+$D$37)</f>
        <v>2115.5555555555557</v>
      </c>
      <c r="E43" s="112">
        <f t="shared" si="1"/>
        <v>0.05781961737017917</v>
      </c>
    </row>
    <row r="44" spans="2:5" ht="15">
      <c r="B44" s="15" t="s">
        <v>17</v>
      </c>
      <c r="C44" s="190">
        <f>SUM(C40:C43)</f>
        <v>0.35000000000000003</v>
      </c>
      <c r="D44" s="163">
        <f>SUM(D39:D43)</f>
        <v>36588.88888888889</v>
      </c>
      <c r="E44" s="154">
        <f>+SUM(E33:E43)</f>
        <v>1.0000000000000002</v>
      </c>
    </row>
    <row r="45" ht="15"/>
    <row r="46" spans="2:4" ht="30">
      <c r="B46" s="155" t="s">
        <v>296</v>
      </c>
      <c r="C46" s="159" t="s">
        <v>93</v>
      </c>
      <c r="D46" s="156" t="s">
        <v>94</v>
      </c>
    </row>
    <row r="47" spans="2:4" ht="15">
      <c r="B47" s="3" t="s">
        <v>291</v>
      </c>
      <c r="C47" s="18">
        <f>+D44/12</f>
        <v>3049.0740740740744</v>
      </c>
      <c r="D47" s="4"/>
    </row>
    <row r="48" spans="2:4" ht="15">
      <c r="B48" s="5" t="s">
        <v>276</v>
      </c>
      <c r="D48" s="6">
        <f>+$C$47*E33</f>
        <v>1888.888888888889</v>
      </c>
    </row>
    <row r="49" spans="2:4" ht="15">
      <c r="B49" s="5" t="s">
        <v>279</v>
      </c>
      <c r="D49" s="6">
        <f>+$C$47*SUM(E34,E35,E37,E38)</f>
        <v>222.22222222222226</v>
      </c>
    </row>
    <row r="50" spans="2:4" ht="15">
      <c r="B50" s="5" t="s">
        <v>292</v>
      </c>
      <c r="D50" s="6">
        <f>+C47*E36</f>
        <v>166.66666666666669</v>
      </c>
    </row>
    <row r="51" spans="2:4" ht="15">
      <c r="B51" s="5" t="s">
        <v>293</v>
      </c>
      <c r="D51" s="6">
        <f>+C47*SUM(E40,E41,E42)</f>
        <v>595.0000000000001</v>
      </c>
    </row>
    <row r="52" spans="2:4" ht="15">
      <c r="B52" s="5" t="s">
        <v>281</v>
      </c>
      <c r="D52" s="6">
        <f>+C47*E43</f>
        <v>176.2962962962963</v>
      </c>
    </row>
    <row r="53" spans="2:4" ht="15">
      <c r="B53" s="15" t="s">
        <v>17</v>
      </c>
      <c r="C53" s="163">
        <f>SUM(C47:C52)</f>
        <v>3049.0740740740744</v>
      </c>
      <c r="D53" s="158">
        <f>SUM(D47:D52)</f>
        <v>3049.074074074074</v>
      </c>
    </row>
    <row r="55" spans="2:3" ht="15">
      <c r="B55" s="184" t="s">
        <v>297</v>
      </c>
      <c r="C55" s="191">
        <f>+D44/D33-1</f>
        <v>0.6142156862745098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2:L64"/>
  <sheetViews>
    <sheetView zoomScalePageLayoutView="0" workbookViewId="0" topLeftCell="A40">
      <selection activeCell="C60" sqref="C60"/>
    </sheetView>
  </sheetViews>
  <sheetFormatPr defaultColWidth="9.140625" defaultRowHeight="15"/>
  <cols>
    <col min="1" max="2" width="3.28125" style="1" customWidth="1"/>
    <col min="3" max="3" width="37.7109375" style="13" customWidth="1"/>
    <col min="4" max="10" width="10.28125" style="1" customWidth="1"/>
    <col min="11" max="11" width="3.421875" style="1" customWidth="1"/>
    <col min="12" max="16384" width="9.140625" style="1" customWidth="1"/>
  </cols>
  <sheetData>
    <row r="1" ht="15.75" thickBot="1"/>
    <row r="2" spans="2:12" ht="15">
      <c r="B2" s="221"/>
      <c r="C2" s="222"/>
      <c r="D2" s="222"/>
      <c r="E2" s="222"/>
      <c r="F2" s="222"/>
      <c r="G2" s="222"/>
      <c r="H2" s="222"/>
      <c r="I2" s="222"/>
      <c r="J2" s="222"/>
      <c r="K2" s="222"/>
      <c r="L2" s="223"/>
    </row>
    <row r="3" spans="2:12" ht="15">
      <c r="B3" s="224"/>
      <c r="C3" s="196"/>
      <c r="D3" s="197" t="s">
        <v>298</v>
      </c>
      <c r="E3" s="197" t="s">
        <v>299</v>
      </c>
      <c r="F3" s="197" t="s">
        <v>300</v>
      </c>
      <c r="G3" s="197" t="s">
        <v>301</v>
      </c>
      <c r="H3" s="197" t="s">
        <v>302</v>
      </c>
      <c r="I3" s="197" t="s">
        <v>303</v>
      </c>
      <c r="J3" s="198" t="s">
        <v>17</v>
      </c>
      <c r="K3" s="13"/>
      <c r="L3" s="225"/>
    </row>
    <row r="4" spans="2:12" ht="15">
      <c r="B4" s="224"/>
      <c r="C4" s="196" t="s">
        <v>304</v>
      </c>
      <c r="D4" s="206">
        <v>10000</v>
      </c>
      <c r="E4" s="206">
        <v>10500</v>
      </c>
      <c r="F4" s="206">
        <v>11000</v>
      </c>
      <c r="G4" s="206">
        <v>11500</v>
      </c>
      <c r="H4" s="207">
        <v>12000</v>
      </c>
      <c r="I4" s="193"/>
      <c r="J4" s="200"/>
      <c r="K4" s="13"/>
      <c r="L4" s="225"/>
    </row>
    <row r="5" spans="2:12" ht="15">
      <c r="B5" s="224"/>
      <c r="C5" s="199" t="s">
        <v>305</v>
      </c>
      <c r="D5" s="192">
        <v>1000</v>
      </c>
      <c r="E5" s="192">
        <v>1000</v>
      </c>
      <c r="F5" s="192">
        <v>6000</v>
      </c>
      <c r="G5" s="192">
        <v>3000</v>
      </c>
      <c r="H5" s="202">
        <v>1000</v>
      </c>
      <c r="I5" s="193"/>
      <c r="J5" s="203">
        <f>SUM(D5:I5)</f>
        <v>12000</v>
      </c>
      <c r="K5" s="13"/>
      <c r="L5" s="225"/>
    </row>
    <row r="6" spans="2:12" ht="30">
      <c r="B6" s="224"/>
      <c r="C6" s="204" t="s">
        <v>308</v>
      </c>
      <c r="D6" s="205">
        <f>+D5/D4</f>
        <v>0.1</v>
      </c>
      <c r="E6" s="205">
        <f>+SUM($D$5:E5)/E4</f>
        <v>0.19047619047619047</v>
      </c>
      <c r="F6" s="205">
        <f>+SUM($D$5:F5)/F4</f>
        <v>0.7272727272727273</v>
      </c>
      <c r="G6" s="205">
        <f>+SUM($D$5:G5)/G4</f>
        <v>0.9565217391304348</v>
      </c>
      <c r="H6" s="208">
        <f>+SUM($D$5:H5)/H4</f>
        <v>1</v>
      </c>
      <c r="I6" s="193"/>
      <c r="J6" s="200"/>
      <c r="K6" s="13"/>
      <c r="L6" s="225"/>
    </row>
    <row r="7" spans="2:12" ht="15">
      <c r="B7" s="224"/>
      <c r="C7" s="210" t="s">
        <v>306</v>
      </c>
      <c r="D7" s="211">
        <v>5000</v>
      </c>
      <c r="E7" s="211">
        <v>5500</v>
      </c>
      <c r="F7" s="211">
        <v>6000</v>
      </c>
      <c r="G7" s="211">
        <v>6500</v>
      </c>
      <c r="H7" s="212">
        <v>7000</v>
      </c>
      <c r="I7" s="193"/>
      <c r="J7" s="200"/>
      <c r="K7" s="13"/>
      <c r="L7" s="225"/>
    </row>
    <row r="8" spans="2:12" ht="15">
      <c r="B8" s="224"/>
      <c r="C8" s="201" t="s">
        <v>307</v>
      </c>
      <c r="D8" s="195">
        <v>1750</v>
      </c>
      <c r="E8" s="195">
        <v>1375</v>
      </c>
      <c r="F8" s="194">
        <v>900</v>
      </c>
      <c r="G8" s="194">
        <v>650</v>
      </c>
      <c r="H8" s="213">
        <v>2325</v>
      </c>
      <c r="I8" s="193"/>
      <c r="J8" s="200"/>
      <c r="K8" s="13"/>
      <c r="L8" s="225"/>
    </row>
    <row r="9" spans="2:12" ht="30">
      <c r="B9" s="224"/>
      <c r="C9" s="204" t="s">
        <v>318</v>
      </c>
      <c r="D9" s="205">
        <f>+D8/D7</f>
        <v>0.35</v>
      </c>
      <c r="E9" s="205">
        <f>+SUM($D$8:E8)/E7</f>
        <v>0.5681818181818182</v>
      </c>
      <c r="F9" s="205">
        <f>+SUM($D$8:F8)/F7</f>
        <v>0.6708333333333333</v>
      </c>
      <c r="G9" s="205">
        <f>+SUM($D$8:G8)/G7</f>
        <v>0.7192307692307692</v>
      </c>
      <c r="H9" s="208">
        <f>+SUM($D$8:H8)/H7</f>
        <v>1</v>
      </c>
      <c r="I9" s="193"/>
      <c r="J9" s="200"/>
      <c r="K9" s="13"/>
      <c r="L9" s="225"/>
    </row>
    <row r="10" spans="2:12" ht="15">
      <c r="B10" s="224"/>
      <c r="C10" s="199" t="s">
        <v>199</v>
      </c>
      <c r="D10" s="192">
        <v>5400</v>
      </c>
      <c r="E10" s="192">
        <v>3600</v>
      </c>
      <c r="F10" s="192">
        <v>1800</v>
      </c>
      <c r="G10" s="192">
        <v>1800</v>
      </c>
      <c r="H10" s="192">
        <v>1800</v>
      </c>
      <c r="I10" s="192">
        <v>3600</v>
      </c>
      <c r="J10" s="203">
        <f>SUM(D10:I10)</f>
        <v>18000</v>
      </c>
      <c r="K10" s="13"/>
      <c r="L10" s="225"/>
    </row>
    <row r="11" spans="2:12" ht="15">
      <c r="B11" s="224"/>
      <c r="C11" s="204" t="s">
        <v>309</v>
      </c>
      <c r="D11" s="205">
        <f>+D10/J10</f>
        <v>0.3</v>
      </c>
      <c r="E11" s="205">
        <f>+SUM($D$10:E10)/$J$10</f>
        <v>0.5</v>
      </c>
      <c r="F11" s="205">
        <f>+SUM($D$10:F10)/$J$10</f>
        <v>0.6</v>
      </c>
      <c r="G11" s="205">
        <f>+SUM($D$10:G10)/$J$10</f>
        <v>0.7</v>
      </c>
      <c r="H11" s="205">
        <f>+SUM($D$10:H10)/$J$10</f>
        <v>0.8</v>
      </c>
      <c r="I11" s="205">
        <f>+SUM($D$10:I10)/$J$10</f>
        <v>1</v>
      </c>
      <c r="J11" s="8"/>
      <c r="K11" s="13"/>
      <c r="L11" s="225"/>
    </row>
    <row r="12" spans="2:12" ht="15">
      <c r="B12" s="224"/>
      <c r="D12" s="13"/>
      <c r="E12" s="13"/>
      <c r="F12" s="13"/>
      <c r="G12" s="13"/>
      <c r="H12" s="13"/>
      <c r="I12" s="13"/>
      <c r="J12" s="13"/>
      <c r="K12" s="13"/>
      <c r="L12" s="225"/>
    </row>
    <row r="13" spans="2:12" ht="15">
      <c r="B13" s="224"/>
      <c r="D13" s="13"/>
      <c r="E13" s="13"/>
      <c r="F13" s="13"/>
      <c r="G13" s="13"/>
      <c r="H13" s="13"/>
      <c r="I13" s="13"/>
      <c r="J13" s="13"/>
      <c r="K13" s="13"/>
      <c r="L13" s="225"/>
    </row>
    <row r="14" spans="2:12" ht="15">
      <c r="B14" s="224"/>
      <c r="C14" s="164" t="s">
        <v>26</v>
      </c>
      <c r="D14" s="167" t="str">
        <f>+D3</f>
        <v>ano 1</v>
      </c>
      <c r="E14" s="167" t="str">
        <f aca="true" t="shared" si="0" ref="E14:J14">+E3</f>
        <v>ano 2</v>
      </c>
      <c r="F14" s="167" t="str">
        <f t="shared" si="0"/>
        <v>ano 3</v>
      </c>
      <c r="G14" s="167" t="str">
        <f t="shared" si="0"/>
        <v>ano 4</v>
      </c>
      <c r="H14" s="167" t="str">
        <f t="shared" si="0"/>
        <v>ano 5</v>
      </c>
      <c r="I14" s="167" t="str">
        <f t="shared" si="0"/>
        <v>ano 6</v>
      </c>
      <c r="J14" s="165" t="str">
        <f t="shared" si="0"/>
        <v>TOTAL</v>
      </c>
      <c r="K14" s="13"/>
      <c r="L14" s="225"/>
    </row>
    <row r="15" spans="2:12" ht="15">
      <c r="B15" s="224"/>
      <c r="C15" s="5" t="s">
        <v>27</v>
      </c>
      <c r="D15" s="13">
        <f>+D10</f>
        <v>5400</v>
      </c>
      <c r="E15" s="13">
        <f>+E10</f>
        <v>3600</v>
      </c>
      <c r="F15" s="13">
        <f>+F10</f>
        <v>1800</v>
      </c>
      <c r="G15" s="13">
        <f>+G10</f>
        <v>1800</v>
      </c>
      <c r="H15" s="13">
        <f>+H10</f>
        <v>1800</v>
      </c>
      <c r="I15" s="13">
        <f>+I10</f>
        <v>3600</v>
      </c>
      <c r="J15" s="30">
        <f>+SUM(D15:I15)</f>
        <v>18000</v>
      </c>
      <c r="K15" s="13"/>
      <c r="L15" s="225"/>
    </row>
    <row r="16" spans="2:12" ht="15">
      <c r="B16" s="224"/>
      <c r="C16" s="5" t="s">
        <v>28</v>
      </c>
      <c r="D16" s="13">
        <f>-D5</f>
        <v>-1000</v>
      </c>
      <c r="E16" s="13">
        <f>-E5</f>
        <v>-1000</v>
      </c>
      <c r="F16" s="13">
        <f>-F5</f>
        <v>-6000</v>
      </c>
      <c r="G16" s="13">
        <f>-G5</f>
        <v>-3000</v>
      </c>
      <c r="H16" s="13">
        <f>-H5</f>
        <v>-1000</v>
      </c>
      <c r="I16" s="13">
        <f>-I5</f>
        <v>0</v>
      </c>
      <c r="J16" s="30">
        <f>+SUM(D16:I16)</f>
        <v>-12000</v>
      </c>
      <c r="K16" s="13"/>
      <c r="L16" s="225"/>
    </row>
    <row r="17" spans="2:12" ht="15">
      <c r="B17" s="224"/>
      <c r="C17" s="15" t="s">
        <v>29</v>
      </c>
      <c r="D17" s="169">
        <f>+SUM(D15:D16)</f>
        <v>4400</v>
      </c>
      <c r="E17" s="169">
        <f>+SUM(E15:E16)</f>
        <v>2600</v>
      </c>
      <c r="F17" s="169">
        <f>+SUM(F15:F16)</f>
        <v>-4200</v>
      </c>
      <c r="G17" s="169">
        <f>+SUM(G15:G16)</f>
        <v>-1200</v>
      </c>
      <c r="H17" s="169">
        <f>+SUM(H15:H16)</f>
        <v>800</v>
      </c>
      <c r="I17" s="169">
        <f>+SUM(I15:I16)</f>
        <v>3600</v>
      </c>
      <c r="J17" s="166">
        <f>+SUM(D17:I17)</f>
        <v>6000</v>
      </c>
      <c r="K17" s="13"/>
      <c r="L17" s="225"/>
    </row>
    <row r="18" spans="2:12" ht="15">
      <c r="B18" s="224"/>
      <c r="C18" s="130" t="s">
        <v>30</v>
      </c>
      <c r="D18" s="128">
        <v>500</v>
      </c>
      <c r="E18" s="128">
        <f>+D19</f>
        <v>4900</v>
      </c>
      <c r="F18" s="128">
        <f>+E19</f>
        <v>7500</v>
      </c>
      <c r="G18" s="128">
        <f>+F19</f>
        <v>3300</v>
      </c>
      <c r="H18" s="128">
        <f>+G19</f>
        <v>2100</v>
      </c>
      <c r="I18" s="128">
        <f>+H19</f>
        <v>2900</v>
      </c>
      <c r="J18" s="129"/>
      <c r="K18" s="13"/>
      <c r="L18" s="225"/>
    </row>
    <row r="19" spans="2:12" ht="15">
      <c r="B19" s="224"/>
      <c r="C19" s="131" t="s">
        <v>31</v>
      </c>
      <c r="D19" s="22">
        <f>+D18+D17</f>
        <v>4900</v>
      </c>
      <c r="E19" s="22">
        <f>+E18+E17</f>
        <v>7500</v>
      </c>
      <c r="F19" s="22">
        <f>+F18+F17</f>
        <v>3300</v>
      </c>
      <c r="G19" s="22">
        <f>+G18+G17</f>
        <v>2100</v>
      </c>
      <c r="H19" s="22">
        <f>+H18+H17</f>
        <v>2900</v>
      </c>
      <c r="I19" s="22">
        <f>+I18+I17</f>
        <v>6500</v>
      </c>
      <c r="J19" s="23"/>
      <c r="K19" s="13"/>
      <c r="L19" s="225"/>
    </row>
    <row r="20" spans="2:12" ht="15">
      <c r="B20" s="224"/>
      <c r="D20" s="13"/>
      <c r="E20" s="13"/>
      <c r="F20" s="13"/>
      <c r="G20" s="13"/>
      <c r="H20" s="13"/>
      <c r="I20" s="13"/>
      <c r="J20" s="13"/>
      <c r="K20" s="13"/>
      <c r="L20" s="225"/>
    </row>
    <row r="21" spans="2:12" ht="15">
      <c r="B21" s="224"/>
      <c r="C21" s="164" t="s">
        <v>87</v>
      </c>
      <c r="D21" s="167" t="str">
        <f>+D14</f>
        <v>ano 1</v>
      </c>
      <c r="E21" s="167" t="str">
        <f>+E14</f>
        <v>ano 2</v>
      </c>
      <c r="F21" s="167" t="str">
        <f>+F14</f>
        <v>ano 3</v>
      </c>
      <c r="G21" s="167" t="str">
        <f>+G14</f>
        <v>ano 4</v>
      </c>
      <c r="H21" s="165" t="str">
        <f>+H14</f>
        <v>ano 5</v>
      </c>
      <c r="I21" s="13"/>
      <c r="J21" s="13"/>
      <c r="K21" s="13"/>
      <c r="L21" s="225"/>
    </row>
    <row r="22" spans="2:12" ht="15">
      <c r="B22" s="224"/>
      <c r="C22" s="5" t="s">
        <v>32</v>
      </c>
      <c r="D22" s="13">
        <f>+J10*D6</f>
        <v>1800</v>
      </c>
      <c r="E22" s="13">
        <f>+E6*J10-D22</f>
        <v>1628.5714285714284</v>
      </c>
      <c r="F22" s="13">
        <f>+F6*J10-SUM(D22:E22)</f>
        <v>9662.337662337664</v>
      </c>
      <c r="G22" s="13">
        <f>+G6*J10-SUM(D22:F22)</f>
        <v>4126.482213438736</v>
      </c>
      <c r="H22" s="6">
        <f>+H6*J10-SUM(D22:G22)</f>
        <v>782.6086956521722</v>
      </c>
      <c r="I22" s="13"/>
      <c r="J22" s="13"/>
      <c r="K22" s="13"/>
      <c r="L22" s="225"/>
    </row>
    <row r="23" spans="2:12" ht="15">
      <c r="B23" s="224"/>
      <c r="C23" s="5" t="s">
        <v>310</v>
      </c>
      <c r="D23" s="13">
        <f>-D6*D4</f>
        <v>-1000</v>
      </c>
      <c r="E23" s="13">
        <f>-E6*E4-D23</f>
        <v>-1000</v>
      </c>
      <c r="F23" s="13">
        <f>-F6*F4-SUM(D23:E23)</f>
        <v>-6000</v>
      </c>
      <c r="G23" s="13">
        <f>-G6*G4-SUM(D23:F23)</f>
        <v>-3000</v>
      </c>
      <c r="H23" s="6">
        <f>-H6*H4-SUM(D23:G23)</f>
        <v>-1000</v>
      </c>
      <c r="I23" s="13"/>
      <c r="J23" s="13"/>
      <c r="K23" s="13"/>
      <c r="L23" s="225"/>
    </row>
    <row r="24" spans="2:12" ht="15">
      <c r="B24" s="224"/>
      <c r="C24" s="15" t="s">
        <v>34</v>
      </c>
      <c r="D24" s="169">
        <f>+SUM(D22:D23)</f>
        <v>800</v>
      </c>
      <c r="E24" s="169">
        <f>+SUM(E22:E23)</f>
        <v>628.5714285714284</v>
      </c>
      <c r="F24" s="169">
        <f>+SUM(F22:F23)</f>
        <v>3662.3376623376644</v>
      </c>
      <c r="G24" s="169">
        <f>+SUM(G22:G23)</f>
        <v>1126.482213438736</v>
      </c>
      <c r="H24" s="166">
        <f>+SUM(H22:H23)</f>
        <v>-217.39130434782783</v>
      </c>
      <c r="I24" s="13"/>
      <c r="J24" s="13"/>
      <c r="K24" s="13"/>
      <c r="L24" s="225"/>
    </row>
    <row r="25" spans="2:12" ht="15">
      <c r="B25" s="224"/>
      <c r="D25" s="13"/>
      <c r="E25" s="13"/>
      <c r="F25" s="13"/>
      <c r="G25" s="13"/>
      <c r="H25" s="13"/>
      <c r="I25" s="13"/>
      <c r="J25" s="13"/>
      <c r="K25" s="13"/>
      <c r="L25" s="225"/>
    </row>
    <row r="26" spans="2:12" ht="15">
      <c r="B26" s="224"/>
      <c r="C26" s="395" t="s">
        <v>38</v>
      </c>
      <c r="D26" s="396"/>
      <c r="E26" s="396"/>
      <c r="F26" s="396"/>
      <c r="G26" s="396"/>
      <c r="H26" s="397"/>
      <c r="I26" s="13"/>
      <c r="J26" s="13"/>
      <c r="K26" s="13"/>
      <c r="L26" s="225"/>
    </row>
    <row r="27" spans="2:12" ht="30">
      <c r="B27" s="224"/>
      <c r="C27" s="173" t="s">
        <v>8</v>
      </c>
      <c r="D27" s="209" t="s">
        <v>311</v>
      </c>
      <c r="E27" s="209" t="s">
        <v>312</v>
      </c>
      <c r="F27" s="209" t="s">
        <v>313</v>
      </c>
      <c r="G27" s="209" t="s">
        <v>314</v>
      </c>
      <c r="H27" s="174" t="s">
        <v>315</v>
      </c>
      <c r="I27" s="13"/>
      <c r="J27" s="13"/>
      <c r="K27" s="13"/>
      <c r="L27" s="225"/>
    </row>
    <row r="28" spans="2:12" ht="15">
      <c r="B28" s="224"/>
      <c r="C28" s="33" t="s">
        <v>224</v>
      </c>
      <c r="D28" s="26">
        <f>+D19</f>
        <v>4900</v>
      </c>
      <c r="E28" s="26">
        <f>+E19</f>
        <v>7500</v>
      </c>
      <c r="F28" s="26">
        <f>+F19</f>
        <v>3300</v>
      </c>
      <c r="G28" s="26">
        <f>+G19</f>
        <v>2100</v>
      </c>
      <c r="H28" s="27">
        <f>+H19</f>
        <v>2900</v>
      </c>
      <c r="I28" s="13"/>
      <c r="J28" s="13"/>
      <c r="K28" s="13"/>
      <c r="L28" s="225"/>
    </row>
    <row r="29" spans="2:12" ht="15">
      <c r="B29" s="224"/>
      <c r="C29" s="33" t="s">
        <v>40</v>
      </c>
      <c r="D29" s="26"/>
      <c r="E29" s="26"/>
      <c r="F29" s="26">
        <f>+F22-F15-E32</f>
        <v>2290.909090909093</v>
      </c>
      <c r="G29" s="26">
        <f>+F29+G22-G15</f>
        <v>4617.391304347829</v>
      </c>
      <c r="H29" s="27">
        <f>+G29+H22-H15</f>
        <v>3600.000000000001</v>
      </c>
      <c r="I29" s="13"/>
      <c r="J29" s="13"/>
      <c r="K29" s="13"/>
      <c r="L29" s="225"/>
    </row>
    <row r="30" spans="2:12" ht="15">
      <c r="B30" s="224"/>
      <c r="C30" s="34" t="s">
        <v>17</v>
      </c>
      <c r="D30" s="35">
        <f>+SUM(D28:D29)</f>
        <v>4900</v>
      </c>
      <c r="E30" s="35">
        <f>+SUM(E28:E29)</f>
        <v>7500</v>
      </c>
      <c r="F30" s="35">
        <f>+SUM(F28:F29)</f>
        <v>5590.909090909093</v>
      </c>
      <c r="G30" s="35">
        <f>+SUM(G28:G29)</f>
        <v>6717.391304347829</v>
      </c>
      <c r="H30" s="36">
        <f>+SUM(H28:H29)</f>
        <v>6500.000000000001</v>
      </c>
      <c r="I30" s="13"/>
      <c r="J30" s="13"/>
      <c r="K30" s="13"/>
      <c r="L30" s="225"/>
    </row>
    <row r="31" spans="2:12" ht="30">
      <c r="B31" s="224"/>
      <c r="C31" s="173" t="s">
        <v>41</v>
      </c>
      <c r="D31" s="209" t="s">
        <v>311</v>
      </c>
      <c r="E31" s="209" t="s">
        <v>312</v>
      </c>
      <c r="F31" s="209" t="s">
        <v>313</v>
      </c>
      <c r="G31" s="209" t="s">
        <v>314</v>
      </c>
      <c r="H31" s="174" t="s">
        <v>315</v>
      </c>
      <c r="I31" s="13"/>
      <c r="J31" s="13"/>
      <c r="K31" s="13"/>
      <c r="L31" s="225"/>
    </row>
    <row r="32" spans="2:12" ht="15">
      <c r="B32" s="224"/>
      <c r="C32" s="33" t="s">
        <v>317</v>
      </c>
      <c r="D32" s="26">
        <f>+D15-D22</f>
        <v>3600</v>
      </c>
      <c r="E32" s="26">
        <f>+D32+E15-E22</f>
        <v>5571.428571428572</v>
      </c>
      <c r="F32" s="26"/>
      <c r="G32" s="26"/>
      <c r="H32" s="27"/>
      <c r="I32" s="13"/>
      <c r="J32" s="13"/>
      <c r="K32" s="13"/>
      <c r="L32" s="225"/>
    </row>
    <row r="33" spans="2:12" ht="15">
      <c r="B33" s="224"/>
      <c r="C33" s="33" t="s">
        <v>42</v>
      </c>
      <c r="D33" s="26">
        <v>500</v>
      </c>
      <c r="E33" s="26">
        <f>+D33</f>
        <v>500</v>
      </c>
      <c r="F33" s="26">
        <f>+E33</f>
        <v>500</v>
      </c>
      <c r="G33" s="26">
        <f>+F33</f>
        <v>500</v>
      </c>
      <c r="H33" s="27">
        <f>+G33</f>
        <v>500</v>
      </c>
      <c r="I33" s="13"/>
      <c r="J33" s="13"/>
      <c r="K33" s="13"/>
      <c r="L33" s="225"/>
    </row>
    <row r="34" spans="2:12" ht="15">
      <c r="B34" s="224"/>
      <c r="C34" s="33" t="s">
        <v>316</v>
      </c>
      <c r="D34" s="26">
        <f>+D24</f>
        <v>800</v>
      </c>
      <c r="E34" s="26">
        <f>+D34+E24</f>
        <v>1428.5714285714284</v>
      </c>
      <c r="F34" s="26">
        <f>+E34+F24</f>
        <v>5090.909090909093</v>
      </c>
      <c r="G34" s="26">
        <f>+F34+G24</f>
        <v>6217.391304347829</v>
      </c>
      <c r="H34" s="27">
        <f>+G34+H24</f>
        <v>6000.000000000001</v>
      </c>
      <c r="I34" s="13"/>
      <c r="J34" s="13"/>
      <c r="K34" s="13"/>
      <c r="L34" s="225"/>
    </row>
    <row r="35" spans="2:12" ht="15">
      <c r="B35" s="224"/>
      <c r="C35" s="34" t="s">
        <v>17</v>
      </c>
      <c r="D35" s="35">
        <f>+SUM(D32:D34)</f>
        <v>4900</v>
      </c>
      <c r="E35" s="35">
        <f>+SUM(E32:E34)</f>
        <v>7500</v>
      </c>
      <c r="F35" s="35">
        <f>+SUM(F32:F34)</f>
        <v>5590.909090909093</v>
      </c>
      <c r="G35" s="35">
        <f>+SUM(G32:G34)</f>
        <v>6717.391304347829</v>
      </c>
      <c r="H35" s="36">
        <f>+SUM(H32:H34)</f>
        <v>6500.000000000001</v>
      </c>
      <c r="I35" s="13"/>
      <c r="J35" s="13"/>
      <c r="K35" s="13"/>
      <c r="L35" s="225"/>
    </row>
    <row r="36" spans="2:12" ht="15.75" thickBot="1">
      <c r="B36" s="226"/>
      <c r="C36" s="227"/>
      <c r="D36" s="227"/>
      <c r="E36" s="227"/>
      <c r="F36" s="227"/>
      <c r="G36" s="227"/>
      <c r="H36" s="227"/>
      <c r="I36" s="227"/>
      <c r="J36" s="227"/>
      <c r="K36" s="227"/>
      <c r="L36" s="228"/>
    </row>
    <row r="37" ht="15"/>
    <row r="38" ht="15.75" thickBot="1"/>
    <row r="39" spans="2:12" ht="15">
      <c r="B39" s="221"/>
      <c r="C39" s="222"/>
      <c r="D39" s="222"/>
      <c r="E39" s="222"/>
      <c r="F39" s="222"/>
      <c r="G39" s="222"/>
      <c r="H39" s="222"/>
      <c r="I39" s="222"/>
      <c r="J39" s="222"/>
      <c r="K39" s="222"/>
      <c r="L39" s="223"/>
    </row>
    <row r="40" spans="2:12" ht="15">
      <c r="B40" s="224"/>
      <c r="C40" s="164" t="s">
        <v>26</v>
      </c>
      <c r="D40" s="167" t="str">
        <f>+D14</f>
        <v>ano 1</v>
      </c>
      <c r="E40" s="167" t="str">
        <f aca="true" t="shared" si="1" ref="E40:J40">+E14</f>
        <v>ano 2</v>
      </c>
      <c r="F40" s="167" t="str">
        <f t="shared" si="1"/>
        <v>ano 3</v>
      </c>
      <c r="G40" s="167" t="str">
        <f t="shared" si="1"/>
        <v>ano 4</v>
      </c>
      <c r="H40" s="167" t="str">
        <f t="shared" si="1"/>
        <v>ano 5</v>
      </c>
      <c r="I40" s="167" t="str">
        <f t="shared" si="1"/>
        <v>ano 6</v>
      </c>
      <c r="J40" s="165" t="str">
        <f t="shared" si="1"/>
        <v>TOTAL</v>
      </c>
      <c r="K40" s="13"/>
      <c r="L40" s="225"/>
    </row>
    <row r="41" spans="2:12" ht="15">
      <c r="B41" s="224"/>
      <c r="C41" s="5" t="s">
        <v>27</v>
      </c>
      <c r="D41" s="13">
        <f>+D15</f>
        <v>5400</v>
      </c>
      <c r="E41" s="13">
        <f>+E15</f>
        <v>3600</v>
      </c>
      <c r="F41" s="13">
        <f>+F15</f>
        <v>1800</v>
      </c>
      <c r="G41" s="13">
        <f>+G15</f>
        <v>1800</v>
      </c>
      <c r="H41" s="13">
        <f>+H15</f>
        <v>1800</v>
      </c>
      <c r="I41" s="13">
        <f>+I15</f>
        <v>3600</v>
      </c>
      <c r="J41" s="30">
        <f>+SUM(D41:I41)</f>
        <v>18000</v>
      </c>
      <c r="K41" s="13"/>
      <c r="L41" s="225"/>
    </row>
    <row r="42" spans="2:12" ht="15">
      <c r="B42" s="224"/>
      <c r="C42" s="5" t="s">
        <v>28</v>
      </c>
      <c r="D42" s="13">
        <f aca="true" t="shared" si="2" ref="D42:I42">+D16</f>
        <v>-1000</v>
      </c>
      <c r="E42" s="13">
        <f t="shared" si="2"/>
        <v>-1000</v>
      </c>
      <c r="F42" s="13">
        <f t="shared" si="2"/>
        <v>-6000</v>
      </c>
      <c r="G42" s="13">
        <f t="shared" si="2"/>
        <v>-3000</v>
      </c>
      <c r="H42" s="13">
        <f t="shared" si="2"/>
        <v>-1000</v>
      </c>
      <c r="I42" s="13">
        <f t="shared" si="2"/>
        <v>0</v>
      </c>
      <c r="J42" s="30">
        <f>+SUM(D42:I42)</f>
        <v>-12000</v>
      </c>
      <c r="K42" s="13"/>
      <c r="L42" s="225"/>
    </row>
    <row r="43" spans="2:12" ht="15">
      <c r="B43" s="224"/>
      <c r="C43" s="15" t="s">
        <v>29</v>
      </c>
      <c r="D43" s="169">
        <f>+SUM(D41:D42)</f>
        <v>4400</v>
      </c>
      <c r="E43" s="169">
        <f>+SUM(E41:E42)</f>
        <v>2600</v>
      </c>
      <c r="F43" s="169">
        <f>+SUM(F41:F42)</f>
        <v>-4200</v>
      </c>
      <c r="G43" s="169">
        <f>+SUM(G41:G42)</f>
        <v>-1200</v>
      </c>
      <c r="H43" s="169">
        <f>+SUM(H41:H42)</f>
        <v>800</v>
      </c>
      <c r="I43" s="169">
        <f>+SUM(I41:I42)</f>
        <v>3600</v>
      </c>
      <c r="J43" s="166">
        <f>+SUM(D43:I43)</f>
        <v>6000</v>
      </c>
      <c r="K43" s="13"/>
      <c r="L43" s="225"/>
    </row>
    <row r="44" spans="2:12" ht="15">
      <c r="B44" s="224"/>
      <c r="C44" s="130" t="s">
        <v>30</v>
      </c>
      <c r="D44" s="128">
        <v>500</v>
      </c>
      <c r="E44" s="128">
        <f>+D45</f>
        <v>4900</v>
      </c>
      <c r="F44" s="128">
        <f>+E45</f>
        <v>7500</v>
      </c>
      <c r="G44" s="128">
        <f>+F45</f>
        <v>3300</v>
      </c>
      <c r="H44" s="128">
        <f>+G45</f>
        <v>2100</v>
      </c>
      <c r="I44" s="128">
        <f>+H45</f>
        <v>2900</v>
      </c>
      <c r="J44" s="129"/>
      <c r="K44" s="13"/>
      <c r="L44" s="225"/>
    </row>
    <row r="45" spans="2:12" ht="15">
      <c r="B45" s="224"/>
      <c r="C45" s="131" t="s">
        <v>31</v>
      </c>
      <c r="D45" s="22">
        <f>+D44+D43</f>
        <v>4900</v>
      </c>
      <c r="E45" s="22">
        <f>+E44+E43</f>
        <v>7500</v>
      </c>
      <c r="F45" s="22">
        <f>+F44+F43</f>
        <v>3300</v>
      </c>
      <c r="G45" s="22">
        <f>+G44+G43</f>
        <v>2100</v>
      </c>
      <c r="H45" s="22">
        <f>+H44+H43</f>
        <v>2900</v>
      </c>
      <c r="I45" s="22">
        <f>+I44+I43</f>
        <v>6500</v>
      </c>
      <c r="J45" s="23"/>
      <c r="K45" s="13"/>
      <c r="L45" s="225"/>
    </row>
    <row r="46" spans="2:12" ht="15">
      <c r="B46" s="224"/>
      <c r="D46" s="13"/>
      <c r="E46" s="13"/>
      <c r="F46" s="13"/>
      <c r="G46" s="13"/>
      <c r="H46" s="13"/>
      <c r="I46" s="13"/>
      <c r="J46" s="13"/>
      <c r="K46" s="13"/>
      <c r="L46" s="225"/>
    </row>
    <row r="47" spans="2:12" ht="15">
      <c r="B47" s="224"/>
      <c r="C47" s="164" t="s">
        <v>87</v>
      </c>
      <c r="D47" s="167" t="str">
        <f>+D40</f>
        <v>ano 1</v>
      </c>
      <c r="E47" s="214" t="str">
        <f>+E40</f>
        <v>ano 2</v>
      </c>
      <c r="F47" s="214" t="str">
        <f>+F40</f>
        <v>ano 3</v>
      </c>
      <c r="G47" s="214" t="str">
        <f>+G40</f>
        <v>ano 4</v>
      </c>
      <c r="H47" s="215" t="str">
        <f>+H40</f>
        <v>ano 5</v>
      </c>
      <c r="I47" s="220"/>
      <c r="J47" s="13"/>
      <c r="K47" s="13"/>
      <c r="L47" s="225"/>
    </row>
    <row r="48" spans="2:12" ht="15">
      <c r="B48" s="224"/>
      <c r="C48" s="5" t="s">
        <v>32</v>
      </c>
      <c r="D48" s="13">
        <f>+D9*J10</f>
        <v>6300</v>
      </c>
      <c r="E48" s="216">
        <f>+E9*J10-D48</f>
        <v>3927.272727272728</v>
      </c>
      <c r="F48" s="216">
        <f>+F9*J10-SUM(D48:E48)</f>
        <v>1847.7272727272702</v>
      </c>
      <c r="G48" s="216">
        <f>+G9*J10-SUM(D48:F48)</f>
        <v>871.1538461538476</v>
      </c>
      <c r="H48" s="217">
        <f>+H6*J10-SUM(D48:G48)</f>
        <v>5053.846153846154</v>
      </c>
      <c r="I48" s="220"/>
      <c r="J48" s="13"/>
      <c r="K48" s="13"/>
      <c r="L48" s="225"/>
    </row>
    <row r="49" spans="2:12" ht="15">
      <c r="B49" s="224"/>
      <c r="C49" s="5" t="s">
        <v>310</v>
      </c>
      <c r="D49" s="13">
        <f>-D9*D4</f>
        <v>-3500</v>
      </c>
      <c r="E49" s="216">
        <f>-E9*E4-D49</f>
        <v>-2465.909090909091</v>
      </c>
      <c r="F49" s="216">
        <f>-F9*F4-SUM(D49:E49)</f>
        <v>-1413.257575757575</v>
      </c>
      <c r="G49" s="216">
        <f>-G9*G4-SUM(D49:F49)</f>
        <v>-891.9871794871797</v>
      </c>
      <c r="H49" s="217">
        <f>-H6*H4-SUM(D49:G49)</f>
        <v>-3728.8461538461543</v>
      </c>
      <c r="I49" s="220"/>
      <c r="J49" s="13"/>
      <c r="K49" s="13"/>
      <c r="L49" s="225"/>
    </row>
    <row r="50" spans="2:12" ht="15">
      <c r="B50" s="224"/>
      <c r="C50" s="15" t="s">
        <v>34</v>
      </c>
      <c r="D50" s="169">
        <f>+SUM(D48:D49)</f>
        <v>2800</v>
      </c>
      <c r="E50" s="218">
        <f>+SUM(E48:E49)</f>
        <v>1461.363636363637</v>
      </c>
      <c r="F50" s="218">
        <f>+SUM(F48:F49)</f>
        <v>434.4696969696952</v>
      </c>
      <c r="G50" s="218">
        <f>+SUM(G48:G49)</f>
        <v>-20.83333333333212</v>
      </c>
      <c r="H50" s="219">
        <f>+SUM(H48:H49)</f>
        <v>1325</v>
      </c>
      <c r="I50" s="220"/>
      <c r="J50" s="13"/>
      <c r="K50" s="13"/>
      <c r="L50" s="225"/>
    </row>
    <row r="51" spans="2:12" ht="15">
      <c r="B51" s="224"/>
      <c r="D51" s="13"/>
      <c r="E51" s="220"/>
      <c r="F51" s="220"/>
      <c r="G51" s="220"/>
      <c r="H51" s="220"/>
      <c r="I51" s="220"/>
      <c r="J51" s="13"/>
      <c r="K51" s="13"/>
      <c r="L51" s="225"/>
    </row>
    <row r="52" spans="2:12" ht="15">
      <c r="B52" s="224"/>
      <c r="C52" s="395" t="s">
        <v>38</v>
      </c>
      <c r="D52" s="396"/>
      <c r="E52" s="396"/>
      <c r="F52" s="396"/>
      <c r="G52" s="396"/>
      <c r="H52" s="397"/>
      <c r="I52" s="13"/>
      <c r="J52" s="13"/>
      <c r="K52" s="13"/>
      <c r="L52" s="225"/>
    </row>
    <row r="53" spans="2:12" ht="30">
      <c r="B53" s="224"/>
      <c r="C53" s="173" t="s">
        <v>8</v>
      </c>
      <c r="D53" s="209" t="s">
        <v>311</v>
      </c>
      <c r="E53" s="209" t="s">
        <v>312</v>
      </c>
      <c r="F53" s="209" t="s">
        <v>313</v>
      </c>
      <c r="G53" s="209" t="s">
        <v>314</v>
      </c>
      <c r="H53" s="174" t="s">
        <v>315</v>
      </c>
      <c r="I53" s="13"/>
      <c r="J53" s="13"/>
      <c r="K53" s="13"/>
      <c r="L53" s="225"/>
    </row>
    <row r="54" spans="2:12" ht="15">
      <c r="B54" s="224"/>
      <c r="C54" s="33" t="s">
        <v>224</v>
      </c>
      <c r="D54" s="26">
        <f>+D45</f>
        <v>4900</v>
      </c>
      <c r="E54" s="26">
        <f>+E45</f>
        <v>7500</v>
      </c>
      <c r="F54" s="26">
        <f>+F45</f>
        <v>3300</v>
      </c>
      <c r="G54" s="26">
        <f>+G45</f>
        <v>2100</v>
      </c>
      <c r="H54" s="27">
        <f>+H45</f>
        <v>2900</v>
      </c>
      <c r="I54" s="13"/>
      <c r="J54" s="13"/>
      <c r="K54" s="13"/>
      <c r="L54" s="225"/>
    </row>
    <row r="55" spans="2:12" ht="15">
      <c r="B55" s="224"/>
      <c r="C55" s="33" t="s">
        <v>40</v>
      </c>
      <c r="D55" s="26">
        <f>+D48-D41</f>
        <v>900</v>
      </c>
      <c r="E55" s="26">
        <f>+D55+E48-E41</f>
        <v>1227.272727272728</v>
      </c>
      <c r="F55" s="26">
        <f>+E55+F48-F41</f>
        <v>1274.9999999999982</v>
      </c>
      <c r="G55" s="26">
        <f>+F55+G48-G41</f>
        <v>346.15384615384573</v>
      </c>
      <c r="H55" s="27">
        <f>+G55+H48-H41</f>
        <v>3600</v>
      </c>
      <c r="I55" s="13"/>
      <c r="J55" s="13"/>
      <c r="K55" s="13"/>
      <c r="L55" s="225"/>
    </row>
    <row r="56" spans="2:12" ht="15">
      <c r="B56" s="224"/>
      <c r="C56" s="33" t="s">
        <v>320</v>
      </c>
      <c r="D56" s="26"/>
      <c r="E56" s="26"/>
      <c r="F56" s="26">
        <f>+F5+F49-E60</f>
        <v>620.8333333333339</v>
      </c>
      <c r="G56" s="26">
        <f>+F56+G5+G49</f>
        <v>2728.8461538461543</v>
      </c>
      <c r="H56" s="27">
        <f>+G56+H5+H49</f>
        <v>0</v>
      </c>
      <c r="I56" s="13"/>
      <c r="J56" s="13"/>
      <c r="K56" s="13"/>
      <c r="L56" s="225"/>
    </row>
    <row r="57" spans="2:12" ht="15">
      <c r="B57" s="224"/>
      <c r="C57" s="34" t="s">
        <v>17</v>
      </c>
      <c r="D57" s="35">
        <f>+SUM(D54:D56)</f>
        <v>5800</v>
      </c>
      <c r="E57" s="35">
        <f>+SUM(E54:E56)</f>
        <v>8727.272727272728</v>
      </c>
      <c r="F57" s="35">
        <f>+SUM(F54:F56)</f>
        <v>5195.833333333332</v>
      </c>
      <c r="G57" s="35">
        <f>+SUM(G54:G56)</f>
        <v>5175</v>
      </c>
      <c r="H57" s="36">
        <f>+SUM(H54:H56)</f>
        <v>6500</v>
      </c>
      <c r="I57" s="13"/>
      <c r="J57" s="13"/>
      <c r="K57" s="13"/>
      <c r="L57" s="225"/>
    </row>
    <row r="58" spans="2:12" ht="15">
      <c r="B58" s="224"/>
      <c r="C58" s="173" t="s">
        <v>41</v>
      </c>
      <c r="D58" s="209" t="s">
        <v>311</v>
      </c>
      <c r="E58" s="209" t="s">
        <v>312</v>
      </c>
      <c r="F58" s="209" t="s">
        <v>313</v>
      </c>
      <c r="G58" s="209" t="s">
        <v>314</v>
      </c>
      <c r="H58" s="174" t="s">
        <v>315</v>
      </c>
      <c r="I58" s="13"/>
      <c r="J58" s="13"/>
      <c r="K58" s="13"/>
      <c r="L58" s="225"/>
    </row>
    <row r="59" spans="2:12" ht="15">
      <c r="B59" s="224"/>
      <c r="C59" s="33" t="s">
        <v>317</v>
      </c>
      <c r="D59" s="26"/>
      <c r="E59" s="26"/>
      <c r="F59" s="26"/>
      <c r="G59" s="26"/>
      <c r="H59" s="27"/>
      <c r="I59" s="13"/>
      <c r="J59" s="13"/>
      <c r="K59" s="13"/>
      <c r="L59" s="225"/>
    </row>
    <row r="60" spans="2:12" ht="15">
      <c r="B60" s="224"/>
      <c r="C60" s="33" t="s">
        <v>319</v>
      </c>
      <c r="D60" s="26">
        <f>-D49-D5</f>
        <v>2500</v>
      </c>
      <c r="E60" s="26">
        <f>+D60-E49-E5</f>
        <v>3965.909090909091</v>
      </c>
      <c r="F60" s="26"/>
      <c r="G60" s="26"/>
      <c r="H60" s="27"/>
      <c r="I60" s="13"/>
      <c r="J60" s="13"/>
      <c r="K60" s="13"/>
      <c r="L60" s="225"/>
    </row>
    <row r="61" spans="2:12" ht="15">
      <c r="B61" s="224"/>
      <c r="C61" s="33" t="s">
        <v>42</v>
      </c>
      <c r="D61" s="26">
        <v>500</v>
      </c>
      <c r="E61" s="26">
        <f>+D61</f>
        <v>500</v>
      </c>
      <c r="F61" s="26">
        <f>+E61</f>
        <v>500</v>
      </c>
      <c r="G61" s="26">
        <f>+F61</f>
        <v>500</v>
      </c>
      <c r="H61" s="27">
        <f>+G61</f>
        <v>500</v>
      </c>
      <c r="I61" s="13"/>
      <c r="J61" s="13"/>
      <c r="K61" s="13"/>
      <c r="L61" s="225"/>
    </row>
    <row r="62" spans="2:12" ht="15">
      <c r="B62" s="224"/>
      <c r="C62" s="33" t="s">
        <v>316</v>
      </c>
      <c r="D62" s="26">
        <f>+D50</f>
        <v>2800</v>
      </c>
      <c r="E62" s="26">
        <f>+D62+E50</f>
        <v>4261.363636363637</v>
      </c>
      <c r="F62" s="26">
        <f>+E62+F50</f>
        <v>4695.833333333332</v>
      </c>
      <c r="G62" s="26">
        <f>+F62+G50</f>
        <v>4675</v>
      </c>
      <c r="H62" s="27">
        <f>+G62+H50</f>
        <v>6000</v>
      </c>
      <c r="I62" s="13"/>
      <c r="J62" s="13"/>
      <c r="K62" s="13"/>
      <c r="L62" s="225"/>
    </row>
    <row r="63" spans="2:12" ht="15">
      <c r="B63" s="224"/>
      <c r="C63" s="34" t="s">
        <v>17</v>
      </c>
      <c r="D63" s="35">
        <f>+SUM(D59:D62)</f>
        <v>5800</v>
      </c>
      <c r="E63" s="35">
        <f>+SUM(E59:E62)</f>
        <v>8727.272727272728</v>
      </c>
      <c r="F63" s="35">
        <f>+SUM(F59:F62)</f>
        <v>5195.833333333332</v>
      </c>
      <c r="G63" s="35">
        <f>+SUM(G59:G62)</f>
        <v>5175</v>
      </c>
      <c r="H63" s="36">
        <f>+SUM(H59:H62)</f>
        <v>6500</v>
      </c>
      <c r="I63" s="13"/>
      <c r="J63" s="13"/>
      <c r="K63" s="13"/>
      <c r="L63" s="225"/>
    </row>
    <row r="64" spans="2:12" ht="15.75" thickBot="1">
      <c r="B64" s="226"/>
      <c r="C64" s="227"/>
      <c r="D64" s="227"/>
      <c r="E64" s="227"/>
      <c r="F64" s="227"/>
      <c r="G64" s="227"/>
      <c r="H64" s="227"/>
      <c r="I64" s="227"/>
      <c r="J64" s="227"/>
      <c r="K64" s="227"/>
      <c r="L64" s="228"/>
    </row>
  </sheetData>
  <sheetProtection/>
  <mergeCells count="2">
    <mergeCell ref="C26:H26"/>
    <mergeCell ref="C52:H52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26"/>
  <sheetViews>
    <sheetView zoomScale="130" zoomScaleNormal="130" zoomScalePageLayoutView="0" workbookViewId="0" topLeftCell="A10">
      <selection activeCell="E11" sqref="E11"/>
    </sheetView>
  </sheetViews>
  <sheetFormatPr defaultColWidth="9.140625" defaultRowHeight="15"/>
  <cols>
    <col min="1" max="1" width="3.28125" style="1" customWidth="1"/>
    <col min="2" max="2" width="37.7109375" style="13" customWidth="1"/>
    <col min="3" max="9" width="10.28125" style="1" customWidth="1"/>
    <col min="10" max="10" width="3.421875" style="1" customWidth="1"/>
    <col min="11" max="16384" width="9.140625" style="1" customWidth="1"/>
  </cols>
  <sheetData>
    <row r="2" spans="2:7" ht="15">
      <c r="B2" s="164" t="s">
        <v>26</v>
      </c>
      <c r="C2" s="167" t="s">
        <v>321</v>
      </c>
      <c r="D2" s="167" t="s">
        <v>322</v>
      </c>
      <c r="E2" s="167" t="s">
        <v>323</v>
      </c>
      <c r="F2" s="167" t="s">
        <v>324</v>
      </c>
      <c r="G2" s="165" t="s">
        <v>17</v>
      </c>
    </row>
    <row r="3" spans="2:7" ht="15">
      <c r="B3" s="5" t="s">
        <v>27</v>
      </c>
      <c r="C3" s="13">
        <f>15000*40%</f>
        <v>6000</v>
      </c>
      <c r="D3" s="13">
        <f>15000*20%</f>
        <v>3000</v>
      </c>
      <c r="E3" s="13">
        <f>15000*20%</f>
        <v>3000</v>
      </c>
      <c r="F3" s="13">
        <f>15000*20%</f>
        <v>3000</v>
      </c>
      <c r="G3" s="30">
        <f>SUM(C3:F3)</f>
        <v>15000</v>
      </c>
    </row>
    <row r="4" spans="2:7" ht="15">
      <c r="B4" s="5" t="s">
        <v>28</v>
      </c>
      <c r="C4" s="13">
        <v>-2500</v>
      </c>
      <c r="D4" s="13">
        <f>+D11</f>
        <v>-4950</v>
      </c>
      <c r="E4" s="13">
        <f>+E11</f>
        <v>-3300</v>
      </c>
      <c r="F4" s="13"/>
      <c r="G4" s="30">
        <f>SUM(C4:F4)</f>
        <v>-10750</v>
      </c>
    </row>
    <row r="5" spans="2:7" ht="15">
      <c r="B5" s="15" t="s">
        <v>29</v>
      </c>
      <c r="C5" s="169">
        <f>SUM(C3:C4)</f>
        <v>3500</v>
      </c>
      <c r="D5" s="169">
        <f>SUM(D3:D4)</f>
        <v>-1950</v>
      </c>
      <c r="E5" s="169">
        <f>SUM(E3:E4)</f>
        <v>-300</v>
      </c>
      <c r="F5" s="169">
        <f>SUM(F3:F4)</f>
        <v>3000</v>
      </c>
      <c r="G5" s="166">
        <f>SUM(C5:F5)</f>
        <v>4250</v>
      </c>
    </row>
    <row r="6" spans="2:7" ht="15">
      <c r="B6" s="33" t="s">
        <v>30</v>
      </c>
      <c r="C6" s="26">
        <v>0</v>
      </c>
      <c r="D6" s="26">
        <f>+C7</f>
        <v>3500</v>
      </c>
      <c r="E6" s="26">
        <f>+D7</f>
        <v>1550</v>
      </c>
      <c r="F6" s="26">
        <f>+E7</f>
        <v>1250</v>
      </c>
      <c r="G6" s="30"/>
    </row>
    <row r="7" spans="2:7" ht="15">
      <c r="B7" s="131" t="s">
        <v>31</v>
      </c>
      <c r="C7" s="22">
        <f>+C6+C5</f>
        <v>3500</v>
      </c>
      <c r="D7" s="22">
        <f>+D6+D5</f>
        <v>1550</v>
      </c>
      <c r="E7" s="22">
        <f>+E6+E5</f>
        <v>1250</v>
      </c>
      <c r="F7" s="22">
        <f>+F6+F5</f>
        <v>4250</v>
      </c>
      <c r="G7" s="166"/>
    </row>
    <row r="9" spans="2:6" ht="15">
      <c r="B9" s="164" t="s">
        <v>11</v>
      </c>
      <c r="C9" s="167" t="s">
        <v>321</v>
      </c>
      <c r="D9" s="167" t="s">
        <v>322</v>
      </c>
      <c r="E9" s="167" t="s">
        <v>323</v>
      </c>
      <c r="F9" s="165" t="s">
        <v>17</v>
      </c>
    </row>
    <row r="10" spans="2:6" ht="15">
      <c r="B10" s="5" t="s">
        <v>325</v>
      </c>
      <c r="C10" s="13">
        <f>+G3*25%</f>
        <v>3750</v>
      </c>
      <c r="D10" s="13">
        <f>45/75*(G3-C10)</f>
        <v>6750</v>
      </c>
      <c r="E10" s="13">
        <f>+G3-SUM(C10:D10)</f>
        <v>4500</v>
      </c>
      <c r="F10" s="30">
        <f>SUM(C10:E10)</f>
        <v>15000</v>
      </c>
    </row>
    <row r="11" spans="2:6" ht="15">
      <c r="B11" s="5" t="s">
        <v>310</v>
      </c>
      <c r="C11" s="13">
        <f>+C4</f>
        <v>-2500</v>
      </c>
      <c r="D11" s="13">
        <f>-0.6*7500*1.1</f>
        <v>-4950</v>
      </c>
      <c r="E11" s="13">
        <f>-(2500+7500*1.1)-SUM(C11:D11)</f>
        <v>-3300</v>
      </c>
      <c r="F11" s="30">
        <f>SUM(C11:E11)</f>
        <v>-10750</v>
      </c>
    </row>
    <row r="12" spans="2:6" ht="15">
      <c r="B12" s="15" t="s">
        <v>34</v>
      </c>
      <c r="C12" s="169">
        <f>SUM(C10:C11)</f>
        <v>1250</v>
      </c>
      <c r="D12" s="169">
        <f>SUM(D10:D11)</f>
        <v>1800</v>
      </c>
      <c r="E12" s="169">
        <f>SUM(E10:E11)</f>
        <v>1200</v>
      </c>
      <c r="F12" s="166">
        <f>SUM(C12:E12)</f>
        <v>4250</v>
      </c>
    </row>
    <row r="14" spans="2:5" ht="15">
      <c r="B14" s="395" t="s">
        <v>38</v>
      </c>
      <c r="C14" s="396"/>
      <c r="D14" s="396"/>
      <c r="E14" s="397"/>
    </row>
    <row r="15" spans="2:5" ht="15">
      <c r="B15" s="164" t="s">
        <v>8</v>
      </c>
      <c r="C15" s="167" t="s">
        <v>326</v>
      </c>
      <c r="D15" s="167" t="s">
        <v>203</v>
      </c>
      <c r="E15" s="165" t="s">
        <v>204</v>
      </c>
    </row>
    <row r="16" spans="2:5" ht="15">
      <c r="B16" s="33" t="s">
        <v>39</v>
      </c>
      <c r="C16" s="26">
        <f>+C7</f>
        <v>3500</v>
      </c>
      <c r="D16" s="26">
        <f>+D7</f>
        <v>1550</v>
      </c>
      <c r="E16" s="27">
        <f>+E7</f>
        <v>1250</v>
      </c>
    </row>
    <row r="17" spans="2:5" ht="15">
      <c r="B17" s="33" t="s">
        <v>40</v>
      </c>
      <c r="C17" s="26"/>
      <c r="D17" s="26">
        <f>+D10-D3-C20</f>
        <v>1500</v>
      </c>
      <c r="E17" s="27">
        <f>+D17+E10-E3</f>
        <v>3000</v>
      </c>
    </row>
    <row r="18" spans="2:5" ht="15">
      <c r="B18" s="34" t="s">
        <v>17</v>
      </c>
      <c r="C18" s="35">
        <f>+SUM(C16:C17)</f>
        <v>3500</v>
      </c>
      <c r="D18" s="35">
        <f>+SUM(D16:D17)</f>
        <v>3050</v>
      </c>
      <c r="E18" s="36">
        <f>+SUM(E16:E17)</f>
        <v>4250</v>
      </c>
    </row>
    <row r="19" spans="2:5" ht="15">
      <c r="B19" s="164" t="s">
        <v>41</v>
      </c>
      <c r="C19" s="167" t="s">
        <v>326</v>
      </c>
      <c r="D19" s="167" t="s">
        <v>203</v>
      </c>
      <c r="E19" s="165" t="s">
        <v>204</v>
      </c>
    </row>
    <row r="20" spans="2:5" ht="15">
      <c r="B20" s="33" t="s">
        <v>317</v>
      </c>
      <c r="C20" s="26">
        <f>+C3-C10</f>
        <v>2250</v>
      </c>
      <c r="D20" s="26"/>
      <c r="E20" s="27"/>
    </row>
    <row r="21" spans="2:5" ht="15">
      <c r="B21" s="33" t="s">
        <v>316</v>
      </c>
      <c r="C21" s="26">
        <f>+C12</f>
        <v>1250</v>
      </c>
      <c r="D21" s="26">
        <f>+C21+D12</f>
        <v>3050</v>
      </c>
      <c r="E21" s="27">
        <f>+D21+E12</f>
        <v>4250</v>
      </c>
    </row>
    <row r="22" spans="2:5" ht="15">
      <c r="B22" s="34" t="s">
        <v>17</v>
      </c>
      <c r="C22" s="35">
        <f>+SUM(C20:C21)</f>
        <v>3500</v>
      </c>
      <c r="D22" s="35">
        <f>+SUM(D20:D21)</f>
        <v>3050</v>
      </c>
      <c r="E22" s="36">
        <f>+SUM(E20:E21)</f>
        <v>4250</v>
      </c>
    </row>
    <row r="24" spans="2:5" ht="15">
      <c r="B24" s="168"/>
      <c r="C24" s="167" t="str">
        <f>+C9</f>
        <v>Ano X0</v>
      </c>
      <c r="D24" s="167" t="str">
        <f>+D9</f>
        <v>Ano X1</v>
      </c>
      <c r="E24" s="165" t="str">
        <f>+E9</f>
        <v>Ano X2</v>
      </c>
    </row>
    <row r="25" spans="2:5" ht="15">
      <c r="B25" s="33" t="s">
        <v>327</v>
      </c>
      <c r="C25" s="229">
        <f>+C3/G3</f>
        <v>0.4</v>
      </c>
      <c r="D25" s="229">
        <f>+SUM(C3:D3)/G3</f>
        <v>0.6</v>
      </c>
      <c r="E25" s="230">
        <f>+SUM(C3:E3)/G3</f>
        <v>0.8</v>
      </c>
    </row>
    <row r="26" spans="2:5" ht="15">
      <c r="B26" s="7" t="s">
        <v>328</v>
      </c>
      <c r="C26" s="231">
        <f>+C10/F10</f>
        <v>0.25</v>
      </c>
      <c r="D26" s="231">
        <f>+SUM($C$10:D10)/$F$10</f>
        <v>0.7</v>
      </c>
      <c r="E26" s="232">
        <f>+SUM($C$10:E10)/$F$10</f>
        <v>1</v>
      </c>
    </row>
  </sheetData>
  <sheetProtection/>
  <mergeCells count="1">
    <mergeCell ref="B14:E1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C28"/>
  <sheetViews>
    <sheetView zoomScale="140" zoomScaleNormal="140" zoomScalePageLayoutView="0" workbookViewId="0" topLeftCell="A13">
      <selection activeCell="C13" sqref="C13"/>
    </sheetView>
  </sheetViews>
  <sheetFormatPr defaultColWidth="9.140625" defaultRowHeight="15"/>
  <cols>
    <col min="1" max="1" width="3.28125" style="1" customWidth="1"/>
    <col min="2" max="2" width="43.28125" style="13" customWidth="1"/>
    <col min="3" max="9" width="10.28125" style="1" customWidth="1"/>
    <col min="10" max="10" width="3.421875" style="1" customWidth="1"/>
    <col min="11" max="16384" width="9.140625" style="1" customWidth="1"/>
  </cols>
  <sheetData>
    <row r="2" spans="2:3" ht="15">
      <c r="B2" s="239" t="s">
        <v>21</v>
      </c>
      <c r="C2" s="240" t="s">
        <v>337</v>
      </c>
    </row>
    <row r="3" spans="2:3" ht="15">
      <c r="B3" s="106" t="s">
        <v>338</v>
      </c>
      <c r="C3" s="248">
        <v>10000</v>
      </c>
    </row>
    <row r="4" spans="2:3" ht="15">
      <c r="B4" s="104" t="s">
        <v>339</v>
      </c>
      <c r="C4" s="245">
        <v>8000</v>
      </c>
    </row>
    <row r="5" spans="2:3" ht="15">
      <c r="B5" s="104" t="s">
        <v>340</v>
      </c>
      <c r="C5" s="245">
        <v>1500</v>
      </c>
    </row>
    <row r="6" spans="2:3" ht="15">
      <c r="B6" s="104" t="s">
        <v>341</v>
      </c>
      <c r="C6" s="245">
        <f>+C5*0.666666666666667</f>
        <v>1000</v>
      </c>
    </row>
    <row r="7" spans="2:3" ht="15">
      <c r="B7" s="105" t="s">
        <v>342</v>
      </c>
      <c r="C7" s="249">
        <v>500</v>
      </c>
    </row>
    <row r="9" spans="2:3" ht="15">
      <c r="B9" s="347" t="s">
        <v>343</v>
      </c>
      <c r="C9" s="348"/>
    </row>
    <row r="10" spans="2:3" ht="15">
      <c r="B10" s="5" t="s">
        <v>50</v>
      </c>
      <c r="C10" s="6">
        <v>9500</v>
      </c>
    </row>
    <row r="11" spans="2:3" ht="15">
      <c r="B11" s="5" t="s">
        <v>51</v>
      </c>
      <c r="C11" s="6">
        <v>7200</v>
      </c>
    </row>
    <row r="12" spans="2:3" ht="15">
      <c r="B12" s="5" t="s">
        <v>77</v>
      </c>
      <c r="C12" s="6">
        <v>4500</v>
      </c>
    </row>
    <row r="13" spans="2:3" ht="15">
      <c r="B13" s="15" t="s">
        <v>17</v>
      </c>
      <c r="C13" s="244">
        <f>+SUM(C10:C12)</f>
        <v>21200</v>
      </c>
    </row>
    <row r="14" ht="15">
      <c r="B14" s="67"/>
    </row>
    <row r="15" spans="2:3" ht="15">
      <c r="B15" s="3" t="s">
        <v>344</v>
      </c>
      <c r="C15" s="180">
        <f>+C10/SUM(C4:C5)</f>
        <v>1</v>
      </c>
    </row>
    <row r="16" spans="2:3" ht="15">
      <c r="B16" s="5" t="s">
        <v>345</v>
      </c>
      <c r="C16" s="181">
        <f>+C11/SUM(C4,C6)</f>
        <v>0.8</v>
      </c>
    </row>
    <row r="17" spans="2:3" ht="15">
      <c r="B17" s="5" t="s">
        <v>346</v>
      </c>
      <c r="C17" s="181">
        <f>+C12/SUM(C4,C6)</f>
        <v>0.5</v>
      </c>
    </row>
    <row r="18" spans="2:3" ht="15">
      <c r="B18" s="15" t="s">
        <v>17</v>
      </c>
      <c r="C18" s="183">
        <f>SUM(C15:C17)</f>
        <v>2.3</v>
      </c>
    </row>
    <row r="20" spans="2:3" ht="15">
      <c r="B20" s="247" t="s">
        <v>124</v>
      </c>
      <c r="C20" s="242">
        <f>+C18*C4</f>
        <v>18400</v>
      </c>
    </row>
    <row r="22" spans="2:3" ht="15">
      <c r="B22" s="347" t="s">
        <v>347</v>
      </c>
      <c r="C22" s="348"/>
    </row>
    <row r="23" spans="2:3" ht="15">
      <c r="B23" s="5" t="s">
        <v>50</v>
      </c>
      <c r="C23" s="6">
        <f>+C5*C15</f>
        <v>1500</v>
      </c>
    </row>
    <row r="24" spans="2:3" ht="15">
      <c r="B24" s="5" t="s">
        <v>348</v>
      </c>
      <c r="C24" s="6">
        <f>+C16*$C$6</f>
        <v>800</v>
      </c>
    </row>
    <row r="25" spans="2:3" ht="15">
      <c r="B25" s="5" t="s">
        <v>77</v>
      </c>
      <c r="C25" s="6">
        <f>+C17*$C$6</f>
        <v>500</v>
      </c>
    </row>
    <row r="26" spans="2:3" ht="15">
      <c r="B26" s="15" t="s">
        <v>17</v>
      </c>
      <c r="C26" s="244">
        <f>SUM(C23:C25)</f>
        <v>2800</v>
      </c>
    </row>
    <row r="27" ht="15">
      <c r="B27" s="67"/>
    </row>
    <row r="28" spans="2:3" ht="15">
      <c r="B28" s="241" t="s">
        <v>17</v>
      </c>
      <c r="C28" s="242">
        <f>+C26+C20</f>
        <v>21200</v>
      </c>
    </row>
  </sheetData>
  <sheetProtection/>
  <mergeCells count="2">
    <mergeCell ref="B9:C9"/>
    <mergeCell ref="B22:C2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F13"/>
  <sheetViews>
    <sheetView zoomScale="140" zoomScaleNormal="140" zoomScalePageLayoutView="0" workbookViewId="0" topLeftCell="A1">
      <selection activeCell="F14" sqref="F14"/>
    </sheetView>
  </sheetViews>
  <sheetFormatPr defaultColWidth="9.140625" defaultRowHeight="15"/>
  <cols>
    <col min="1" max="1" width="3.28125" style="1" customWidth="1"/>
    <col min="2" max="2" width="37.7109375" style="13" customWidth="1"/>
    <col min="3" max="9" width="10.28125" style="1" customWidth="1"/>
    <col min="10" max="10" width="3.421875" style="1" customWidth="1"/>
    <col min="11" max="16384" width="9.140625" style="1" customWidth="1"/>
  </cols>
  <sheetData>
    <row r="2" spans="2:6" ht="15">
      <c r="B2" s="234" t="s">
        <v>329</v>
      </c>
      <c r="C2" s="237" t="s">
        <v>330</v>
      </c>
      <c r="D2" s="237" t="s">
        <v>331</v>
      </c>
      <c r="E2" s="237" t="s">
        <v>332</v>
      </c>
      <c r="F2" s="235" t="s">
        <v>17</v>
      </c>
    </row>
    <row r="3" spans="2:6" ht="15">
      <c r="B3" s="5" t="s">
        <v>27</v>
      </c>
      <c r="C3" s="13">
        <v>20000</v>
      </c>
      <c r="D3" s="13">
        <v>30000</v>
      </c>
      <c r="E3" s="13">
        <v>50000</v>
      </c>
      <c r="F3" s="30">
        <f>SUM(C3:E3)</f>
        <v>100000</v>
      </c>
    </row>
    <row r="4" spans="2:6" ht="15">
      <c r="B4" s="5" t="s">
        <v>334</v>
      </c>
      <c r="C4" s="13">
        <v>-8000</v>
      </c>
      <c r="D4" s="13">
        <v>-14000</v>
      </c>
      <c r="E4" s="13">
        <v>-34000</v>
      </c>
      <c r="F4" s="30">
        <f>SUM(C4:E4)</f>
        <v>-56000</v>
      </c>
    </row>
    <row r="5" spans="2:6" ht="15">
      <c r="B5" s="5" t="s">
        <v>335</v>
      </c>
      <c r="C5" s="13">
        <f>-55000*C3/$F$3</f>
        <v>-11000</v>
      </c>
      <c r="D5" s="13">
        <f>-55000*D3/$F$3</f>
        <v>-16500</v>
      </c>
      <c r="E5" s="13">
        <f>-55000*E3/$F$3</f>
        <v>-27500</v>
      </c>
      <c r="F5" s="30">
        <f>SUM(C5:E5)</f>
        <v>-55000</v>
      </c>
    </row>
    <row r="6" spans="2:6" ht="15">
      <c r="B6" s="15" t="s">
        <v>333</v>
      </c>
      <c r="C6" s="238">
        <f>SUM(C3:C5)</f>
        <v>1000</v>
      </c>
      <c r="D6" s="238">
        <f>SUM(D3:D5)</f>
        <v>-500</v>
      </c>
      <c r="E6" s="238">
        <f>SUM(E3:E5)</f>
        <v>-11500</v>
      </c>
      <c r="F6" s="236">
        <f>SUM(C6:E6)</f>
        <v>-11000</v>
      </c>
    </row>
    <row r="7" ht="15">
      <c r="F7" s="233"/>
    </row>
    <row r="8" spans="2:6" ht="15">
      <c r="B8" s="234" t="s">
        <v>329</v>
      </c>
      <c r="C8" s="237" t="s">
        <v>330</v>
      </c>
      <c r="D8" s="237" t="s">
        <v>331</v>
      </c>
      <c r="E8" s="237" t="s">
        <v>332</v>
      </c>
      <c r="F8" s="235" t="s">
        <v>17</v>
      </c>
    </row>
    <row r="9" spans="2:6" ht="15">
      <c r="B9" s="5" t="s">
        <v>27</v>
      </c>
      <c r="C9" s="13">
        <v>20000</v>
      </c>
      <c r="D9" s="13">
        <v>30000</v>
      </c>
      <c r="E9" s="13">
        <v>50000</v>
      </c>
      <c r="F9" s="30">
        <f>SUM(C9:E9)</f>
        <v>100000</v>
      </c>
    </row>
    <row r="10" spans="2:6" ht="15">
      <c r="B10" s="5" t="s">
        <v>334</v>
      </c>
      <c r="C10" s="13">
        <v>-8000</v>
      </c>
      <c r="D10" s="13">
        <v>-14000</v>
      </c>
      <c r="E10" s="13">
        <v>-34000</v>
      </c>
      <c r="F10" s="30">
        <f>SUM(C10:E10)</f>
        <v>-56000</v>
      </c>
    </row>
    <row r="11" spans="2:6" ht="15">
      <c r="B11" s="29" t="s">
        <v>336</v>
      </c>
      <c r="C11" s="28">
        <f>SUM(C9:C10)</f>
        <v>12000</v>
      </c>
      <c r="D11" s="28">
        <f>SUM(D9:D10)</f>
        <v>16000</v>
      </c>
      <c r="E11" s="28">
        <f>SUM(E9:E10)</f>
        <v>16000</v>
      </c>
      <c r="F11" s="30">
        <f>SUM(C11:E11)</f>
        <v>44000</v>
      </c>
    </row>
    <row r="12" spans="2:6" ht="15">
      <c r="B12" s="5" t="str">
        <f>+B5</f>
        <v>(-) Saídas de caixa - comuns</v>
      </c>
      <c r="C12" s="13"/>
      <c r="D12" s="13"/>
      <c r="E12" s="13"/>
      <c r="F12" s="30">
        <f>+F5</f>
        <v>-55000</v>
      </c>
    </row>
    <row r="13" spans="2:6" ht="15">
      <c r="B13" s="15" t="s">
        <v>333</v>
      </c>
      <c r="C13" s="238"/>
      <c r="D13" s="238"/>
      <c r="E13" s="238"/>
      <c r="F13" s="236">
        <f>+SUM(F11:F12)</f>
        <v>-11000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J49"/>
  <sheetViews>
    <sheetView zoomScale="140" zoomScaleNormal="140" zoomScalePageLayoutView="0" workbookViewId="0" topLeftCell="A4">
      <selection activeCell="B6" sqref="B6:J37"/>
    </sheetView>
  </sheetViews>
  <sheetFormatPr defaultColWidth="9.140625" defaultRowHeight="15" outlineLevelRow="1" outlineLevelCol="1"/>
  <cols>
    <col min="1" max="1" width="3.28125" style="1" customWidth="1"/>
    <col min="2" max="2" width="26.00390625" style="13" bestFit="1" customWidth="1"/>
    <col min="3" max="3" width="7.7109375" style="1" customWidth="1" outlineLevel="1"/>
    <col min="4" max="4" width="8.8515625" style="1" customWidth="1" outlineLevel="1"/>
    <col min="5" max="5" width="8.28125" style="1" customWidth="1" outlineLevel="1"/>
    <col min="6" max="6" width="6.28125" style="1" customWidth="1" outlineLevel="1"/>
    <col min="7" max="7" width="8.8515625" style="1" customWidth="1" outlineLevel="1"/>
    <col min="8" max="8" width="5.8515625" style="1" customWidth="1" outlineLevel="1"/>
    <col min="9" max="9" width="8.8515625" style="1" bestFit="1" customWidth="1"/>
    <col min="10" max="10" width="5.8515625" style="1" bestFit="1" customWidth="1"/>
    <col min="11" max="13" width="7.140625" style="1" customWidth="1"/>
    <col min="14" max="16384" width="9.140625" style="1" customWidth="1"/>
  </cols>
  <sheetData>
    <row r="1" ht="15"/>
    <row r="2" spans="3:10" ht="15">
      <c r="C2" s="347" t="s">
        <v>349</v>
      </c>
      <c r="D2" s="368"/>
      <c r="E2" s="348"/>
      <c r="F2" s="347" t="s">
        <v>350</v>
      </c>
      <c r="G2" s="368"/>
      <c r="H2" s="348"/>
      <c r="I2" s="347" t="s">
        <v>17</v>
      </c>
      <c r="J2" s="348"/>
    </row>
    <row r="3" spans="2:10" ht="30">
      <c r="B3" s="106" t="s">
        <v>351</v>
      </c>
      <c r="C3" s="403">
        <v>2000</v>
      </c>
      <c r="D3" s="404"/>
      <c r="E3" s="405"/>
      <c r="F3" s="403">
        <v>2000</v>
      </c>
      <c r="G3" s="404"/>
      <c r="H3" s="405"/>
      <c r="I3" s="406">
        <f>+SUM(C3:H3)</f>
        <v>4000</v>
      </c>
      <c r="J3" s="407"/>
    </row>
    <row r="4" spans="2:10" ht="15">
      <c r="B4" s="105" t="s">
        <v>356</v>
      </c>
      <c r="C4" s="398">
        <f>0.75*C3</f>
        <v>1500</v>
      </c>
      <c r="D4" s="399"/>
      <c r="E4" s="400"/>
      <c r="F4" s="398">
        <f>1.225*F3</f>
        <v>2450</v>
      </c>
      <c r="G4" s="399"/>
      <c r="H4" s="400"/>
      <c r="I4" s="401">
        <f>+SUM(C4:H4)</f>
        <v>3950</v>
      </c>
      <c r="J4" s="402"/>
    </row>
    <row r="5" ht="15"/>
    <row r="6" spans="2:10" ht="15" customHeight="1">
      <c r="B6" s="349" t="s">
        <v>357</v>
      </c>
      <c r="C6" s="351" t="s">
        <v>349</v>
      </c>
      <c r="D6" s="356"/>
      <c r="E6" s="352"/>
      <c r="F6" s="351" t="s">
        <v>350</v>
      </c>
      <c r="G6" s="356"/>
      <c r="H6" s="352"/>
      <c r="I6" s="351" t="s">
        <v>17</v>
      </c>
      <c r="J6" s="352"/>
    </row>
    <row r="7" spans="2:10" ht="30">
      <c r="B7" s="350"/>
      <c r="C7" s="243" t="s">
        <v>48</v>
      </c>
      <c r="D7" s="246" t="s">
        <v>49</v>
      </c>
      <c r="E7" s="244" t="s">
        <v>193</v>
      </c>
      <c r="F7" s="243" t="s">
        <v>48</v>
      </c>
      <c r="G7" s="246" t="s">
        <v>49</v>
      </c>
      <c r="H7" s="244" t="s">
        <v>193</v>
      </c>
      <c r="I7" s="243" t="s">
        <v>49</v>
      </c>
      <c r="J7" s="244" t="s">
        <v>193</v>
      </c>
    </row>
    <row r="8" spans="2:10" ht="15" hidden="1" outlineLevel="1">
      <c r="B8" s="93" t="s">
        <v>32</v>
      </c>
      <c r="C8" s="44">
        <v>190</v>
      </c>
      <c r="D8" s="13">
        <f>+C8*C$3</f>
        <v>380000</v>
      </c>
      <c r="E8" s="112">
        <f>+C8/C$8</f>
        <v>1</v>
      </c>
      <c r="F8" s="44">
        <v>260</v>
      </c>
      <c r="G8" s="13">
        <f>+F8*F$3</f>
        <v>520000</v>
      </c>
      <c r="H8" s="112">
        <f>+F8/F$8</f>
        <v>1</v>
      </c>
      <c r="I8" s="43">
        <f>+D8+G8</f>
        <v>900000</v>
      </c>
      <c r="J8" s="250">
        <f>+I8/$I$8</f>
        <v>1</v>
      </c>
    </row>
    <row r="9" spans="2:10" ht="15" hidden="1" outlineLevel="1">
      <c r="B9" s="94" t="s">
        <v>352</v>
      </c>
      <c r="C9" s="44">
        <v>-30</v>
      </c>
      <c r="D9" s="13">
        <f>+C9*C$3</f>
        <v>-60000</v>
      </c>
      <c r="E9" s="112">
        <f aca="true" t="shared" si="0" ref="E9:E14">+C9/C$8</f>
        <v>-0.15789473684210525</v>
      </c>
      <c r="F9" s="44">
        <v>-40</v>
      </c>
      <c r="G9" s="13">
        <f>+F9*F$3</f>
        <v>-80000</v>
      </c>
      <c r="H9" s="112">
        <f aca="true" t="shared" si="1" ref="H9:H14">+F9/F$8</f>
        <v>-0.15384615384615385</v>
      </c>
      <c r="I9" s="43">
        <f aca="true" t="shared" si="2" ref="I9:I14">+D9+G9</f>
        <v>-140000</v>
      </c>
      <c r="J9" s="250">
        <f aca="true" t="shared" si="3" ref="J9:J14">+I9/$I$8</f>
        <v>-0.15555555555555556</v>
      </c>
    </row>
    <row r="10" spans="2:10" ht="15" hidden="1" outlineLevel="1">
      <c r="B10" s="94" t="s">
        <v>353</v>
      </c>
      <c r="C10" s="44">
        <v>-12</v>
      </c>
      <c r="D10" s="13">
        <f>+C10*C$3</f>
        <v>-24000</v>
      </c>
      <c r="E10" s="112">
        <f t="shared" si="0"/>
        <v>-0.06315789473684211</v>
      </c>
      <c r="F10" s="44">
        <v>-18</v>
      </c>
      <c r="G10" s="13">
        <f>+F10*F$3</f>
        <v>-36000</v>
      </c>
      <c r="H10" s="112">
        <f t="shared" si="1"/>
        <v>-0.06923076923076923</v>
      </c>
      <c r="I10" s="43">
        <f t="shared" si="2"/>
        <v>-60000</v>
      </c>
      <c r="J10" s="250">
        <f t="shared" si="3"/>
        <v>-0.06666666666666667</v>
      </c>
    </row>
    <row r="11" spans="2:10" ht="15" hidden="1" outlineLevel="1">
      <c r="B11" s="94" t="s">
        <v>179</v>
      </c>
      <c r="C11" s="44">
        <v>-35</v>
      </c>
      <c r="D11" s="13">
        <f>+C11*C$3</f>
        <v>-70000</v>
      </c>
      <c r="E11" s="112">
        <f t="shared" si="0"/>
        <v>-0.18421052631578946</v>
      </c>
      <c r="F11" s="44">
        <v>-60</v>
      </c>
      <c r="G11" s="13">
        <f>+F11*F$3</f>
        <v>-120000</v>
      </c>
      <c r="H11" s="112">
        <f t="shared" si="1"/>
        <v>-0.23076923076923078</v>
      </c>
      <c r="I11" s="43">
        <f t="shared" si="2"/>
        <v>-190000</v>
      </c>
      <c r="J11" s="250">
        <f t="shared" si="3"/>
        <v>-0.2111111111111111</v>
      </c>
    </row>
    <row r="12" spans="2:10" ht="15" hidden="1" outlineLevel="1">
      <c r="B12" s="94" t="s">
        <v>354</v>
      </c>
      <c r="C12" s="44">
        <f>+D12/C3</f>
        <v>-11.392405063291138</v>
      </c>
      <c r="D12" s="13">
        <f>-60000/$I$4*$C$4</f>
        <v>-22784.810126582277</v>
      </c>
      <c r="E12" s="112">
        <f t="shared" si="0"/>
        <v>-0.059960026648900724</v>
      </c>
      <c r="F12" s="44">
        <f>+G12/F3</f>
        <v>-18.60759493670886</v>
      </c>
      <c r="G12" s="13">
        <f>-60000/$I$4*$F$4</f>
        <v>-37215.18987341772</v>
      </c>
      <c r="H12" s="112">
        <f t="shared" si="1"/>
        <v>-0.07156767283349562</v>
      </c>
      <c r="I12" s="43">
        <f t="shared" si="2"/>
        <v>-60000</v>
      </c>
      <c r="J12" s="250">
        <f t="shared" si="3"/>
        <v>-0.06666666666666667</v>
      </c>
    </row>
    <row r="13" spans="2:10" ht="15" hidden="1" outlineLevel="1">
      <c r="B13" s="94" t="s">
        <v>15</v>
      </c>
      <c r="C13" s="44">
        <f>+D13/$C$3</f>
        <v>-37.9746835443038</v>
      </c>
      <c r="D13" s="13">
        <f>-200000/$I$4*$C$4</f>
        <v>-75949.3670886076</v>
      </c>
      <c r="E13" s="112">
        <f t="shared" si="0"/>
        <v>-0.19986675549633579</v>
      </c>
      <c r="F13" s="44">
        <f>+G13/$F$3</f>
        <v>-62.0253164556962</v>
      </c>
      <c r="G13" s="13">
        <f>-200000/$I$4*$F$4</f>
        <v>-124050.6329113924</v>
      </c>
      <c r="H13" s="112">
        <f t="shared" si="1"/>
        <v>-0.23855890944498537</v>
      </c>
      <c r="I13" s="43">
        <f t="shared" si="2"/>
        <v>-200000</v>
      </c>
      <c r="J13" s="250">
        <f t="shared" si="3"/>
        <v>-0.2222222222222222</v>
      </c>
    </row>
    <row r="14" spans="2:10" ht="15" hidden="1" outlineLevel="1">
      <c r="B14" s="94" t="s">
        <v>355</v>
      </c>
      <c r="C14" s="44">
        <f>+D14/$C$3</f>
        <v>-6.882911392405062</v>
      </c>
      <c r="D14" s="13">
        <f>-36250/$I$4*$C$4</f>
        <v>-13765.822784810125</v>
      </c>
      <c r="E14" s="112">
        <f t="shared" si="0"/>
        <v>-0.036225849433710856</v>
      </c>
      <c r="F14" s="44">
        <f>+G14/$F$3</f>
        <v>-11.242088607594937</v>
      </c>
      <c r="G14" s="13">
        <f>-36250/$I$4*$F$4</f>
        <v>-22484.177215189873</v>
      </c>
      <c r="H14" s="112">
        <f t="shared" si="1"/>
        <v>-0.0432388023369036</v>
      </c>
      <c r="I14" s="43">
        <f t="shared" si="2"/>
        <v>-36250</v>
      </c>
      <c r="J14" s="250">
        <f t="shared" si="3"/>
        <v>-0.04027777777777778</v>
      </c>
    </row>
    <row r="15" spans="2:10" ht="15" collapsed="1">
      <c r="B15" s="251" t="s">
        <v>181</v>
      </c>
      <c r="C15" s="252">
        <f aca="true" t="shared" si="4" ref="C15:J15">SUM(C8:C14)</f>
        <v>56.75</v>
      </c>
      <c r="D15" s="253">
        <f t="shared" si="4"/>
        <v>113500</v>
      </c>
      <c r="E15" s="254">
        <f t="shared" si="4"/>
        <v>0.29868421052631566</v>
      </c>
      <c r="F15" s="252">
        <f t="shared" si="4"/>
        <v>50.125</v>
      </c>
      <c r="G15" s="253">
        <f t="shared" si="4"/>
        <v>100250</v>
      </c>
      <c r="H15" s="254">
        <f t="shared" si="4"/>
        <v>0.1927884615384616</v>
      </c>
      <c r="I15" s="253">
        <f t="shared" si="4"/>
        <v>213750</v>
      </c>
      <c r="J15" s="254">
        <f t="shared" si="4"/>
        <v>0.23750000000000002</v>
      </c>
    </row>
    <row r="16" ht="15"/>
    <row r="17" spans="2:10" ht="15" customHeight="1">
      <c r="B17" s="349" t="s">
        <v>357</v>
      </c>
      <c r="C17" s="351" t="s">
        <v>349</v>
      </c>
      <c r="D17" s="356"/>
      <c r="E17" s="352"/>
      <c r="F17" s="351" t="s">
        <v>350</v>
      </c>
      <c r="G17" s="356"/>
      <c r="H17" s="352"/>
      <c r="I17" s="351" t="s">
        <v>17</v>
      </c>
      <c r="J17" s="352"/>
    </row>
    <row r="18" spans="2:10" ht="30">
      <c r="B18" s="350"/>
      <c r="C18" s="243" t="s">
        <v>48</v>
      </c>
      <c r="D18" s="246" t="s">
        <v>49</v>
      </c>
      <c r="E18" s="244" t="s">
        <v>193</v>
      </c>
      <c r="F18" s="243" t="s">
        <v>48</v>
      </c>
      <c r="G18" s="246" t="s">
        <v>49</v>
      </c>
      <c r="H18" s="244" t="s">
        <v>193</v>
      </c>
      <c r="I18" s="243" t="s">
        <v>49</v>
      </c>
      <c r="J18" s="244" t="s">
        <v>193</v>
      </c>
    </row>
    <row r="19" spans="2:10" ht="15" hidden="1" outlineLevel="1">
      <c r="B19" s="93" t="s">
        <v>32</v>
      </c>
      <c r="C19" s="44">
        <v>190</v>
      </c>
      <c r="D19" s="13">
        <f>+C19*C$3</f>
        <v>380000</v>
      </c>
      <c r="E19" s="112">
        <f>+C19/C$8</f>
        <v>1</v>
      </c>
      <c r="F19" s="44">
        <v>260</v>
      </c>
      <c r="G19" s="13">
        <f>+F19*F$3</f>
        <v>520000</v>
      </c>
      <c r="H19" s="112">
        <f>+F19/F$8</f>
        <v>1</v>
      </c>
      <c r="I19" s="43">
        <f>+D19+G19</f>
        <v>900000</v>
      </c>
      <c r="J19" s="250">
        <f>+I19/$I$8</f>
        <v>1</v>
      </c>
    </row>
    <row r="20" spans="2:10" ht="15" hidden="1" outlineLevel="1">
      <c r="B20" s="94" t="s">
        <v>352</v>
      </c>
      <c r="C20" s="44">
        <v>-30</v>
      </c>
      <c r="D20" s="13">
        <f>+C20*C$3</f>
        <v>-60000</v>
      </c>
      <c r="E20" s="112">
        <f aca="true" t="shared" si="5" ref="E20:E25">+C20/C$8</f>
        <v>-0.15789473684210525</v>
      </c>
      <c r="F20" s="44">
        <v>-40</v>
      </c>
      <c r="G20" s="13">
        <f>+F20*F$3</f>
        <v>-80000</v>
      </c>
      <c r="H20" s="112">
        <f aca="true" t="shared" si="6" ref="H20:H25">+F20/F$8</f>
        <v>-0.15384615384615385</v>
      </c>
      <c r="I20" s="43">
        <f aca="true" t="shared" si="7" ref="I20:I25">+D20+G20</f>
        <v>-140000</v>
      </c>
      <c r="J20" s="250">
        <f aca="true" t="shared" si="8" ref="J20:J25">+I20/$I$8</f>
        <v>-0.15555555555555556</v>
      </c>
    </row>
    <row r="21" spans="2:10" ht="15" hidden="1" outlineLevel="1">
      <c r="B21" s="94" t="s">
        <v>353</v>
      </c>
      <c r="C21" s="44">
        <v>-12</v>
      </c>
      <c r="D21" s="13">
        <f>+C21*C$3</f>
        <v>-24000</v>
      </c>
      <c r="E21" s="112">
        <f t="shared" si="5"/>
        <v>-0.06315789473684211</v>
      </c>
      <c r="F21" s="44">
        <v>-18</v>
      </c>
      <c r="G21" s="13">
        <f>+F21*F$3</f>
        <v>-36000</v>
      </c>
      <c r="H21" s="112">
        <f t="shared" si="6"/>
        <v>-0.06923076923076923</v>
      </c>
      <c r="I21" s="43">
        <f t="shared" si="7"/>
        <v>-60000</v>
      </c>
      <c r="J21" s="250">
        <f t="shared" si="8"/>
        <v>-0.06666666666666667</v>
      </c>
    </row>
    <row r="22" spans="2:10" ht="15" hidden="1" outlineLevel="1">
      <c r="B22" s="94" t="s">
        <v>179</v>
      </c>
      <c r="C22" s="44">
        <v>-35</v>
      </c>
      <c r="D22" s="13">
        <f>+C22*C$3</f>
        <v>-70000</v>
      </c>
      <c r="E22" s="112">
        <f t="shared" si="5"/>
        <v>-0.18421052631578946</v>
      </c>
      <c r="F22" s="44">
        <v>-60</v>
      </c>
      <c r="G22" s="13">
        <f>+F22*F$3</f>
        <v>-120000</v>
      </c>
      <c r="H22" s="112">
        <f t="shared" si="6"/>
        <v>-0.23076923076923078</v>
      </c>
      <c r="I22" s="43">
        <f t="shared" si="7"/>
        <v>-190000</v>
      </c>
      <c r="J22" s="250">
        <f t="shared" si="8"/>
        <v>-0.2111111111111111</v>
      </c>
    </row>
    <row r="23" spans="2:10" ht="15" hidden="1" outlineLevel="1">
      <c r="B23" s="94" t="s">
        <v>354</v>
      </c>
      <c r="C23" s="44">
        <f>+D23/$C$3</f>
        <v>-11.846153846153847</v>
      </c>
      <c r="D23" s="13">
        <f>-60000/SUM($I$20:$I$22)*SUM(D20:D22)</f>
        <v>-23692.307692307695</v>
      </c>
      <c r="E23" s="112">
        <f t="shared" si="5"/>
        <v>-0.062348178137651825</v>
      </c>
      <c r="F23" s="44">
        <f>+G23/$F$3</f>
        <v>-18.153846153846157</v>
      </c>
      <c r="G23" s="13">
        <f>-60000/SUM($I$20:$I$22)*SUM(G20:G22)</f>
        <v>-36307.69230769231</v>
      </c>
      <c r="H23" s="112">
        <f t="shared" si="6"/>
        <v>-0.0698224852071006</v>
      </c>
      <c r="I23" s="43">
        <f t="shared" si="7"/>
        <v>-60000.00000000001</v>
      </c>
      <c r="J23" s="250">
        <f t="shared" si="8"/>
        <v>-0.06666666666666668</v>
      </c>
    </row>
    <row r="24" spans="2:10" ht="15" hidden="1" outlineLevel="1">
      <c r="B24" s="94" t="s">
        <v>15</v>
      </c>
      <c r="C24" s="44">
        <f>+D24/$C$3</f>
        <v>-39.48717948717948</v>
      </c>
      <c r="D24" s="13">
        <f>-200000/SUM($I$20:$I$22)*SUM(D20:D22)</f>
        <v>-78974.35897435897</v>
      </c>
      <c r="E24" s="112">
        <f t="shared" si="5"/>
        <v>-0.20782726045883937</v>
      </c>
      <c r="F24" s="44">
        <f>+G24/$F$3</f>
        <v>-60.51282051282051</v>
      </c>
      <c r="G24" s="13">
        <f>-200000/SUM($I$20:$I$22)*SUM(G20:G22)</f>
        <v>-121025.64102564102</v>
      </c>
      <c r="H24" s="112">
        <f t="shared" si="6"/>
        <v>-0.23274161735700197</v>
      </c>
      <c r="I24" s="43">
        <f t="shared" si="7"/>
        <v>-200000</v>
      </c>
      <c r="J24" s="250">
        <f t="shared" si="8"/>
        <v>-0.2222222222222222</v>
      </c>
    </row>
    <row r="25" spans="2:10" ht="15" hidden="1" outlineLevel="1">
      <c r="B25" s="94" t="s">
        <v>355</v>
      </c>
      <c r="C25" s="44">
        <f>+D25/$C$3</f>
        <v>-7.157051282051282</v>
      </c>
      <c r="D25" s="13">
        <f>-36250/SUM($I$20:$I$22)*SUM(D20:D22)</f>
        <v>-14314.102564102564</v>
      </c>
      <c r="E25" s="112">
        <f t="shared" si="5"/>
        <v>-0.03766869095816464</v>
      </c>
      <c r="F25" s="44">
        <f>+G25/$F$3</f>
        <v>-10.967948717948719</v>
      </c>
      <c r="G25" s="13">
        <f>-36250/SUM($I$20:$I$22)*SUM(G20:G22)</f>
        <v>-21935.897435897437</v>
      </c>
      <c r="H25" s="112">
        <f t="shared" si="6"/>
        <v>-0.04218441814595661</v>
      </c>
      <c r="I25" s="43">
        <f t="shared" si="7"/>
        <v>-36250</v>
      </c>
      <c r="J25" s="250">
        <f t="shared" si="8"/>
        <v>-0.04027777777777778</v>
      </c>
    </row>
    <row r="26" spans="2:10" ht="15" collapsed="1">
      <c r="B26" s="251" t="s">
        <v>181</v>
      </c>
      <c r="C26" s="252">
        <f aca="true" t="shared" si="9" ref="C26:J26">SUM(C19:C25)</f>
        <v>54.509615384615394</v>
      </c>
      <c r="D26" s="253">
        <f t="shared" si="9"/>
        <v>109019.23076923078</v>
      </c>
      <c r="E26" s="254">
        <f t="shared" si="9"/>
        <v>0.2868927125506073</v>
      </c>
      <c r="F26" s="252">
        <f t="shared" si="9"/>
        <v>52.36538461538461</v>
      </c>
      <c r="G26" s="253">
        <f t="shared" si="9"/>
        <v>104730.76923076923</v>
      </c>
      <c r="H26" s="254">
        <f t="shared" si="9"/>
        <v>0.20140532544378703</v>
      </c>
      <c r="I26" s="253">
        <f t="shared" si="9"/>
        <v>213750</v>
      </c>
      <c r="J26" s="254">
        <f t="shared" si="9"/>
        <v>0.23750000000000002</v>
      </c>
    </row>
    <row r="27" ht="15"/>
    <row r="28" spans="2:10" ht="15" customHeight="1">
      <c r="B28" s="349" t="s">
        <v>357</v>
      </c>
      <c r="C28" s="351" t="s">
        <v>349</v>
      </c>
      <c r="D28" s="356"/>
      <c r="E28" s="352"/>
      <c r="F28" s="351" t="s">
        <v>350</v>
      </c>
      <c r="G28" s="356"/>
      <c r="H28" s="352"/>
      <c r="I28" s="351" t="s">
        <v>17</v>
      </c>
      <c r="J28" s="352"/>
    </row>
    <row r="29" spans="2:10" ht="30">
      <c r="B29" s="350"/>
      <c r="C29" s="243" t="s">
        <v>48</v>
      </c>
      <c r="D29" s="246" t="s">
        <v>49</v>
      </c>
      <c r="E29" s="244" t="s">
        <v>193</v>
      </c>
      <c r="F29" s="243" t="s">
        <v>48</v>
      </c>
      <c r="G29" s="246" t="s">
        <v>49</v>
      </c>
      <c r="H29" s="244" t="s">
        <v>193</v>
      </c>
      <c r="I29" s="243" t="s">
        <v>49</v>
      </c>
      <c r="J29" s="244" t="s">
        <v>193</v>
      </c>
    </row>
    <row r="30" spans="2:10" ht="15" hidden="1" outlineLevel="1">
      <c r="B30" s="93" t="s">
        <v>32</v>
      </c>
      <c r="C30" s="44">
        <v>190</v>
      </c>
      <c r="D30" s="13">
        <f>+C30*C$3</f>
        <v>380000</v>
      </c>
      <c r="E30" s="112">
        <f>+C30/C$8</f>
        <v>1</v>
      </c>
      <c r="F30" s="44">
        <v>260</v>
      </c>
      <c r="G30" s="13">
        <f>+F30*F$3</f>
        <v>520000</v>
      </c>
      <c r="H30" s="112">
        <f>+F30/F$8</f>
        <v>1</v>
      </c>
      <c r="I30" s="43">
        <f>+D30+G30</f>
        <v>900000</v>
      </c>
      <c r="J30" s="250">
        <f>+I30/$I$8</f>
        <v>1</v>
      </c>
    </row>
    <row r="31" spans="2:10" ht="15" hidden="1" outlineLevel="1">
      <c r="B31" s="94" t="s">
        <v>352</v>
      </c>
      <c r="C31" s="44">
        <v>-30</v>
      </c>
      <c r="D31" s="13">
        <f>+C31*C$3</f>
        <v>-60000</v>
      </c>
      <c r="E31" s="112">
        <f aca="true" t="shared" si="10" ref="E31:E36">+C31/C$8</f>
        <v>-0.15789473684210525</v>
      </c>
      <c r="F31" s="44">
        <v>-40</v>
      </c>
      <c r="G31" s="13">
        <f>+F31*F$3</f>
        <v>-80000</v>
      </c>
      <c r="H31" s="112">
        <f aca="true" t="shared" si="11" ref="H31:H36">+F31/F$8</f>
        <v>-0.15384615384615385</v>
      </c>
      <c r="I31" s="43">
        <f aca="true" t="shared" si="12" ref="I31:I36">+D31+G31</f>
        <v>-140000</v>
      </c>
      <c r="J31" s="250">
        <f aca="true" t="shared" si="13" ref="J31:J36">+I31/$I$8</f>
        <v>-0.15555555555555556</v>
      </c>
    </row>
    <row r="32" spans="2:10" ht="15" hidden="1" outlineLevel="1">
      <c r="B32" s="94" t="s">
        <v>353</v>
      </c>
      <c r="C32" s="44">
        <v>-12</v>
      </c>
      <c r="D32" s="13">
        <f>+C32*C$3</f>
        <v>-24000</v>
      </c>
      <c r="E32" s="112">
        <f t="shared" si="10"/>
        <v>-0.06315789473684211</v>
      </c>
      <c r="F32" s="44">
        <v>-18</v>
      </c>
      <c r="G32" s="13">
        <f>+F32*F$3</f>
        <v>-36000</v>
      </c>
      <c r="H32" s="112">
        <f t="shared" si="11"/>
        <v>-0.06923076923076923</v>
      </c>
      <c r="I32" s="43">
        <f t="shared" si="12"/>
        <v>-60000</v>
      </c>
      <c r="J32" s="250">
        <f t="shared" si="13"/>
        <v>-0.06666666666666667</v>
      </c>
    </row>
    <row r="33" spans="2:10" ht="15" hidden="1" outlineLevel="1">
      <c r="B33" s="94" t="s">
        <v>179</v>
      </c>
      <c r="C33" s="44">
        <v>-35</v>
      </c>
      <c r="D33" s="13">
        <f>+C33*C$3</f>
        <v>-70000</v>
      </c>
      <c r="E33" s="112">
        <f t="shared" si="10"/>
        <v>-0.18421052631578946</v>
      </c>
      <c r="F33" s="44">
        <v>-60</v>
      </c>
      <c r="G33" s="13">
        <f>+F33*F$3</f>
        <v>-120000</v>
      </c>
      <c r="H33" s="112">
        <f t="shared" si="11"/>
        <v>-0.23076923076923078</v>
      </c>
      <c r="I33" s="43">
        <f t="shared" si="12"/>
        <v>-190000</v>
      </c>
      <c r="J33" s="250">
        <f t="shared" si="13"/>
        <v>-0.2111111111111111</v>
      </c>
    </row>
    <row r="34" spans="2:10" ht="15" hidden="1" outlineLevel="1">
      <c r="B34" s="94" t="s">
        <v>354</v>
      </c>
      <c r="C34" s="44">
        <f>-60000/$I$3</f>
        <v>-15</v>
      </c>
      <c r="D34" s="13">
        <f>+C34*C$3</f>
        <v>-30000</v>
      </c>
      <c r="E34" s="112">
        <f t="shared" si="10"/>
        <v>-0.07894736842105263</v>
      </c>
      <c r="F34" s="44">
        <f>-60000/$I$3</f>
        <v>-15</v>
      </c>
      <c r="G34" s="13">
        <f>+F34*F$3</f>
        <v>-30000</v>
      </c>
      <c r="H34" s="112">
        <f t="shared" si="11"/>
        <v>-0.057692307692307696</v>
      </c>
      <c r="I34" s="43">
        <f t="shared" si="12"/>
        <v>-60000</v>
      </c>
      <c r="J34" s="250">
        <f t="shared" si="13"/>
        <v>-0.06666666666666667</v>
      </c>
    </row>
    <row r="35" spans="2:10" ht="15" hidden="1" outlineLevel="1">
      <c r="B35" s="94" t="s">
        <v>15</v>
      </c>
      <c r="C35" s="44">
        <f>-200000/$I$3</f>
        <v>-50</v>
      </c>
      <c r="D35" s="13">
        <f>+C35*C$3</f>
        <v>-100000</v>
      </c>
      <c r="E35" s="112">
        <f t="shared" si="10"/>
        <v>-0.2631578947368421</v>
      </c>
      <c r="F35" s="44">
        <f>-200000/$I$3</f>
        <v>-50</v>
      </c>
      <c r="G35" s="13">
        <f>+F35*F$3</f>
        <v>-100000</v>
      </c>
      <c r="H35" s="112">
        <f t="shared" si="11"/>
        <v>-0.19230769230769232</v>
      </c>
      <c r="I35" s="43">
        <f t="shared" si="12"/>
        <v>-200000</v>
      </c>
      <c r="J35" s="250">
        <f t="shared" si="13"/>
        <v>-0.2222222222222222</v>
      </c>
    </row>
    <row r="36" spans="2:10" ht="15" hidden="1" outlineLevel="1">
      <c r="B36" s="94" t="s">
        <v>355</v>
      </c>
      <c r="C36" s="44">
        <f>-36250/$I$3</f>
        <v>-9.0625</v>
      </c>
      <c r="D36" s="13">
        <f>+C36*C$3</f>
        <v>-18125</v>
      </c>
      <c r="E36" s="112">
        <f t="shared" si="10"/>
        <v>-0.047697368421052634</v>
      </c>
      <c r="F36" s="44">
        <f>-36250/$I$3</f>
        <v>-9.0625</v>
      </c>
      <c r="G36" s="13">
        <f>+F36*F$3</f>
        <v>-18125</v>
      </c>
      <c r="H36" s="112">
        <f t="shared" si="11"/>
        <v>-0.03485576923076923</v>
      </c>
      <c r="I36" s="43">
        <f t="shared" si="12"/>
        <v>-36250</v>
      </c>
      <c r="J36" s="250">
        <f t="shared" si="13"/>
        <v>-0.04027777777777778</v>
      </c>
    </row>
    <row r="37" spans="2:10" ht="15" collapsed="1">
      <c r="B37" s="251" t="s">
        <v>181</v>
      </c>
      <c r="C37" s="252">
        <f aca="true" t="shared" si="14" ref="C37:J37">SUM(C30:C36)</f>
        <v>38.9375</v>
      </c>
      <c r="D37" s="253">
        <f t="shared" si="14"/>
        <v>77875</v>
      </c>
      <c r="E37" s="254">
        <f t="shared" si="14"/>
        <v>0.20493421052631575</v>
      </c>
      <c r="F37" s="252">
        <f t="shared" si="14"/>
        <v>67.9375</v>
      </c>
      <c r="G37" s="253">
        <f t="shared" si="14"/>
        <v>135875</v>
      </c>
      <c r="H37" s="254">
        <f t="shared" si="14"/>
        <v>0.261298076923077</v>
      </c>
      <c r="I37" s="253">
        <f t="shared" si="14"/>
        <v>213750</v>
      </c>
      <c r="J37" s="254">
        <f t="shared" si="14"/>
        <v>0.23750000000000002</v>
      </c>
    </row>
    <row r="38" ht="15"/>
    <row r="39" spans="2:10" ht="15">
      <c r="B39" s="349" t="s">
        <v>358</v>
      </c>
      <c r="C39" s="351" t="s">
        <v>349</v>
      </c>
      <c r="D39" s="356"/>
      <c r="E39" s="352"/>
      <c r="F39" s="351" t="s">
        <v>350</v>
      </c>
      <c r="G39" s="356"/>
      <c r="H39" s="352"/>
      <c r="I39" s="351" t="s">
        <v>17</v>
      </c>
      <c r="J39" s="352"/>
    </row>
    <row r="40" spans="2:10" ht="30">
      <c r="B40" s="350"/>
      <c r="C40" s="243" t="s">
        <v>48</v>
      </c>
      <c r="D40" s="246" t="s">
        <v>49</v>
      </c>
      <c r="E40" s="244" t="s">
        <v>193</v>
      </c>
      <c r="F40" s="243" t="s">
        <v>48</v>
      </c>
      <c r="G40" s="246" t="s">
        <v>49</v>
      </c>
      <c r="H40" s="244" t="s">
        <v>193</v>
      </c>
      <c r="I40" s="243" t="s">
        <v>49</v>
      </c>
      <c r="J40" s="244" t="s">
        <v>193</v>
      </c>
    </row>
    <row r="41" spans="2:10" ht="15" hidden="1" outlineLevel="1">
      <c r="B41" s="93" t="s">
        <v>32</v>
      </c>
      <c r="C41" s="44">
        <v>190</v>
      </c>
      <c r="D41" s="13">
        <f>+C41*C$3</f>
        <v>380000</v>
      </c>
      <c r="E41" s="112">
        <f>+C41/C$8</f>
        <v>1</v>
      </c>
      <c r="F41" s="44">
        <v>260</v>
      </c>
      <c r="G41" s="13">
        <f>+F41*F$3</f>
        <v>520000</v>
      </c>
      <c r="H41" s="112">
        <f>+F41/F$8</f>
        <v>1</v>
      </c>
      <c r="I41" s="43">
        <f>+D41+G41</f>
        <v>900000</v>
      </c>
      <c r="J41" s="250">
        <f>+I41/$I$8</f>
        <v>1</v>
      </c>
    </row>
    <row r="42" spans="2:10" ht="15" hidden="1" outlineLevel="1">
      <c r="B42" s="94" t="s">
        <v>352</v>
      </c>
      <c r="C42" s="44">
        <v>-30</v>
      </c>
      <c r="D42" s="13">
        <f>+C42*C$3</f>
        <v>-60000</v>
      </c>
      <c r="E42" s="112">
        <f>+C42/C$8</f>
        <v>-0.15789473684210525</v>
      </c>
      <c r="F42" s="44">
        <v>-40</v>
      </c>
      <c r="G42" s="13">
        <f>+F42*F$3</f>
        <v>-80000</v>
      </c>
      <c r="H42" s="112">
        <f>+F42/F$8</f>
        <v>-0.15384615384615385</v>
      </c>
      <c r="I42" s="43">
        <f>+D42+G42</f>
        <v>-140000</v>
      </c>
      <c r="J42" s="250">
        <f aca="true" t="shared" si="15" ref="J42:J48">+I42/$I$8</f>
        <v>-0.15555555555555556</v>
      </c>
    </row>
    <row r="43" spans="2:10" ht="15" hidden="1" outlineLevel="1">
      <c r="B43" s="94" t="s">
        <v>353</v>
      </c>
      <c r="C43" s="44">
        <v>-12</v>
      </c>
      <c r="D43" s="13">
        <f>+C43*C$3</f>
        <v>-24000</v>
      </c>
      <c r="E43" s="112">
        <f>+C43/C$8</f>
        <v>-0.06315789473684211</v>
      </c>
      <c r="F43" s="44">
        <v>-18</v>
      </c>
      <c r="G43" s="13">
        <f>+F43*F$3</f>
        <v>-36000</v>
      </c>
      <c r="H43" s="112">
        <f>+F43/F$8</f>
        <v>-0.06923076923076923</v>
      </c>
      <c r="I43" s="43">
        <f>+D43+G43</f>
        <v>-60000</v>
      </c>
      <c r="J43" s="250">
        <f t="shared" si="15"/>
        <v>-0.06666666666666667</v>
      </c>
    </row>
    <row r="44" spans="2:10" ht="15" hidden="1" outlineLevel="1">
      <c r="B44" s="94" t="s">
        <v>179</v>
      </c>
      <c r="C44" s="44">
        <v>-35</v>
      </c>
      <c r="D44" s="13">
        <f>+C44*C$3</f>
        <v>-70000</v>
      </c>
      <c r="E44" s="112">
        <f>+C44/C$8</f>
        <v>-0.18421052631578946</v>
      </c>
      <c r="F44" s="44">
        <v>-60</v>
      </c>
      <c r="G44" s="13">
        <f>+F44*F$3</f>
        <v>-120000</v>
      </c>
      <c r="H44" s="112">
        <f>+F44/F$8</f>
        <v>-0.23076923076923078</v>
      </c>
      <c r="I44" s="43">
        <f>+D44+G44</f>
        <v>-190000</v>
      </c>
      <c r="J44" s="250">
        <f t="shared" si="15"/>
        <v>-0.2111111111111111</v>
      </c>
    </row>
    <row r="45" spans="2:10" ht="15" collapsed="1">
      <c r="B45" s="255" t="s">
        <v>359</v>
      </c>
      <c r="C45" s="256">
        <f aca="true" t="shared" si="16" ref="C45:J45">SUM(C41:C44)</f>
        <v>113</v>
      </c>
      <c r="D45" s="28">
        <f t="shared" si="16"/>
        <v>226000</v>
      </c>
      <c r="E45" s="250">
        <f t="shared" si="16"/>
        <v>0.5947368421052631</v>
      </c>
      <c r="F45" s="256">
        <f t="shared" si="16"/>
        <v>142</v>
      </c>
      <c r="G45" s="28">
        <f t="shared" si="16"/>
        <v>284000</v>
      </c>
      <c r="H45" s="250">
        <f t="shared" si="16"/>
        <v>0.5461538461538462</v>
      </c>
      <c r="I45" s="28">
        <f t="shared" si="16"/>
        <v>510000</v>
      </c>
      <c r="J45" s="250">
        <f t="shared" si="16"/>
        <v>0.5666666666666667</v>
      </c>
    </row>
    <row r="46" spans="2:10" ht="15" hidden="1" outlineLevel="1">
      <c r="B46" s="94" t="s">
        <v>354</v>
      </c>
      <c r="C46" s="44"/>
      <c r="D46" s="13"/>
      <c r="E46" s="112"/>
      <c r="F46" s="44"/>
      <c r="G46" s="13"/>
      <c r="H46" s="112"/>
      <c r="I46" s="43">
        <f>+I34</f>
        <v>-60000</v>
      </c>
      <c r="J46" s="250">
        <f t="shared" si="15"/>
        <v>-0.06666666666666667</v>
      </c>
    </row>
    <row r="47" spans="2:10" ht="15" hidden="1" outlineLevel="1">
      <c r="B47" s="94" t="s">
        <v>15</v>
      </c>
      <c r="C47" s="44"/>
      <c r="D47" s="13"/>
      <c r="E47" s="112"/>
      <c r="F47" s="44"/>
      <c r="G47" s="13"/>
      <c r="H47" s="112"/>
      <c r="I47" s="43">
        <f>+I35</f>
        <v>-200000</v>
      </c>
      <c r="J47" s="250">
        <f t="shared" si="15"/>
        <v>-0.2222222222222222</v>
      </c>
    </row>
    <row r="48" spans="2:10" ht="15" hidden="1" outlineLevel="1">
      <c r="B48" s="94" t="s">
        <v>355</v>
      </c>
      <c r="C48" s="44"/>
      <c r="D48" s="13"/>
      <c r="E48" s="112"/>
      <c r="F48" s="44"/>
      <c r="G48" s="13"/>
      <c r="H48" s="112"/>
      <c r="I48" s="43">
        <f>+I36</f>
        <v>-36250</v>
      </c>
      <c r="J48" s="250">
        <f t="shared" si="15"/>
        <v>-0.04027777777777778</v>
      </c>
    </row>
    <row r="49" spans="2:10" ht="15" collapsed="1">
      <c r="B49" s="251" t="s">
        <v>181</v>
      </c>
      <c r="C49" s="252"/>
      <c r="D49" s="253"/>
      <c r="E49" s="254"/>
      <c r="F49" s="252"/>
      <c r="G49" s="253"/>
      <c r="H49" s="254"/>
      <c r="I49" s="253">
        <f>+SUM(I45:I48)</f>
        <v>213750</v>
      </c>
      <c r="J49" s="254">
        <f>SUM(J45:J48)</f>
        <v>0.23750000000000002</v>
      </c>
    </row>
  </sheetData>
  <sheetProtection/>
  <mergeCells count="25">
    <mergeCell ref="B28:B29"/>
    <mergeCell ref="C28:E28"/>
    <mergeCell ref="F28:H28"/>
    <mergeCell ref="I28:J28"/>
    <mergeCell ref="B39:B40"/>
    <mergeCell ref="C39:E39"/>
    <mergeCell ref="F39:H39"/>
    <mergeCell ref="I39:J39"/>
    <mergeCell ref="I2:J2"/>
    <mergeCell ref="C4:E4"/>
    <mergeCell ref="F4:H4"/>
    <mergeCell ref="I4:J4"/>
    <mergeCell ref="B6:B7"/>
    <mergeCell ref="C3:E3"/>
    <mergeCell ref="F3:H3"/>
    <mergeCell ref="I3:J3"/>
    <mergeCell ref="C2:E2"/>
    <mergeCell ref="F2:H2"/>
    <mergeCell ref="B17:B18"/>
    <mergeCell ref="C17:E17"/>
    <mergeCell ref="F17:H17"/>
    <mergeCell ref="I17:J17"/>
    <mergeCell ref="C6:E6"/>
    <mergeCell ref="F6:H6"/>
    <mergeCell ref="I6:J6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="130" zoomScaleNormal="130" zoomScalePageLayoutView="0" workbookViewId="0" topLeftCell="A1">
      <selection activeCell="E33" sqref="E33"/>
    </sheetView>
  </sheetViews>
  <sheetFormatPr defaultColWidth="9.140625" defaultRowHeight="15"/>
  <cols>
    <col min="1" max="1" width="3.28125" style="1" customWidth="1"/>
    <col min="2" max="2" width="38.28125" style="1" customWidth="1"/>
    <col min="3" max="5" width="9.140625" style="1" customWidth="1"/>
    <col min="6" max="6" width="17.57421875" style="1" customWidth="1"/>
    <col min="7" max="16384" width="9.140625" style="1" customWidth="1"/>
  </cols>
  <sheetData>
    <row r="2" spans="3:5" ht="15">
      <c r="C2" s="9" t="s">
        <v>21</v>
      </c>
      <c r="D2" s="9" t="s">
        <v>22</v>
      </c>
      <c r="E2" s="9" t="s">
        <v>23</v>
      </c>
    </row>
    <row r="3" spans="2:5" ht="15">
      <c r="B3" s="3" t="s">
        <v>24</v>
      </c>
      <c r="C3" s="18">
        <v>1000</v>
      </c>
      <c r="D3" s="18">
        <v>2000</v>
      </c>
      <c r="E3" s="4">
        <v>4000</v>
      </c>
    </row>
    <row r="4" spans="2:5" ht="15">
      <c r="B4" s="7" t="s">
        <v>25</v>
      </c>
      <c r="C4" s="14">
        <v>1800</v>
      </c>
      <c r="D4" s="14">
        <v>3600</v>
      </c>
      <c r="E4" s="8">
        <v>7200</v>
      </c>
    </row>
    <row r="5" ht="15">
      <c r="B5" s="2"/>
    </row>
    <row r="6" spans="2:6" ht="15" customHeight="1">
      <c r="B6" s="10" t="s">
        <v>26</v>
      </c>
      <c r="C6" s="19" t="str">
        <f>+C2</f>
        <v>ABRIL</v>
      </c>
      <c r="D6" s="19" t="str">
        <f>+D2</f>
        <v>MAIO</v>
      </c>
      <c r="E6" s="20" t="str">
        <f>+E2</f>
        <v>JUNHO</v>
      </c>
      <c r="F6" s="343" t="s">
        <v>37</v>
      </c>
    </row>
    <row r="7" spans="2:6" ht="15">
      <c r="B7" s="5" t="s">
        <v>27</v>
      </c>
      <c r="C7" s="13">
        <v>0</v>
      </c>
      <c r="D7" s="13">
        <f>+C4/5</f>
        <v>360</v>
      </c>
      <c r="E7" s="6">
        <f>+C4/5+D4/5</f>
        <v>1080</v>
      </c>
      <c r="F7" s="344"/>
    </row>
    <row r="8" spans="2:6" ht="15">
      <c r="B8" s="5" t="s">
        <v>28</v>
      </c>
      <c r="C8" s="13">
        <f>-C3</f>
        <v>-1000</v>
      </c>
      <c r="D8" s="13">
        <f>-D3</f>
        <v>-2000</v>
      </c>
      <c r="E8" s="6">
        <f>-E3</f>
        <v>-4000</v>
      </c>
      <c r="F8" s="344"/>
    </row>
    <row r="9" spans="2:6" ht="15">
      <c r="B9" s="15" t="s">
        <v>29</v>
      </c>
      <c r="C9" s="16">
        <f>+SUM(C7:C8)</f>
        <v>-1000</v>
      </c>
      <c r="D9" s="16">
        <f>+SUM(D7:D8)</f>
        <v>-1640</v>
      </c>
      <c r="E9" s="17">
        <f>+SUM(E7:E8)</f>
        <v>-2920</v>
      </c>
      <c r="F9" s="345"/>
    </row>
    <row r="11" spans="2:5" ht="15">
      <c r="B11" s="24"/>
      <c r="C11" s="19" t="str">
        <f>+C6</f>
        <v>ABRIL</v>
      </c>
      <c r="D11" s="19" t="str">
        <f>+D6</f>
        <v>MAIO</v>
      </c>
      <c r="E11" s="20" t="str">
        <f>+E6</f>
        <v>JUNHO</v>
      </c>
    </row>
    <row r="12" spans="2:5" ht="15">
      <c r="B12" s="25" t="s">
        <v>30</v>
      </c>
      <c r="C12" s="26">
        <v>10000</v>
      </c>
      <c r="D12" s="26">
        <f>+C13</f>
        <v>9000</v>
      </c>
      <c r="E12" s="27">
        <f>+D13</f>
        <v>7360</v>
      </c>
    </row>
    <row r="13" spans="2:5" ht="15">
      <c r="B13" s="21" t="s">
        <v>31</v>
      </c>
      <c r="C13" s="22">
        <f>+C12+C9</f>
        <v>9000</v>
      </c>
      <c r="D13" s="22">
        <f>+D12+D9</f>
        <v>7360</v>
      </c>
      <c r="E13" s="23">
        <f>+E12+E9</f>
        <v>4440</v>
      </c>
    </row>
    <row r="15" spans="2:6" ht="15">
      <c r="B15" s="10" t="s">
        <v>11</v>
      </c>
      <c r="C15" s="19" t="str">
        <f>+C11</f>
        <v>ABRIL</v>
      </c>
      <c r="D15" s="19" t="str">
        <f>+D11</f>
        <v>MAIO</v>
      </c>
      <c r="E15" s="20" t="str">
        <f>+E11</f>
        <v>JUNHO</v>
      </c>
      <c r="F15" s="343" t="s">
        <v>36</v>
      </c>
    </row>
    <row r="16" spans="2:6" ht="15">
      <c r="B16" s="5" t="s">
        <v>32</v>
      </c>
      <c r="C16" s="13">
        <f>+C4</f>
        <v>1800</v>
      </c>
      <c r="D16" s="13">
        <f>+D4</f>
        <v>3600</v>
      </c>
      <c r="E16" s="6">
        <f>+E4</f>
        <v>7200</v>
      </c>
      <c r="F16" s="344"/>
    </row>
    <row r="17" spans="2:6" ht="15">
      <c r="B17" s="5" t="s">
        <v>33</v>
      </c>
      <c r="C17" s="13">
        <f>-C3</f>
        <v>-1000</v>
      </c>
      <c r="D17" s="13">
        <f>-D3</f>
        <v>-2000</v>
      </c>
      <c r="E17" s="6">
        <f>-E3</f>
        <v>-4000</v>
      </c>
      <c r="F17" s="344"/>
    </row>
    <row r="18" spans="2:6" ht="15">
      <c r="B18" s="29" t="s">
        <v>34</v>
      </c>
      <c r="C18" s="28">
        <f>+SUM(C16:C17)</f>
        <v>800</v>
      </c>
      <c r="D18" s="28">
        <f>+SUM(D16:D17)</f>
        <v>1600</v>
      </c>
      <c r="E18" s="30">
        <f>+SUM(E16:E17)</f>
        <v>3200</v>
      </c>
      <c r="F18" s="344"/>
    </row>
    <row r="19" spans="2:6" ht="15">
      <c r="B19" s="37" t="s">
        <v>45</v>
      </c>
      <c r="C19" s="38">
        <f>+C26</f>
        <v>-180</v>
      </c>
      <c r="D19" s="38">
        <f>+D26-C26</f>
        <v>-324</v>
      </c>
      <c r="E19" s="39">
        <f>+E26-D26</f>
        <v>-612</v>
      </c>
      <c r="F19" s="344"/>
    </row>
    <row r="20" spans="2:6" ht="15">
      <c r="B20" s="15" t="s">
        <v>35</v>
      </c>
      <c r="C20" s="16">
        <f>+SUM(C18:C19)</f>
        <v>620</v>
      </c>
      <c r="D20" s="16">
        <f>+SUM(D18:D19)</f>
        <v>1276</v>
      </c>
      <c r="E20" s="17">
        <f>+SUM(E18:E19)</f>
        <v>2588</v>
      </c>
      <c r="F20" s="345"/>
    </row>
    <row r="22" spans="2:5" ht="15">
      <c r="B22" s="346" t="s">
        <v>38</v>
      </c>
      <c r="C22" s="346"/>
      <c r="D22" s="346"/>
      <c r="E22" s="346"/>
    </row>
    <row r="23" spans="2:6" ht="15" customHeight="1">
      <c r="B23" s="10" t="s">
        <v>8</v>
      </c>
      <c r="C23" s="31">
        <v>42124</v>
      </c>
      <c r="D23" s="31">
        <v>42155</v>
      </c>
      <c r="E23" s="32">
        <v>42185</v>
      </c>
      <c r="F23" s="343" t="s">
        <v>44</v>
      </c>
    </row>
    <row r="24" spans="2:6" ht="15">
      <c r="B24" s="33" t="s">
        <v>39</v>
      </c>
      <c r="C24" s="26">
        <f>+C13</f>
        <v>9000</v>
      </c>
      <c r="D24" s="26">
        <f>+D13</f>
        <v>7360</v>
      </c>
      <c r="E24" s="27">
        <f>+E13</f>
        <v>4440</v>
      </c>
      <c r="F24" s="344"/>
    </row>
    <row r="25" spans="2:6" ht="15">
      <c r="B25" s="33" t="s">
        <v>40</v>
      </c>
      <c r="C25" s="26">
        <f>+C16</f>
        <v>1800</v>
      </c>
      <c r="D25" s="26">
        <f>+C25+D16-D7</f>
        <v>5040</v>
      </c>
      <c r="E25" s="27">
        <f>+D25+E16-E7</f>
        <v>11160</v>
      </c>
      <c r="F25" s="344"/>
    </row>
    <row r="26" spans="2:6" ht="15">
      <c r="B26" s="37" t="s">
        <v>45</v>
      </c>
      <c r="C26" s="38">
        <f>-C25*10%</f>
        <v>-180</v>
      </c>
      <c r="D26" s="38">
        <f>-D25*10%</f>
        <v>-504</v>
      </c>
      <c r="E26" s="39">
        <f>-E25*10%</f>
        <v>-1116</v>
      </c>
      <c r="F26" s="344"/>
    </row>
    <row r="27" spans="2:6" ht="15">
      <c r="B27" s="34" t="s">
        <v>17</v>
      </c>
      <c r="C27" s="35">
        <f>SUM(C24:C26)</f>
        <v>10620</v>
      </c>
      <c r="D27" s="35">
        <f>SUM(D24:D26)</f>
        <v>11896</v>
      </c>
      <c r="E27" s="36">
        <f>SUM(E24:E26)</f>
        <v>14484</v>
      </c>
      <c r="F27" s="344"/>
    </row>
    <row r="28" spans="2:6" ht="15">
      <c r="B28" s="10" t="s">
        <v>41</v>
      </c>
      <c r="C28" s="31">
        <v>42124</v>
      </c>
      <c r="D28" s="31">
        <v>42155</v>
      </c>
      <c r="E28" s="32">
        <v>42185</v>
      </c>
      <c r="F28" s="344"/>
    </row>
    <row r="29" spans="2:6" ht="15">
      <c r="B29" s="33" t="s">
        <v>42</v>
      </c>
      <c r="C29" s="26">
        <v>10000</v>
      </c>
      <c r="D29" s="26">
        <f>+C29</f>
        <v>10000</v>
      </c>
      <c r="E29" s="27">
        <f>+D29</f>
        <v>10000</v>
      </c>
      <c r="F29" s="344"/>
    </row>
    <row r="30" spans="2:6" ht="15">
      <c r="B30" s="33" t="s">
        <v>43</v>
      </c>
      <c r="C30" s="26">
        <f>+C20</f>
        <v>620</v>
      </c>
      <c r="D30" s="26">
        <f>+C30+D20</f>
        <v>1896</v>
      </c>
      <c r="E30" s="27">
        <f>+D30+E20</f>
        <v>4484</v>
      </c>
      <c r="F30" s="344"/>
    </row>
    <row r="31" spans="2:6" ht="15">
      <c r="B31" s="34" t="s">
        <v>17</v>
      </c>
      <c r="C31" s="35">
        <f>SUM(C29:C30)</f>
        <v>10620</v>
      </c>
      <c r="D31" s="35">
        <f>SUM(D29:D30)</f>
        <v>11896</v>
      </c>
      <c r="E31" s="36">
        <f>SUM(E29:E30)</f>
        <v>14484</v>
      </c>
      <c r="F31" s="345"/>
    </row>
  </sheetData>
  <sheetProtection/>
  <mergeCells count="4">
    <mergeCell ref="F15:F20"/>
    <mergeCell ref="F6:F9"/>
    <mergeCell ref="B22:E22"/>
    <mergeCell ref="F23:F3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F22"/>
  <sheetViews>
    <sheetView zoomScale="140" zoomScaleNormal="140" zoomScalePageLayoutView="0" workbookViewId="0" topLeftCell="A6">
      <selection activeCell="A21" sqref="A21:IV21"/>
    </sheetView>
  </sheetViews>
  <sheetFormatPr defaultColWidth="9.140625" defaultRowHeight="15"/>
  <cols>
    <col min="1" max="1" width="7.140625" style="1" customWidth="1"/>
    <col min="2" max="2" width="36.00390625" style="1" customWidth="1"/>
    <col min="3" max="16384" width="9.140625" style="1" customWidth="1"/>
  </cols>
  <sheetData>
    <row r="2" spans="2:3" ht="15">
      <c r="B2" s="3" t="s">
        <v>360</v>
      </c>
      <c r="C2" s="4">
        <v>9600</v>
      </c>
    </row>
    <row r="3" spans="2:3" ht="15">
      <c r="B3" s="5" t="s">
        <v>361</v>
      </c>
      <c r="C3" s="6">
        <v>4200</v>
      </c>
    </row>
    <row r="4" spans="2:3" ht="15">
      <c r="B4" s="15" t="s">
        <v>362</v>
      </c>
      <c r="C4" s="258">
        <f>SUM(C2:C3)</f>
        <v>13800</v>
      </c>
    </row>
    <row r="5" ht="15">
      <c r="B5" s="2"/>
    </row>
    <row r="6" spans="2:4" ht="30">
      <c r="B6" s="76" t="s">
        <v>365</v>
      </c>
      <c r="C6" s="259" t="s">
        <v>363</v>
      </c>
      <c r="D6" s="257" t="s">
        <v>364</v>
      </c>
    </row>
    <row r="7" spans="2:4" ht="15">
      <c r="B7" s="5" t="s">
        <v>366</v>
      </c>
      <c r="C7" s="170">
        <v>150</v>
      </c>
      <c r="D7" s="149">
        <v>500</v>
      </c>
    </row>
    <row r="8" spans="2:4" ht="15">
      <c r="B8" s="5" t="s">
        <v>367</v>
      </c>
      <c r="C8" s="170">
        <v>50</v>
      </c>
      <c r="D8" s="149">
        <v>150</v>
      </c>
    </row>
    <row r="9" spans="2:4" ht="15">
      <c r="B9" s="5" t="s">
        <v>368</v>
      </c>
      <c r="C9" s="170">
        <v>25</v>
      </c>
      <c r="D9" s="149">
        <v>55</v>
      </c>
    </row>
    <row r="10" spans="2:4" ht="15">
      <c r="B10" s="15" t="s">
        <v>17</v>
      </c>
      <c r="C10" s="261">
        <f>SUM(C7:C9)</f>
        <v>225</v>
      </c>
      <c r="D10" s="262">
        <f>SUM(D7:D9)</f>
        <v>705</v>
      </c>
    </row>
    <row r="11" ht="15">
      <c r="B11" s="2"/>
    </row>
    <row r="12" spans="2:6" ht="15">
      <c r="B12" s="349" t="s">
        <v>11</v>
      </c>
      <c r="C12" s="347" t="s">
        <v>369</v>
      </c>
      <c r="D12" s="348"/>
      <c r="E12" s="347" t="s">
        <v>370</v>
      </c>
      <c r="F12" s="348"/>
    </row>
    <row r="13" spans="2:6" ht="15">
      <c r="B13" s="353"/>
      <c r="C13" s="395" t="s">
        <v>375</v>
      </c>
      <c r="D13" s="397"/>
      <c r="E13" s="395" t="s">
        <v>376</v>
      </c>
      <c r="F13" s="397"/>
    </row>
    <row r="14" spans="2:6" ht="15">
      <c r="B14" s="350"/>
      <c r="C14" s="354" t="str">
        <f>+C6</f>
        <v>Carrinhos de chá</v>
      </c>
      <c r="D14" s="355"/>
      <c r="E14" s="354" t="str">
        <f>+D6</f>
        <v>Estantes</v>
      </c>
      <c r="F14" s="355"/>
    </row>
    <row r="15" spans="2:6" ht="15">
      <c r="B15" s="263" t="s">
        <v>371</v>
      </c>
      <c r="C15" s="357">
        <v>200</v>
      </c>
      <c r="D15" s="358"/>
      <c r="E15" s="357">
        <v>110</v>
      </c>
      <c r="F15" s="358"/>
    </row>
    <row r="16" spans="2:6" ht="15">
      <c r="B16" s="94"/>
      <c r="C16" s="43" t="s">
        <v>48</v>
      </c>
      <c r="D16" s="30" t="s">
        <v>49</v>
      </c>
      <c r="E16" s="43" t="s">
        <v>48</v>
      </c>
      <c r="F16" s="30" t="s">
        <v>49</v>
      </c>
    </row>
    <row r="17" spans="2:6" ht="15">
      <c r="B17" s="93" t="s">
        <v>32</v>
      </c>
      <c r="C17" s="260">
        <v>550</v>
      </c>
      <c r="D17" s="4">
        <f>+C17*C$15</f>
        <v>110000</v>
      </c>
      <c r="E17" s="260">
        <v>1400</v>
      </c>
      <c r="F17" s="4">
        <f>+E17*E$15</f>
        <v>154000</v>
      </c>
    </row>
    <row r="18" spans="2:6" ht="15">
      <c r="B18" s="94" t="s">
        <v>372</v>
      </c>
      <c r="C18" s="49">
        <f>-C10</f>
        <v>-225</v>
      </c>
      <c r="D18" s="6">
        <f aca="true" t="shared" si="0" ref="D18:F19">+C18*C$15</f>
        <v>-45000</v>
      </c>
      <c r="E18" s="49">
        <f>-D10</f>
        <v>-705</v>
      </c>
      <c r="F18" s="6">
        <f t="shared" si="0"/>
        <v>-77550</v>
      </c>
    </row>
    <row r="19" spans="2:6" ht="15">
      <c r="B19" s="255" t="s">
        <v>373</v>
      </c>
      <c r="C19" s="43">
        <f>SUM(C17:C18)</f>
        <v>325</v>
      </c>
      <c r="D19" s="30">
        <f t="shared" si="0"/>
        <v>65000</v>
      </c>
      <c r="E19" s="43">
        <f>SUM(E17:E18)</f>
        <v>695</v>
      </c>
      <c r="F19" s="30">
        <f t="shared" si="0"/>
        <v>76450</v>
      </c>
    </row>
    <row r="20" spans="2:6" ht="15">
      <c r="B20" s="94" t="s">
        <v>377</v>
      </c>
      <c r="C20" s="49"/>
      <c r="D20" s="6">
        <f>-$C$4*3</f>
        <v>-41400</v>
      </c>
      <c r="E20" s="49"/>
      <c r="F20" s="6">
        <f>-$C$4*4</f>
        <v>-55200</v>
      </c>
    </row>
    <row r="21" spans="2:6" ht="15">
      <c r="B21" s="94" t="s">
        <v>378</v>
      </c>
      <c r="C21" s="49"/>
      <c r="D21" s="6">
        <f>-C4</f>
        <v>-13800</v>
      </c>
      <c r="E21" s="49"/>
      <c r="F21" s="6">
        <v>0</v>
      </c>
    </row>
    <row r="22" spans="2:6" ht="15">
      <c r="B22" s="264" t="s">
        <v>374</v>
      </c>
      <c r="C22" s="265"/>
      <c r="D22" s="266">
        <f>SUM(D19:D21)</f>
        <v>9800</v>
      </c>
      <c r="E22" s="265"/>
      <c r="F22" s="266">
        <f>SUM(F19:F21)</f>
        <v>21250</v>
      </c>
    </row>
  </sheetData>
  <sheetProtection/>
  <mergeCells count="9">
    <mergeCell ref="B12:B14"/>
    <mergeCell ref="C12:D12"/>
    <mergeCell ref="C14:D14"/>
    <mergeCell ref="C15:D15"/>
    <mergeCell ref="E15:F15"/>
    <mergeCell ref="E12:F12"/>
    <mergeCell ref="E14:F14"/>
    <mergeCell ref="C13:D13"/>
    <mergeCell ref="E13:F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D46"/>
  <sheetViews>
    <sheetView zoomScale="140" zoomScaleNormal="140" zoomScalePageLayoutView="0" workbookViewId="0" topLeftCell="B31">
      <selection activeCell="C41" sqref="C41"/>
    </sheetView>
  </sheetViews>
  <sheetFormatPr defaultColWidth="9.140625" defaultRowHeight="15"/>
  <cols>
    <col min="1" max="1" width="7.140625" style="1" customWidth="1"/>
    <col min="2" max="2" width="36.00390625" style="1" customWidth="1"/>
    <col min="3" max="3" width="9.8515625" style="1" bestFit="1" customWidth="1"/>
    <col min="4" max="16384" width="9.140625" style="1" customWidth="1"/>
  </cols>
  <sheetData>
    <row r="1" ht="15"/>
    <row r="2" ht="15">
      <c r="C2" s="267" t="s">
        <v>379</v>
      </c>
    </row>
    <row r="3" spans="2:3" ht="15">
      <c r="B3" s="76" t="s">
        <v>382</v>
      </c>
      <c r="C3" s="278">
        <v>500</v>
      </c>
    </row>
    <row r="4" spans="2:3" ht="15">
      <c r="B4" s="5" t="s">
        <v>381</v>
      </c>
      <c r="C4" s="149">
        <f>-C3*10%</f>
        <v>-50</v>
      </c>
    </row>
    <row r="5" spans="2:3" ht="15">
      <c r="B5" s="29" t="s">
        <v>383</v>
      </c>
      <c r="C5" s="279">
        <f>SUM(C3:C4)</f>
        <v>450</v>
      </c>
    </row>
    <row r="6" spans="2:3" ht="15">
      <c r="B6" s="5" t="s">
        <v>384</v>
      </c>
      <c r="C6" s="149">
        <f>-C5*20%</f>
        <v>-90</v>
      </c>
    </row>
    <row r="7" spans="2:4" ht="15">
      <c r="B7" s="5" t="s">
        <v>380</v>
      </c>
      <c r="C7" s="149">
        <v>-210</v>
      </c>
      <c r="D7" s="1">
        <f>+-SUM(C4,C6,C7)</f>
        <v>350</v>
      </c>
    </row>
    <row r="8" spans="2:3" ht="15">
      <c r="B8" s="29" t="s">
        <v>390</v>
      </c>
      <c r="C8" s="279">
        <f>+SUM(C5:C7)</f>
        <v>150</v>
      </c>
    </row>
    <row r="9" spans="2:4" ht="15">
      <c r="B9" s="281" t="s">
        <v>128</v>
      </c>
      <c r="C9" s="282">
        <f>-C8*40%</f>
        <v>-60</v>
      </c>
      <c r="D9" s="1">
        <f>-SUM(C4,C6,C7,C9)</f>
        <v>410</v>
      </c>
    </row>
    <row r="10" spans="2:3" ht="15">
      <c r="B10" s="15" t="s">
        <v>391</v>
      </c>
      <c r="C10" s="262">
        <f>+SUM(C8:C9)</f>
        <v>90</v>
      </c>
    </row>
    <row r="11" spans="2:3" ht="15">
      <c r="B11" s="2"/>
      <c r="C11" s="101"/>
    </row>
    <row r="12" spans="2:3" ht="15">
      <c r="B12" s="280" t="s">
        <v>388</v>
      </c>
      <c r="C12" s="186">
        <v>900000</v>
      </c>
    </row>
    <row r="13" spans="2:3" ht="15">
      <c r="B13" s="2"/>
      <c r="C13" s="277" t="s">
        <v>386</v>
      </c>
    </row>
    <row r="14" spans="2:3" ht="15">
      <c r="B14" s="3" t="s">
        <v>385</v>
      </c>
      <c r="C14" s="4">
        <v>75000</v>
      </c>
    </row>
    <row r="15" spans="2:3" ht="15">
      <c r="B15" s="5" t="s">
        <v>387</v>
      </c>
      <c r="C15" s="6">
        <v>6000</v>
      </c>
    </row>
    <row r="16" spans="2:3" ht="15">
      <c r="B16" s="7" t="s">
        <v>389</v>
      </c>
      <c r="C16" s="8">
        <f>+C12*15%/12</f>
        <v>11250</v>
      </c>
    </row>
    <row r="17" spans="2:3" ht="15">
      <c r="B17" s="67"/>
      <c r="C17" s="13"/>
    </row>
    <row r="18" spans="2:3" ht="15">
      <c r="B18" s="280" t="s">
        <v>408</v>
      </c>
      <c r="C18" s="186">
        <v>24000</v>
      </c>
    </row>
    <row r="19" ht="15"/>
    <row r="20" spans="2:3" ht="15">
      <c r="B20" s="270" t="s">
        <v>402</v>
      </c>
      <c r="C20" s="271">
        <f>+C14/C8</f>
        <v>500</v>
      </c>
    </row>
    <row r="21" ht="15"/>
    <row r="22" spans="2:3" ht="15">
      <c r="B22" s="270" t="s">
        <v>403</v>
      </c>
      <c r="C22" s="271">
        <f>+C16/C10+C20</f>
        <v>625</v>
      </c>
    </row>
    <row r="23" ht="15"/>
    <row r="24" spans="2:3" ht="15">
      <c r="B24" s="275" t="s">
        <v>404</v>
      </c>
      <c r="C24" s="276">
        <f>+(C14-C15)/C8</f>
        <v>460</v>
      </c>
    </row>
    <row r="25" ht="15"/>
    <row r="26" spans="2:3" ht="15">
      <c r="B26" s="275" t="s">
        <v>409</v>
      </c>
      <c r="C26" s="276">
        <f>+(C18-C15)/C10+C20</f>
        <v>700</v>
      </c>
    </row>
    <row r="27" ht="15"/>
    <row r="28" spans="2:3" ht="15">
      <c r="B28" s="347" t="s">
        <v>397</v>
      </c>
      <c r="C28" s="348"/>
    </row>
    <row r="29" spans="2:3" ht="15">
      <c r="B29" s="105" t="s">
        <v>392</v>
      </c>
      <c r="C29" s="272">
        <v>650</v>
      </c>
    </row>
    <row r="30" spans="2:3" ht="15">
      <c r="B30" s="76" t="s">
        <v>393</v>
      </c>
      <c r="C30" s="268">
        <f>+C29*C3</f>
        <v>325000</v>
      </c>
    </row>
    <row r="31" spans="2:3" ht="15">
      <c r="B31" s="5" t="str">
        <f>+B4</f>
        <v>(-) Impostos sobre venda</v>
      </c>
      <c r="C31" s="6">
        <f>-C30*10%</f>
        <v>-32500</v>
      </c>
    </row>
    <row r="32" spans="2:3" ht="15">
      <c r="B32" s="29" t="s">
        <v>394</v>
      </c>
      <c r="C32" s="30">
        <f>+SUM(C30:C31)</f>
        <v>292500</v>
      </c>
    </row>
    <row r="33" spans="2:3" ht="15">
      <c r="B33" s="5" t="str">
        <f>+B6</f>
        <v>(-) Comissões sobre venda</v>
      </c>
      <c r="C33" s="6">
        <f>+$C$29*C6</f>
        <v>-58500</v>
      </c>
    </row>
    <row r="34" spans="2:3" ht="15">
      <c r="B34" s="5" t="str">
        <f>+B7</f>
        <v>(-) Custos variáveis</v>
      </c>
      <c r="C34" s="6">
        <f>+$C$29*C7</f>
        <v>-136500</v>
      </c>
    </row>
    <row r="35" spans="2:3" ht="30">
      <c r="B35" s="29" t="s">
        <v>395</v>
      </c>
      <c r="C35" s="30">
        <f>+SUM(C32:C34)</f>
        <v>97500</v>
      </c>
    </row>
    <row r="36" spans="2:3" ht="15">
      <c r="B36" s="5" t="s">
        <v>396</v>
      </c>
      <c r="C36" s="6">
        <f>-C14</f>
        <v>-75000</v>
      </c>
    </row>
    <row r="37" spans="2:3" ht="15">
      <c r="B37" s="29" t="s">
        <v>398</v>
      </c>
      <c r="C37" s="30">
        <f>+SUM(C35:C36)</f>
        <v>22500</v>
      </c>
    </row>
    <row r="38" spans="2:3" ht="15">
      <c r="B38" s="5" t="s">
        <v>128</v>
      </c>
      <c r="C38" s="6">
        <f>IF(C37&lt;0,0,-C37*40%)</f>
        <v>-9000</v>
      </c>
    </row>
    <row r="39" spans="2:3" ht="15">
      <c r="B39" s="15" t="s">
        <v>399</v>
      </c>
      <c r="C39" s="269">
        <f>+SUM(C37:C38)</f>
        <v>13500</v>
      </c>
    </row>
    <row r="40" spans="2:3" ht="15">
      <c r="B40" s="3" t="s">
        <v>400</v>
      </c>
      <c r="C40" s="4">
        <f>-C16</f>
        <v>-11250</v>
      </c>
    </row>
    <row r="41" spans="2:3" ht="15">
      <c r="B41" s="15" t="s">
        <v>401</v>
      </c>
      <c r="C41" s="269">
        <f>+SUM(C39:C40)</f>
        <v>2250</v>
      </c>
    </row>
    <row r="42" ht="15"/>
    <row r="44" spans="2:3" ht="15">
      <c r="B44" s="76" t="s">
        <v>405</v>
      </c>
      <c r="C44" s="273">
        <f>+C39</f>
        <v>13500</v>
      </c>
    </row>
    <row r="45" spans="2:3" ht="15">
      <c r="B45" s="5" t="s">
        <v>406</v>
      </c>
      <c r="C45" s="6">
        <f>+C15</f>
        <v>6000</v>
      </c>
    </row>
    <row r="46" spans="2:3" ht="15">
      <c r="B46" s="15" t="s">
        <v>407</v>
      </c>
      <c r="C46" s="274">
        <f>+SUM(C44:C45)</f>
        <v>19500</v>
      </c>
    </row>
  </sheetData>
  <sheetProtection/>
  <mergeCells count="1">
    <mergeCell ref="B28:C28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B2:F111"/>
  <sheetViews>
    <sheetView zoomScale="120" zoomScaleNormal="120" zoomScalePageLayoutView="0" workbookViewId="0" topLeftCell="A25">
      <selection activeCell="F38" sqref="F38"/>
    </sheetView>
  </sheetViews>
  <sheetFormatPr defaultColWidth="9.140625" defaultRowHeight="15"/>
  <cols>
    <col min="1" max="1" width="7.140625" style="1" customWidth="1"/>
    <col min="2" max="2" width="41.57421875" style="1" customWidth="1"/>
    <col min="3" max="3" width="14.7109375" style="1" customWidth="1"/>
    <col min="4" max="16384" width="9.140625" style="1" customWidth="1"/>
  </cols>
  <sheetData>
    <row r="1" ht="15"/>
    <row r="2" spans="2:6" ht="15">
      <c r="B2" s="284"/>
      <c r="C2" s="284" t="s">
        <v>410</v>
      </c>
      <c r="D2" s="284" t="s">
        <v>411</v>
      </c>
      <c r="E2" s="284" t="s">
        <v>412</v>
      </c>
      <c r="F2" s="284" t="s">
        <v>17</v>
      </c>
    </row>
    <row r="3" spans="2:6" ht="15">
      <c r="B3" s="287" t="s">
        <v>413</v>
      </c>
      <c r="C3" s="288">
        <v>5000</v>
      </c>
      <c r="D3" s="288">
        <v>2000</v>
      </c>
      <c r="E3" s="288">
        <v>3000</v>
      </c>
      <c r="F3" s="289">
        <f>SUM(C3:E3)</f>
        <v>10000</v>
      </c>
    </row>
    <row r="4" spans="2:6" ht="15">
      <c r="B4" s="287" t="s">
        <v>418</v>
      </c>
      <c r="C4" s="290">
        <f>+C3/$F$3</f>
        <v>0.5</v>
      </c>
      <c r="D4" s="290">
        <f>+D3/$F$3</f>
        <v>0.2</v>
      </c>
      <c r="E4" s="290">
        <f>+E3/$F$3</f>
        <v>0.3</v>
      </c>
      <c r="F4" s="291">
        <f>SUM(C4:E4)</f>
        <v>1</v>
      </c>
    </row>
    <row r="5" spans="2:5" ht="15">
      <c r="B5" s="285" t="s">
        <v>414</v>
      </c>
      <c r="C5" s="286">
        <v>20</v>
      </c>
      <c r="D5" s="286">
        <v>50</v>
      </c>
      <c r="E5" s="286">
        <v>35</v>
      </c>
    </row>
    <row r="6" spans="2:5" ht="15">
      <c r="B6" s="285" t="s">
        <v>415</v>
      </c>
      <c r="C6" s="286">
        <v>15</v>
      </c>
      <c r="D6" s="286">
        <v>25</v>
      </c>
      <c r="E6" s="286">
        <v>20</v>
      </c>
    </row>
    <row r="7" spans="2:5" ht="15">
      <c r="B7" s="285" t="s">
        <v>416</v>
      </c>
      <c r="C7" s="411">
        <v>0.4</v>
      </c>
      <c r="D7" s="411"/>
      <c r="E7" s="411"/>
    </row>
    <row r="8" spans="2:5" ht="15">
      <c r="B8" s="285" t="s">
        <v>417</v>
      </c>
      <c r="C8" s="412">
        <v>1080000</v>
      </c>
      <c r="D8" s="412"/>
      <c r="E8" s="412"/>
    </row>
    <row r="9" ht="15"/>
    <row r="10" spans="2:6" ht="15">
      <c r="B10" s="280" t="s">
        <v>419</v>
      </c>
      <c r="C10" s="293">
        <f>+C5*C4</f>
        <v>10</v>
      </c>
      <c r="D10" s="293">
        <f>+D5*D4</f>
        <v>10</v>
      </c>
      <c r="E10" s="293">
        <f>+E5*E4</f>
        <v>10.5</v>
      </c>
      <c r="F10" s="292">
        <f>SUM(C10:E10)</f>
        <v>30.5</v>
      </c>
    </row>
    <row r="11" spans="2:6" ht="30">
      <c r="B11" s="280" t="s">
        <v>420</v>
      </c>
      <c r="C11" s="293">
        <f>+C6*C4</f>
        <v>7.5</v>
      </c>
      <c r="D11" s="293">
        <f>+D6*D4</f>
        <v>5</v>
      </c>
      <c r="E11" s="293">
        <f>+E6*E4</f>
        <v>6</v>
      </c>
      <c r="F11" s="292">
        <f>SUM(C11:E11)</f>
        <v>18.5</v>
      </c>
    </row>
    <row r="12" spans="2:6" ht="15">
      <c r="B12" s="280" t="s">
        <v>423</v>
      </c>
      <c r="C12" s="293"/>
      <c r="D12" s="293"/>
      <c r="E12" s="293"/>
      <c r="F12" s="292">
        <f>+F10-F11</f>
        <v>12</v>
      </c>
    </row>
    <row r="13" spans="2:6" ht="15">
      <c r="B13" s="280" t="s">
        <v>424</v>
      </c>
      <c r="C13" s="293"/>
      <c r="D13" s="293"/>
      <c r="E13" s="293"/>
      <c r="F13" s="292">
        <f>+F12*(1-C7)</f>
        <v>7.199999999999999</v>
      </c>
    </row>
    <row r="14" ht="15"/>
    <row r="15" spans="2:3" ht="15">
      <c r="B15" s="280" t="s">
        <v>388</v>
      </c>
      <c r="C15" s="186">
        <v>800000</v>
      </c>
    </row>
    <row r="16" ht="15"/>
    <row r="17" ht="15">
      <c r="C17" s="283" t="s">
        <v>386</v>
      </c>
    </row>
    <row r="18" spans="2:3" ht="15">
      <c r="B18" s="3" t="s">
        <v>421</v>
      </c>
      <c r="C18" s="4">
        <f>1080000/12</f>
        <v>90000</v>
      </c>
    </row>
    <row r="19" spans="2:3" ht="15">
      <c r="B19" s="5" t="s">
        <v>387</v>
      </c>
      <c r="C19" s="6">
        <f>72000/12</f>
        <v>6000</v>
      </c>
    </row>
    <row r="20" spans="2:3" ht="15">
      <c r="B20" s="7" t="s">
        <v>389</v>
      </c>
      <c r="C20" s="8">
        <f>+C15*21.6%/12</f>
        <v>14400.000000000002</v>
      </c>
    </row>
    <row r="21" ht="15">
      <c r="B21" s="2"/>
    </row>
    <row r="22" spans="2:3" ht="15">
      <c r="B22" s="280" t="s">
        <v>422</v>
      </c>
      <c r="C22" s="186">
        <f>+C18/F12</f>
        <v>7500</v>
      </c>
    </row>
    <row r="23" ht="15">
      <c r="B23" s="2"/>
    </row>
    <row r="24" spans="2:3" ht="15">
      <c r="B24" s="280" t="s">
        <v>425</v>
      </c>
      <c r="C24" s="186">
        <f>+C20/F13+C22</f>
        <v>9500</v>
      </c>
    </row>
    <row r="25" ht="15"/>
    <row r="26" spans="2:3" ht="15">
      <c r="B26" s="280" t="s">
        <v>426</v>
      </c>
      <c r="C26" s="186">
        <f>+(C18-C19)/F12</f>
        <v>7000</v>
      </c>
    </row>
    <row r="27" ht="15"/>
    <row r="28" spans="2:4" ht="15">
      <c r="B28" s="300"/>
      <c r="C28" s="299" t="s">
        <v>431</v>
      </c>
      <c r="D28" s="294" t="s">
        <v>386</v>
      </c>
    </row>
    <row r="29" spans="2:4" ht="15">
      <c r="B29" s="184" t="s">
        <v>432</v>
      </c>
      <c r="C29" s="311">
        <f>+F3</f>
        <v>10000</v>
      </c>
      <c r="D29" s="186">
        <f>+C29*F10</f>
        <v>305000</v>
      </c>
    </row>
    <row r="30" spans="2:4" ht="15">
      <c r="B30" s="49" t="s">
        <v>405</v>
      </c>
      <c r="C30" s="26">
        <f>+C29-C22</f>
        <v>2500</v>
      </c>
      <c r="D30" s="6">
        <f>+C30*F13</f>
        <v>18000</v>
      </c>
    </row>
    <row r="31" spans="2:4" ht="15">
      <c r="B31" s="49" t="s">
        <v>433</v>
      </c>
      <c r="C31" s="26">
        <f>+C29-C24</f>
        <v>500</v>
      </c>
      <c r="D31" s="6">
        <f>+C31*F13</f>
        <v>3599.9999999999995</v>
      </c>
    </row>
    <row r="32" spans="2:4" ht="15">
      <c r="B32" s="312" t="s">
        <v>434</v>
      </c>
      <c r="C32" s="26"/>
      <c r="D32" s="6"/>
    </row>
    <row r="33" spans="2:4" ht="15">
      <c r="B33" s="300" t="s">
        <v>405</v>
      </c>
      <c r="C33" s="128">
        <f>+C29-C22</f>
        <v>2500</v>
      </c>
      <c r="D33" s="4">
        <f>+C33*F13</f>
        <v>18000</v>
      </c>
    </row>
    <row r="34" spans="2:4" ht="15">
      <c r="B34" s="49" t="s">
        <v>435</v>
      </c>
      <c r="C34" s="13">
        <f>+C22-C26</f>
        <v>500</v>
      </c>
      <c r="D34" s="6">
        <f>+C34*F12</f>
        <v>6000</v>
      </c>
    </row>
    <row r="35" spans="2:4" ht="15">
      <c r="B35" s="297" t="s">
        <v>17</v>
      </c>
      <c r="C35" s="301">
        <f>SUM(C33:C34)</f>
        <v>3000</v>
      </c>
      <c r="D35" s="298">
        <f>SUM(D33:D34)</f>
        <v>24000</v>
      </c>
    </row>
    <row r="36" ht="15"/>
    <row r="37" spans="2:4" ht="15">
      <c r="B37" s="408" t="s">
        <v>427</v>
      </c>
      <c r="C37" s="409"/>
      <c r="D37" s="410"/>
    </row>
    <row r="38" ht="15"/>
    <row r="39" spans="2:4" ht="15">
      <c r="B39" s="408" t="s">
        <v>428</v>
      </c>
      <c r="C39" s="409"/>
      <c r="D39" s="410"/>
    </row>
    <row r="41" spans="2:4" ht="15">
      <c r="B41" s="408" t="s">
        <v>429</v>
      </c>
      <c r="C41" s="409"/>
      <c r="D41" s="410"/>
    </row>
    <row r="43" spans="2:4" ht="15">
      <c r="B43" s="408" t="s">
        <v>430</v>
      </c>
      <c r="C43" s="409"/>
      <c r="D43" s="410"/>
    </row>
    <row r="45" spans="2:6" ht="18.75">
      <c r="B45" s="413" t="s">
        <v>440</v>
      </c>
      <c r="C45" s="414"/>
      <c r="D45" s="414"/>
      <c r="E45" s="414"/>
      <c r="F45" s="415"/>
    </row>
    <row r="46" spans="2:6" ht="15">
      <c r="B46" s="300"/>
      <c r="C46" s="295" t="str">
        <f>+C2</f>
        <v>Camisas</v>
      </c>
      <c r="D46" s="295" t="str">
        <f>+D2</f>
        <v>Blusas</v>
      </c>
      <c r="E46" s="295" t="str">
        <f>+E2</f>
        <v>Calças</v>
      </c>
      <c r="F46" s="294" t="str">
        <f>+F2</f>
        <v>TOTAL</v>
      </c>
    </row>
    <row r="47" spans="2:6" ht="15">
      <c r="B47" s="313" t="str">
        <f>+B3</f>
        <v>Vendas mensais (unidades)</v>
      </c>
      <c r="C47" s="314">
        <f>+C3</f>
        <v>5000</v>
      </c>
      <c r="D47" s="314">
        <f>+D3</f>
        <v>2000</v>
      </c>
      <c r="E47" s="314">
        <f>+E3</f>
        <v>3000</v>
      </c>
      <c r="F47" s="315">
        <f>SUM(C47:E47)</f>
        <v>10000</v>
      </c>
    </row>
    <row r="48" spans="2:6" ht="15">
      <c r="B48" s="3" t="s">
        <v>32</v>
      </c>
      <c r="C48" s="88">
        <f>+C47*C5</f>
        <v>100000</v>
      </c>
      <c r="D48" s="88">
        <f>+D47*D5</f>
        <v>100000</v>
      </c>
      <c r="E48" s="88">
        <f>+E47*E5</f>
        <v>105000</v>
      </c>
      <c r="F48" s="294">
        <f>SUM(C48:E48)</f>
        <v>305000</v>
      </c>
    </row>
    <row r="49" spans="2:6" ht="15">
      <c r="B49" s="5" t="s">
        <v>436</v>
      </c>
      <c r="C49" s="86">
        <f>-C47*C6</f>
        <v>-75000</v>
      </c>
      <c r="D49" s="86">
        <f>-D47*D6</f>
        <v>-50000</v>
      </c>
      <c r="E49" s="86">
        <f>-E47*E6</f>
        <v>-60000</v>
      </c>
      <c r="F49" s="30">
        <f>SUM(C49:E49)</f>
        <v>-185000</v>
      </c>
    </row>
    <row r="50" spans="2:6" ht="15">
      <c r="B50" s="15" t="s">
        <v>373</v>
      </c>
      <c r="C50" s="296">
        <f>SUM(C48:C49)</f>
        <v>25000</v>
      </c>
      <c r="D50" s="296">
        <f>SUM(D48:D49)</f>
        <v>50000</v>
      </c>
      <c r="E50" s="296">
        <f>SUM(E48:E49)</f>
        <v>45000</v>
      </c>
      <c r="F50" s="298">
        <f>SUM(F48:F49)</f>
        <v>120000</v>
      </c>
    </row>
    <row r="51" spans="2:6" ht="15">
      <c r="B51" s="5" t="s">
        <v>437</v>
      </c>
      <c r="C51" s="13"/>
      <c r="D51" s="13"/>
      <c r="E51" s="13"/>
      <c r="F51" s="30">
        <f>-C18</f>
        <v>-90000</v>
      </c>
    </row>
    <row r="52" spans="2:6" ht="15">
      <c r="B52" s="29" t="s">
        <v>398</v>
      </c>
      <c r="C52" s="28"/>
      <c r="D52" s="28"/>
      <c r="E52" s="28"/>
      <c r="F52" s="30">
        <f>+SUM(F50:F51)</f>
        <v>30000</v>
      </c>
    </row>
    <row r="53" spans="2:6" ht="15">
      <c r="B53" s="5" t="s">
        <v>128</v>
      </c>
      <c r="C53" s="13"/>
      <c r="D53" s="13"/>
      <c r="E53" s="13"/>
      <c r="F53" s="30">
        <f>-F52*C7</f>
        <v>-12000</v>
      </c>
    </row>
    <row r="54" spans="2:6" ht="15">
      <c r="B54" s="15" t="s">
        <v>399</v>
      </c>
      <c r="C54" s="301"/>
      <c r="D54" s="301"/>
      <c r="E54" s="301"/>
      <c r="F54" s="298">
        <f>+SUM(F52:F53)</f>
        <v>18000</v>
      </c>
    </row>
    <row r="55" spans="2:6" ht="15">
      <c r="B55" s="416" t="s">
        <v>438</v>
      </c>
      <c r="C55" s="417"/>
      <c r="D55" s="417"/>
      <c r="E55" s="417"/>
      <c r="F55" s="30">
        <f>-C20</f>
        <v>-14400.000000000002</v>
      </c>
    </row>
    <row r="56" spans="2:6" ht="15">
      <c r="B56" s="317" t="s">
        <v>439</v>
      </c>
      <c r="C56" s="318"/>
      <c r="D56" s="318"/>
      <c r="E56" s="318"/>
      <c r="F56" s="266">
        <f>+SUM(F54:F55)</f>
        <v>3599.999999999998</v>
      </c>
    </row>
    <row r="58" spans="2:6" ht="15">
      <c r="B58" s="76" t="s">
        <v>399</v>
      </c>
      <c r="C58" s="299"/>
      <c r="D58" s="299"/>
      <c r="E58" s="299"/>
      <c r="F58" s="294">
        <f>+F54</f>
        <v>18000</v>
      </c>
    </row>
    <row r="59" spans="2:6" ht="15">
      <c r="B59" s="418" t="s">
        <v>406</v>
      </c>
      <c r="C59" s="419"/>
      <c r="D59" s="419"/>
      <c r="E59" s="419"/>
      <c r="F59" s="30">
        <f>+C19</f>
        <v>6000</v>
      </c>
    </row>
    <row r="60" spans="2:6" ht="15">
      <c r="B60" s="317" t="s">
        <v>407</v>
      </c>
      <c r="C60" s="318"/>
      <c r="D60" s="318"/>
      <c r="E60" s="318"/>
      <c r="F60" s="266">
        <f>+SUM(F58:F59)</f>
        <v>24000</v>
      </c>
    </row>
    <row r="62" spans="2:6" ht="18.75">
      <c r="B62" s="413" t="s">
        <v>441</v>
      </c>
      <c r="C62" s="414"/>
      <c r="D62" s="414"/>
      <c r="E62" s="414"/>
      <c r="F62" s="415"/>
    </row>
    <row r="63" spans="2:6" ht="15">
      <c r="B63" s="300"/>
      <c r="C63" s="295" t="str">
        <f>+C46</f>
        <v>Camisas</v>
      </c>
      <c r="D63" s="295" t="str">
        <f>+D46</f>
        <v>Blusas</v>
      </c>
      <c r="E63" s="295" t="str">
        <f>+E46</f>
        <v>Calças</v>
      </c>
      <c r="F63" s="295" t="str">
        <f>+F46</f>
        <v>TOTAL</v>
      </c>
    </row>
    <row r="64" spans="2:6" ht="15">
      <c r="B64" s="313" t="str">
        <f>+B47</f>
        <v>Vendas mensais (unidades)</v>
      </c>
      <c r="C64" s="314">
        <f>+$F64*C4</f>
        <v>3750</v>
      </c>
      <c r="D64" s="314">
        <f>+$F64*D4</f>
        <v>1500</v>
      </c>
      <c r="E64" s="314">
        <f>+$F64*E4</f>
        <v>2250</v>
      </c>
      <c r="F64" s="315">
        <f>+C22</f>
        <v>7500</v>
      </c>
    </row>
    <row r="65" spans="2:6" ht="15">
      <c r="B65" s="3" t="s">
        <v>32</v>
      </c>
      <c r="C65" s="88">
        <f>+C64*C5</f>
        <v>75000</v>
      </c>
      <c r="D65" s="88">
        <f>+D64*D5</f>
        <v>75000</v>
      </c>
      <c r="E65" s="88">
        <f>+E64*E5</f>
        <v>78750</v>
      </c>
      <c r="F65" s="294">
        <f>SUM(C65:E65)</f>
        <v>228750</v>
      </c>
    </row>
    <row r="66" spans="2:6" ht="15">
      <c r="B66" s="5" t="s">
        <v>436</v>
      </c>
      <c r="C66" s="86">
        <f>-C64*C6</f>
        <v>-56250</v>
      </c>
      <c r="D66" s="86">
        <f>-D64*D6</f>
        <v>-37500</v>
      </c>
      <c r="E66" s="86">
        <f>-E64*E6</f>
        <v>-45000</v>
      </c>
      <c r="F66" s="30">
        <f>SUM(C66:E66)</f>
        <v>-138750</v>
      </c>
    </row>
    <row r="67" spans="2:6" ht="15">
      <c r="B67" s="15" t="s">
        <v>373</v>
      </c>
      <c r="C67" s="296">
        <f>SUM(C65:C66)</f>
        <v>18750</v>
      </c>
      <c r="D67" s="296">
        <f>SUM(D65:D66)</f>
        <v>37500</v>
      </c>
      <c r="E67" s="296">
        <f>SUM(E65:E66)</f>
        <v>33750</v>
      </c>
      <c r="F67" s="298">
        <f>SUM(F65:F66)</f>
        <v>90000</v>
      </c>
    </row>
    <row r="68" spans="2:6" ht="15">
      <c r="B68" s="5" t="s">
        <v>437</v>
      </c>
      <c r="C68" s="13"/>
      <c r="D68" s="13"/>
      <c r="E68" s="13"/>
      <c r="F68" s="30">
        <f>+F51</f>
        <v>-90000</v>
      </c>
    </row>
    <row r="69" spans="2:6" ht="15">
      <c r="B69" s="29" t="s">
        <v>398</v>
      </c>
      <c r="C69" s="28"/>
      <c r="D69" s="28"/>
      <c r="E69" s="28"/>
      <c r="F69" s="30">
        <f>+SUM(F67:F68)</f>
        <v>0</v>
      </c>
    </row>
    <row r="70" spans="2:6" ht="15">
      <c r="B70" s="5" t="s">
        <v>128</v>
      </c>
      <c r="C70" s="13"/>
      <c r="D70" s="13"/>
      <c r="E70" s="13"/>
      <c r="F70" s="30">
        <v>0</v>
      </c>
    </row>
    <row r="71" spans="2:6" ht="15">
      <c r="B71" s="15" t="s">
        <v>399</v>
      </c>
      <c r="C71" s="301"/>
      <c r="D71" s="301"/>
      <c r="E71" s="301"/>
      <c r="F71" s="298">
        <f>+SUM(F69:F70)</f>
        <v>0</v>
      </c>
    </row>
    <row r="72" spans="2:6" ht="15">
      <c r="B72" s="416" t="s">
        <v>438</v>
      </c>
      <c r="C72" s="417"/>
      <c r="D72" s="417"/>
      <c r="E72" s="417"/>
      <c r="F72" s="30">
        <f>+F55</f>
        <v>-14400.000000000002</v>
      </c>
    </row>
    <row r="73" spans="2:6" ht="15">
      <c r="B73" s="317" t="s">
        <v>439</v>
      </c>
      <c r="C73" s="318"/>
      <c r="D73" s="318"/>
      <c r="E73" s="318"/>
      <c r="F73" s="266">
        <f>+SUM(F71:F72)</f>
        <v>-14400.000000000002</v>
      </c>
    </row>
    <row r="75" spans="2:6" ht="15">
      <c r="B75" s="76" t="s">
        <v>399</v>
      </c>
      <c r="C75" s="299"/>
      <c r="D75" s="299"/>
      <c r="E75" s="299"/>
      <c r="F75" s="294">
        <f>+F71</f>
        <v>0</v>
      </c>
    </row>
    <row r="76" spans="2:6" ht="15">
      <c r="B76" s="418" t="s">
        <v>406</v>
      </c>
      <c r="C76" s="419"/>
      <c r="D76" s="419"/>
      <c r="E76" s="419"/>
      <c r="F76" s="30">
        <f>+F59</f>
        <v>6000</v>
      </c>
    </row>
    <row r="77" spans="2:6" ht="15">
      <c r="B77" s="317" t="s">
        <v>407</v>
      </c>
      <c r="C77" s="318"/>
      <c r="D77" s="318"/>
      <c r="E77" s="318"/>
      <c r="F77" s="266">
        <f>+SUM(F75:F76)</f>
        <v>6000</v>
      </c>
    </row>
    <row r="79" spans="2:6" ht="18.75">
      <c r="B79" s="413" t="s">
        <v>442</v>
      </c>
      <c r="C79" s="414"/>
      <c r="D79" s="414"/>
      <c r="E79" s="414"/>
      <c r="F79" s="415"/>
    </row>
    <row r="80" spans="2:6" ht="15">
      <c r="B80" s="300"/>
      <c r="C80" s="295" t="str">
        <f>+C63</f>
        <v>Camisas</v>
      </c>
      <c r="D80" s="295" t="str">
        <f>+D63</f>
        <v>Blusas</v>
      </c>
      <c r="E80" s="295" t="str">
        <f>+E63</f>
        <v>Calças</v>
      </c>
      <c r="F80" s="295" t="str">
        <f>+F63</f>
        <v>TOTAL</v>
      </c>
    </row>
    <row r="81" spans="2:6" ht="15">
      <c r="B81" s="313" t="str">
        <f>+B64</f>
        <v>Vendas mensais (unidades)</v>
      </c>
      <c r="C81" s="314">
        <f>+$C$24*C4</f>
        <v>4750</v>
      </c>
      <c r="D81" s="314">
        <f>+$C$24*D4</f>
        <v>1900</v>
      </c>
      <c r="E81" s="314">
        <f>+$C$24*E4</f>
        <v>2850</v>
      </c>
      <c r="F81" s="315">
        <f>SUM(C81:E81)</f>
        <v>9500</v>
      </c>
    </row>
    <row r="82" spans="2:6" ht="15">
      <c r="B82" s="3" t="s">
        <v>32</v>
      </c>
      <c r="C82" s="88">
        <f>+C81*C5</f>
        <v>95000</v>
      </c>
      <c r="D82" s="88">
        <f>+D81*D5</f>
        <v>95000</v>
      </c>
      <c r="E82" s="88">
        <f>+E81*E5</f>
        <v>99750</v>
      </c>
      <c r="F82" s="294">
        <f>SUM(C82:E82)</f>
        <v>289750</v>
      </c>
    </row>
    <row r="83" spans="2:6" ht="15">
      <c r="B83" s="5" t="s">
        <v>436</v>
      </c>
      <c r="C83" s="86">
        <f>-C81*C6</f>
        <v>-71250</v>
      </c>
      <c r="D83" s="86">
        <f>-D81*D6</f>
        <v>-47500</v>
      </c>
      <c r="E83" s="86">
        <f>-E81*E6</f>
        <v>-57000</v>
      </c>
      <c r="F83" s="30">
        <f>SUM(C83:E83)</f>
        <v>-175750</v>
      </c>
    </row>
    <row r="84" spans="2:6" ht="15">
      <c r="B84" s="15" t="s">
        <v>373</v>
      </c>
      <c r="C84" s="296">
        <f>SUM(C82:C83)</f>
        <v>23750</v>
      </c>
      <c r="D84" s="296">
        <f>SUM(D82:D83)</f>
        <v>47500</v>
      </c>
      <c r="E84" s="296">
        <f>SUM(E82:E83)</f>
        <v>42750</v>
      </c>
      <c r="F84" s="298">
        <f>SUM(F82:F83)</f>
        <v>114000</v>
      </c>
    </row>
    <row r="85" spans="2:6" ht="15">
      <c r="B85" s="5" t="s">
        <v>437</v>
      </c>
      <c r="C85" s="13"/>
      <c r="D85" s="13"/>
      <c r="E85" s="13"/>
      <c r="F85" s="30">
        <f>+F68</f>
        <v>-90000</v>
      </c>
    </row>
    <row r="86" spans="2:6" ht="15">
      <c r="B86" s="29" t="s">
        <v>398</v>
      </c>
      <c r="C86" s="28"/>
      <c r="D86" s="28"/>
      <c r="E86" s="28"/>
      <c r="F86" s="30">
        <f>+SUM(F84:F85)</f>
        <v>24000</v>
      </c>
    </row>
    <row r="87" spans="2:6" ht="15">
      <c r="B87" s="5" t="s">
        <v>128</v>
      </c>
      <c r="C87" s="13"/>
      <c r="D87" s="13"/>
      <c r="E87" s="13"/>
      <c r="F87" s="30">
        <f>-F86*C7</f>
        <v>-9600</v>
      </c>
    </row>
    <row r="88" spans="2:6" ht="15">
      <c r="B88" s="15" t="s">
        <v>399</v>
      </c>
      <c r="C88" s="301"/>
      <c r="D88" s="301"/>
      <c r="E88" s="301"/>
      <c r="F88" s="298">
        <f>+SUM(F86:F87)</f>
        <v>14400</v>
      </c>
    </row>
    <row r="89" spans="2:6" ht="15">
      <c r="B89" s="416" t="s">
        <v>438</v>
      </c>
      <c r="C89" s="417"/>
      <c r="D89" s="417"/>
      <c r="E89" s="417"/>
      <c r="F89" s="30">
        <f>+F72</f>
        <v>-14400.000000000002</v>
      </c>
    </row>
    <row r="90" spans="2:6" ht="15">
      <c r="B90" s="317" t="s">
        <v>439</v>
      </c>
      <c r="C90" s="318"/>
      <c r="D90" s="318"/>
      <c r="E90" s="318"/>
      <c r="F90" s="266">
        <f>+SUM(F88:F89)</f>
        <v>0</v>
      </c>
    </row>
    <row r="92" spans="2:6" ht="15">
      <c r="B92" s="76" t="s">
        <v>399</v>
      </c>
      <c r="C92" s="299"/>
      <c r="D92" s="299"/>
      <c r="E92" s="299"/>
      <c r="F92" s="294">
        <f>+F88</f>
        <v>14400</v>
      </c>
    </row>
    <row r="93" spans="2:6" ht="15">
      <c r="B93" s="418" t="s">
        <v>406</v>
      </c>
      <c r="C93" s="419"/>
      <c r="D93" s="419"/>
      <c r="E93" s="419"/>
      <c r="F93" s="30">
        <f>+F76</f>
        <v>6000</v>
      </c>
    </row>
    <row r="94" spans="2:6" ht="15">
      <c r="B94" s="317" t="s">
        <v>407</v>
      </c>
      <c r="C94" s="318"/>
      <c r="D94" s="318"/>
      <c r="E94" s="318"/>
      <c r="F94" s="266">
        <f>+SUM(F92:F93)</f>
        <v>20400</v>
      </c>
    </row>
    <row r="96" spans="2:6" ht="18.75">
      <c r="B96" s="413" t="s">
        <v>443</v>
      </c>
      <c r="C96" s="414"/>
      <c r="D96" s="414"/>
      <c r="E96" s="414"/>
      <c r="F96" s="415"/>
    </row>
    <row r="97" spans="2:6" ht="15">
      <c r="B97" s="300"/>
      <c r="C97" s="295" t="str">
        <f>+C80</f>
        <v>Camisas</v>
      </c>
      <c r="D97" s="295" t="str">
        <f>+D80</f>
        <v>Blusas</v>
      </c>
      <c r="E97" s="295" t="str">
        <f>+E80</f>
        <v>Calças</v>
      </c>
      <c r="F97" s="295" t="str">
        <f>+F80</f>
        <v>TOTAL</v>
      </c>
    </row>
    <row r="98" spans="2:6" ht="15">
      <c r="B98" s="313" t="str">
        <f>+B81</f>
        <v>Vendas mensais (unidades)</v>
      </c>
      <c r="C98" s="314">
        <f>+$C$26*C4</f>
        <v>3500</v>
      </c>
      <c r="D98" s="314">
        <f>+$C$26*D4</f>
        <v>1400</v>
      </c>
      <c r="E98" s="314">
        <f>+$C$26*E4</f>
        <v>2100</v>
      </c>
      <c r="F98" s="315">
        <f>SUM(C98:E98)</f>
        <v>7000</v>
      </c>
    </row>
    <row r="99" spans="2:6" ht="15">
      <c r="B99" s="3" t="s">
        <v>32</v>
      </c>
      <c r="C99" s="88">
        <f>+C98*C5</f>
        <v>70000</v>
      </c>
      <c r="D99" s="88">
        <f>+D98*D5</f>
        <v>70000</v>
      </c>
      <c r="E99" s="88">
        <f>+E98*E5</f>
        <v>73500</v>
      </c>
      <c r="F99" s="294">
        <f>SUM(C99:E99)</f>
        <v>213500</v>
      </c>
    </row>
    <row r="100" spans="2:6" ht="15">
      <c r="B100" s="5" t="s">
        <v>436</v>
      </c>
      <c r="C100" s="86">
        <f>-C98*C6</f>
        <v>-52500</v>
      </c>
      <c r="D100" s="86">
        <f>-D98*D6</f>
        <v>-35000</v>
      </c>
      <c r="E100" s="86">
        <f>-E98*E6</f>
        <v>-42000</v>
      </c>
      <c r="F100" s="30">
        <f>SUM(C100:E100)</f>
        <v>-129500</v>
      </c>
    </row>
    <row r="101" spans="2:6" ht="15">
      <c r="B101" s="15" t="s">
        <v>373</v>
      </c>
      <c r="C101" s="296">
        <f>SUM(C99:C100)</f>
        <v>17500</v>
      </c>
      <c r="D101" s="296">
        <f>SUM(D99:D100)</f>
        <v>35000</v>
      </c>
      <c r="E101" s="296">
        <f>SUM(E99:E100)</f>
        <v>31500</v>
      </c>
      <c r="F101" s="298">
        <f>SUM(F99:F100)</f>
        <v>84000</v>
      </c>
    </row>
    <row r="102" spans="2:6" ht="15">
      <c r="B102" s="5" t="s">
        <v>437</v>
      </c>
      <c r="C102" s="13"/>
      <c r="D102" s="13"/>
      <c r="E102" s="13"/>
      <c r="F102" s="30">
        <f>+F85</f>
        <v>-90000</v>
      </c>
    </row>
    <row r="103" spans="2:6" ht="15">
      <c r="B103" s="29" t="s">
        <v>398</v>
      </c>
      <c r="C103" s="28"/>
      <c r="D103" s="28"/>
      <c r="E103" s="28"/>
      <c r="F103" s="30">
        <f>+SUM(F101:F102)</f>
        <v>-6000</v>
      </c>
    </row>
    <row r="104" spans="2:6" ht="15">
      <c r="B104" s="5" t="s">
        <v>128</v>
      </c>
      <c r="C104" s="13"/>
      <c r="D104" s="13"/>
      <c r="E104" s="13"/>
      <c r="F104" s="30">
        <v>0</v>
      </c>
    </row>
    <row r="105" spans="2:6" ht="15">
      <c r="B105" s="15" t="s">
        <v>399</v>
      </c>
      <c r="C105" s="301"/>
      <c r="D105" s="301"/>
      <c r="E105" s="301"/>
      <c r="F105" s="298">
        <f>+SUM(F103:F104)</f>
        <v>-6000</v>
      </c>
    </row>
    <row r="106" spans="2:6" ht="15">
      <c r="B106" s="416" t="s">
        <v>438</v>
      </c>
      <c r="C106" s="417"/>
      <c r="D106" s="417"/>
      <c r="E106" s="417"/>
      <c r="F106" s="30">
        <f>+F89</f>
        <v>-14400.000000000002</v>
      </c>
    </row>
    <row r="107" spans="2:6" ht="15">
      <c r="B107" s="317" t="s">
        <v>439</v>
      </c>
      <c r="C107" s="318"/>
      <c r="D107" s="318"/>
      <c r="E107" s="318"/>
      <c r="F107" s="266">
        <f>+SUM(F105:F106)</f>
        <v>-20400</v>
      </c>
    </row>
    <row r="109" spans="2:6" ht="15">
      <c r="B109" s="76" t="s">
        <v>399</v>
      </c>
      <c r="C109" s="299"/>
      <c r="D109" s="299"/>
      <c r="E109" s="299"/>
      <c r="F109" s="294">
        <f>+F105</f>
        <v>-6000</v>
      </c>
    </row>
    <row r="110" spans="2:6" ht="15">
      <c r="B110" s="418" t="s">
        <v>406</v>
      </c>
      <c r="C110" s="419"/>
      <c r="D110" s="419"/>
      <c r="E110" s="419"/>
      <c r="F110" s="30">
        <f>+F93</f>
        <v>6000</v>
      </c>
    </row>
    <row r="111" spans="2:6" ht="15">
      <c r="B111" s="317" t="s">
        <v>407</v>
      </c>
      <c r="C111" s="318"/>
      <c r="D111" s="318"/>
      <c r="E111" s="318"/>
      <c r="F111" s="266">
        <f>+SUM(F109:F110)</f>
        <v>0</v>
      </c>
    </row>
  </sheetData>
  <sheetProtection/>
  <mergeCells count="18">
    <mergeCell ref="B106:E106"/>
    <mergeCell ref="B110:E110"/>
    <mergeCell ref="B76:E76"/>
    <mergeCell ref="B79:F79"/>
    <mergeCell ref="B89:E89"/>
    <mergeCell ref="B93:E93"/>
    <mergeCell ref="B96:F96"/>
    <mergeCell ref="B45:F45"/>
    <mergeCell ref="B55:E55"/>
    <mergeCell ref="B59:E59"/>
    <mergeCell ref="B62:F62"/>
    <mergeCell ref="B72:E72"/>
    <mergeCell ref="B43:D43"/>
    <mergeCell ref="C7:E7"/>
    <mergeCell ref="C8:E8"/>
    <mergeCell ref="B37:D37"/>
    <mergeCell ref="B39:D39"/>
    <mergeCell ref="B41:D41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B2:G51"/>
  <sheetViews>
    <sheetView tabSelected="1" zoomScale="150" zoomScaleNormal="150" zoomScalePageLayoutView="0" workbookViewId="0" topLeftCell="A32">
      <selection activeCell="E45" sqref="E45"/>
    </sheetView>
  </sheetViews>
  <sheetFormatPr defaultColWidth="4.421875" defaultRowHeight="15"/>
  <cols>
    <col min="1" max="1" width="4.421875" style="1" customWidth="1"/>
    <col min="2" max="2" width="31.421875" style="1" bestFit="1" customWidth="1"/>
    <col min="3" max="4" width="10.8515625" style="1" bestFit="1" customWidth="1"/>
    <col min="5" max="5" width="7.7109375" style="1" bestFit="1" customWidth="1"/>
    <col min="6" max="6" width="4.57421875" style="1" bestFit="1" customWidth="1"/>
    <col min="7" max="7" width="5.00390625" style="1" bestFit="1" customWidth="1"/>
    <col min="8" max="16384" width="4.421875" style="1" customWidth="1"/>
  </cols>
  <sheetData>
    <row r="2" spans="2:3" ht="15">
      <c r="B2" s="106" t="s">
        <v>444</v>
      </c>
      <c r="C2" s="310">
        <v>100</v>
      </c>
    </row>
    <row r="3" spans="2:3" ht="15">
      <c r="B3" s="105" t="s">
        <v>445</v>
      </c>
      <c r="C3" s="309">
        <f>+C2*365</f>
        <v>36500</v>
      </c>
    </row>
    <row r="5" ht="15">
      <c r="C5" s="302" t="s">
        <v>446</v>
      </c>
    </row>
    <row r="6" spans="2:3" ht="15">
      <c r="B6" s="316" t="s">
        <v>447</v>
      </c>
      <c r="C6" s="320">
        <v>130</v>
      </c>
    </row>
    <row r="7" spans="2:3" ht="15">
      <c r="B7" s="319" t="s">
        <v>436</v>
      </c>
      <c r="C7" s="149">
        <v>-40</v>
      </c>
    </row>
    <row r="8" spans="2:3" ht="15">
      <c r="B8" s="29" t="s">
        <v>448</v>
      </c>
      <c r="C8" s="279">
        <f>SUM(C6:C7)</f>
        <v>90</v>
      </c>
    </row>
    <row r="9" spans="2:3" ht="15">
      <c r="B9" s="319" t="s">
        <v>128</v>
      </c>
      <c r="C9" s="149">
        <f>-C8*0.4</f>
        <v>-36</v>
      </c>
    </row>
    <row r="10" spans="2:3" ht="15">
      <c r="B10" s="15" t="s">
        <v>449</v>
      </c>
      <c r="C10" s="262">
        <f>SUM(C8:C9)</f>
        <v>54</v>
      </c>
    </row>
    <row r="12" spans="2:3" ht="15">
      <c r="B12" s="280" t="s">
        <v>388</v>
      </c>
      <c r="C12" s="186">
        <v>2000000</v>
      </c>
    </row>
    <row r="14" spans="2:3" ht="15">
      <c r="B14" s="316" t="s">
        <v>450</v>
      </c>
      <c r="C14" s="4">
        <v>1800000</v>
      </c>
    </row>
    <row r="15" spans="2:3" ht="15">
      <c r="B15" s="319" t="s">
        <v>3</v>
      </c>
      <c r="C15" s="6">
        <v>48000</v>
      </c>
    </row>
    <row r="16" spans="2:3" ht="15">
      <c r="B16" s="7" t="s">
        <v>451</v>
      </c>
      <c r="C16" s="8">
        <f>+C12*18%</f>
        <v>360000</v>
      </c>
    </row>
    <row r="17" ht="15">
      <c r="B17" s="2"/>
    </row>
    <row r="18" spans="3:4" ht="30">
      <c r="C18" s="302" t="s">
        <v>452</v>
      </c>
      <c r="D18" s="302" t="s">
        <v>453</v>
      </c>
    </row>
    <row r="19" spans="2:4" ht="15">
      <c r="B19" s="307" t="s">
        <v>454</v>
      </c>
      <c r="C19" s="128">
        <f>+C14/C8</f>
        <v>20000</v>
      </c>
      <c r="D19" s="321">
        <f>+C19/$C$3</f>
        <v>0.547945205479452</v>
      </c>
    </row>
    <row r="20" spans="2:4" ht="15">
      <c r="B20" s="49" t="s">
        <v>455</v>
      </c>
      <c r="C20" s="26">
        <f>+C16/C10+C19</f>
        <v>26666.666666666668</v>
      </c>
      <c r="D20" s="322">
        <f>+C20/$C$3</f>
        <v>0.7305936073059361</v>
      </c>
    </row>
    <row r="21" spans="2:4" ht="15">
      <c r="B21" s="308" t="s">
        <v>456</v>
      </c>
      <c r="C21" s="22">
        <f>+(C14-C15)/C8</f>
        <v>19466.666666666668</v>
      </c>
      <c r="D21" s="323">
        <f>+C21/$C$3</f>
        <v>0.5333333333333333</v>
      </c>
    </row>
    <row r="23" spans="2:4" ht="15">
      <c r="B23" s="184" t="s">
        <v>457</v>
      </c>
      <c r="C23" s="311">
        <f>+C3*70%</f>
        <v>25550</v>
      </c>
      <c r="D23" s="324">
        <f>+C23/$C$3</f>
        <v>0.7</v>
      </c>
    </row>
    <row r="25" spans="3:4" ht="30">
      <c r="C25" s="302" t="str">
        <f>+C18</f>
        <v>Diárias/ano</v>
      </c>
      <c r="D25" s="302" t="s">
        <v>241</v>
      </c>
    </row>
    <row r="26" spans="2:4" ht="15">
      <c r="B26" s="280" t="s">
        <v>458</v>
      </c>
      <c r="C26" s="311">
        <f>+(C23-C19)</f>
        <v>5550</v>
      </c>
      <c r="D26" s="186">
        <f>+C26*$C$10</f>
        <v>299700</v>
      </c>
    </row>
    <row r="27" spans="2:4" ht="15">
      <c r="B27" s="280" t="s">
        <v>459</v>
      </c>
      <c r="C27" s="311">
        <f>+(C23-C20)</f>
        <v>-1116.6666666666679</v>
      </c>
      <c r="D27" s="186">
        <f>+C27*$C$10</f>
        <v>-60300.000000000065</v>
      </c>
    </row>
    <row r="28" spans="2:4" ht="15">
      <c r="B28" s="319" t="s">
        <v>434</v>
      </c>
      <c r="C28" s="331">
        <f>+SUM(C29:C30)</f>
        <v>6083.333333333332</v>
      </c>
      <c r="D28" s="332">
        <f>+SUM(D29:D30)</f>
        <v>347699.9999999999</v>
      </c>
    </row>
    <row r="29" spans="2:4" ht="15">
      <c r="B29" s="325" t="s">
        <v>405</v>
      </c>
      <c r="C29" s="326">
        <f>+(C23-C19)</f>
        <v>5550</v>
      </c>
      <c r="D29" s="327">
        <f>+C29*C10</f>
        <v>299700</v>
      </c>
    </row>
    <row r="30" spans="2:4" ht="15">
      <c r="B30" s="328" t="s">
        <v>435</v>
      </c>
      <c r="C30" s="329">
        <f>+(C19-C21)</f>
        <v>533.3333333333321</v>
      </c>
      <c r="D30" s="330">
        <f>+C30*C8</f>
        <v>47999.99999999989</v>
      </c>
    </row>
    <row r="32" spans="2:3" ht="15">
      <c r="B32" s="307" t="s">
        <v>460</v>
      </c>
      <c r="C32" s="334">
        <f>-C27/C23</f>
        <v>0.043705153294194436</v>
      </c>
    </row>
    <row r="33" spans="2:3" ht="15">
      <c r="B33" s="49" t="s">
        <v>461</v>
      </c>
      <c r="C33" s="335">
        <f>+-D27/D26</f>
        <v>0.2012012012012014</v>
      </c>
    </row>
    <row r="34" spans="2:3" ht="15">
      <c r="B34" s="308" t="s">
        <v>462</v>
      </c>
      <c r="C34" s="336">
        <f>+C33/C32</f>
        <v>4.603603603603603</v>
      </c>
    </row>
    <row r="35" spans="2:3" ht="15">
      <c r="B35" s="13"/>
      <c r="C35" s="77"/>
    </row>
    <row r="36" spans="2:5" ht="15">
      <c r="B36" s="338" t="s">
        <v>467</v>
      </c>
      <c r="C36" s="342">
        <f>+D23</f>
        <v>0.7</v>
      </c>
      <c r="D36" s="342">
        <v>0.8</v>
      </c>
      <c r="E36" s="302" t="s">
        <v>466</v>
      </c>
    </row>
    <row r="37" spans="2:5" ht="15">
      <c r="B37" s="338" t="str">
        <f>+C25</f>
        <v>Diárias/ano</v>
      </c>
      <c r="C37" s="339">
        <f>+C23</f>
        <v>25550</v>
      </c>
      <c r="D37" s="339">
        <f>+D36*C3</f>
        <v>29200</v>
      </c>
      <c r="E37" s="333">
        <f>+D37/C37-1</f>
        <v>0.1428571428571428</v>
      </c>
    </row>
    <row r="38" spans="2:4" ht="15">
      <c r="B38" s="304" t="s">
        <v>87</v>
      </c>
      <c r="C38" s="305" t="s">
        <v>463</v>
      </c>
      <c r="D38" s="305" t="s">
        <v>463</v>
      </c>
    </row>
    <row r="39" spans="2:4" ht="15">
      <c r="B39" s="316" t="s">
        <v>32</v>
      </c>
      <c r="C39" s="129">
        <f>+$C$37*C6</f>
        <v>3321500</v>
      </c>
      <c r="D39" s="129">
        <f>+D37*C6</f>
        <v>3796000</v>
      </c>
    </row>
    <row r="40" spans="2:4" ht="15">
      <c r="B40" s="319" t="s">
        <v>436</v>
      </c>
      <c r="C40" s="27">
        <f>+C37*C7</f>
        <v>-1022000</v>
      </c>
      <c r="D40" s="27">
        <f>+D37*C7</f>
        <v>-1168000</v>
      </c>
    </row>
    <row r="41" spans="2:4" ht="15">
      <c r="B41" s="29" t="s">
        <v>373</v>
      </c>
      <c r="C41" s="337">
        <f>SUM(C39:C40)</f>
        <v>2299500</v>
      </c>
      <c r="D41" s="337">
        <f>SUM(D39:D40)</f>
        <v>2628000</v>
      </c>
    </row>
    <row r="42" spans="2:4" ht="15">
      <c r="B42" s="319" t="s">
        <v>437</v>
      </c>
      <c r="C42" s="27">
        <f>-C14</f>
        <v>-1800000</v>
      </c>
      <c r="D42" s="27">
        <f>+C42</f>
        <v>-1800000</v>
      </c>
    </row>
    <row r="43" spans="2:4" ht="15">
      <c r="B43" s="29" t="s">
        <v>398</v>
      </c>
      <c r="C43" s="337">
        <f>SUM(C41:C42)</f>
        <v>499500</v>
      </c>
      <c r="D43" s="337">
        <f>SUM(D41:D42)</f>
        <v>828000</v>
      </c>
    </row>
    <row r="44" spans="2:4" ht="15">
      <c r="B44" s="319" t="s">
        <v>128</v>
      </c>
      <c r="C44" s="27">
        <f>-C43*40%</f>
        <v>-199800</v>
      </c>
      <c r="D44" s="27">
        <f>-D43*40%</f>
        <v>-331200</v>
      </c>
    </row>
    <row r="45" spans="2:7" ht="15">
      <c r="B45" s="29" t="s">
        <v>399</v>
      </c>
      <c r="C45" s="337">
        <f>SUM(C43:C44)</f>
        <v>299700</v>
      </c>
      <c r="D45" s="337">
        <f>SUM(D43:D44)</f>
        <v>496800</v>
      </c>
      <c r="E45" s="333">
        <f>+D45/C45-1</f>
        <v>0.6576576576576576</v>
      </c>
      <c r="F45" s="341">
        <f>+E45/E37</f>
        <v>4.603603603603605</v>
      </c>
      <c r="G45" s="186" t="s">
        <v>462</v>
      </c>
    </row>
    <row r="46" spans="2:4" ht="15">
      <c r="B46" s="316" t="s">
        <v>464</v>
      </c>
      <c r="C46" s="4">
        <f>-C16</f>
        <v>-360000</v>
      </c>
      <c r="D46" s="4">
        <f>+C46</f>
        <v>-360000</v>
      </c>
    </row>
    <row r="47" spans="2:5" ht="15">
      <c r="B47" s="317" t="s">
        <v>439</v>
      </c>
      <c r="C47" s="340">
        <f>SUM(C45:C46)</f>
        <v>-60300</v>
      </c>
      <c r="D47" s="340">
        <f>SUM(D45:D46)</f>
        <v>136800</v>
      </c>
      <c r="E47" s="333"/>
    </row>
    <row r="49" spans="2:3" ht="15">
      <c r="B49" s="76" t="s">
        <v>405</v>
      </c>
      <c r="C49" s="303">
        <f>+C45</f>
        <v>299700</v>
      </c>
    </row>
    <row r="50" spans="2:3" ht="15">
      <c r="B50" s="319" t="s">
        <v>406</v>
      </c>
      <c r="C50" s="6">
        <f>+C15</f>
        <v>48000</v>
      </c>
    </row>
    <row r="51" spans="2:3" ht="15">
      <c r="B51" s="15" t="s">
        <v>465</v>
      </c>
      <c r="C51" s="306">
        <f>SUM(C49:C50)</f>
        <v>347700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6" sqref="F26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41"/>
  <sheetViews>
    <sheetView zoomScale="130" zoomScaleNormal="130" zoomScalePageLayoutView="0" workbookViewId="0" topLeftCell="A1">
      <selection activeCell="B36" sqref="B36:C41"/>
    </sheetView>
  </sheetViews>
  <sheetFormatPr defaultColWidth="9.140625" defaultRowHeight="15"/>
  <cols>
    <col min="1" max="1" width="3.28125" style="1" customWidth="1"/>
    <col min="2" max="2" width="42.28125" style="1" customWidth="1"/>
    <col min="3" max="7" width="9.140625" style="1" customWidth="1"/>
    <col min="8" max="8" width="12.140625" style="1" customWidth="1"/>
    <col min="9" max="16384" width="9.140625" style="1" customWidth="1"/>
  </cols>
  <sheetData>
    <row r="2" spans="2:3" ht="15">
      <c r="B2" s="347" t="s">
        <v>71</v>
      </c>
      <c r="C2" s="348"/>
    </row>
    <row r="3" spans="2:3" ht="15">
      <c r="B3" s="5" t="s">
        <v>72</v>
      </c>
      <c r="C3" s="6">
        <v>5000</v>
      </c>
    </row>
    <row r="4" spans="2:3" ht="15">
      <c r="B4" s="5" t="s">
        <v>73</v>
      </c>
      <c r="C4" s="6">
        <v>12000</v>
      </c>
    </row>
    <row r="5" spans="2:3" ht="15">
      <c r="B5" s="5" t="s">
        <v>74</v>
      </c>
      <c r="C5" s="6">
        <v>-7000</v>
      </c>
    </row>
    <row r="6" spans="2:3" ht="15">
      <c r="B6" s="15" t="s">
        <v>75</v>
      </c>
      <c r="C6" s="17">
        <f>SUM(C3:C5)</f>
        <v>10000</v>
      </c>
    </row>
    <row r="8" spans="2:3" ht="15">
      <c r="B8" s="347" t="s">
        <v>76</v>
      </c>
      <c r="C8" s="348"/>
    </row>
    <row r="9" spans="2:3" ht="15">
      <c r="B9" s="5" t="s">
        <v>50</v>
      </c>
      <c r="C9" s="6">
        <f>+C6</f>
        <v>10000</v>
      </c>
    </row>
    <row r="10" spans="2:3" ht="15">
      <c r="B10" s="5" t="s">
        <v>51</v>
      </c>
      <c r="C10" s="6">
        <v>10000</v>
      </c>
    </row>
    <row r="11" spans="2:3" ht="15">
      <c r="B11" s="5" t="s">
        <v>77</v>
      </c>
      <c r="C11" s="6">
        <v>8000</v>
      </c>
    </row>
    <row r="12" spans="2:3" ht="15">
      <c r="B12" s="15" t="s">
        <v>17</v>
      </c>
      <c r="C12" s="17">
        <f>SUM(C9:C11)</f>
        <v>28000</v>
      </c>
    </row>
    <row r="13" ht="15">
      <c r="B13" s="2"/>
    </row>
    <row r="14" spans="2:3" ht="15">
      <c r="B14" s="347" t="s">
        <v>78</v>
      </c>
      <c r="C14" s="348"/>
    </row>
    <row r="15" spans="2:3" ht="15">
      <c r="B15" s="5" t="s">
        <v>79</v>
      </c>
      <c r="C15" s="6">
        <v>4000</v>
      </c>
    </row>
    <row r="16" spans="2:3" ht="15">
      <c r="B16" s="5" t="s">
        <v>80</v>
      </c>
      <c r="C16" s="6">
        <f>+C12</f>
        <v>28000</v>
      </c>
    </row>
    <row r="17" spans="2:3" ht="15">
      <c r="B17" s="5" t="s">
        <v>81</v>
      </c>
      <c r="C17" s="6">
        <v>-5000</v>
      </c>
    </row>
    <row r="18" spans="2:3" ht="15">
      <c r="B18" s="15" t="s">
        <v>17</v>
      </c>
      <c r="C18" s="17">
        <f>SUM(C15:C17)</f>
        <v>27000</v>
      </c>
    </row>
    <row r="20" spans="2:3" ht="15">
      <c r="B20" s="347" t="s">
        <v>82</v>
      </c>
      <c r="C20" s="348"/>
    </row>
    <row r="21" spans="2:3" ht="15">
      <c r="B21" s="5" t="s">
        <v>83</v>
      </c>
      <c r="C21" s="6">
        <v>6000</v>
      </c>
    </row>
    <row r="22" spans="2:3" ht="15">
      <c r="B22" s="5" t="s">
        <v>84</v>
      </c>
      <c r="C22" s="6">
        <f>+C18</f>
        <v>27000</v>
      </c>
    </row>
    <row r="23" spans="2:3" ht="15">
      <c r="B23" s="5" t="s">
        <v>85</v>
      </c>
      <c r="C23" s="6">
        <f>-SUM(C21:C22)*80%</f>
        <v>-26400</v>
      </c>
    </row>
    <row r="24" spans="2:3" ht="15">
      <c r="B24" s="7" t="s">
        <v>86</v>
      </c>
      <c r="C24" s="8">
        <f>SUM(C21:C23)</f>
        <v>6600</v>
      </c>
    </row>
    <row r="26" spans="2:3" ht="15">
      <c r="B26" s="347" t="s">
        <v>87</v>
      </c>
      <c r="C26" s="348"/>
    </row>
    <row r="27" spans="2:3" ht="15">
      <c r="B27" s="5" t="s">
        <v>32</v>
      </c>
      <c r="C27" s="6">
        <v>40000</v>
      </c>
    </row>
    <row r="28" spans="2:3" ht="15">
      <c r="B28" s="5" t="s">
        <v>85</v>
      </c>
      <c r="C28" s="6">
        <f>+C23</f>
        <v>-26400</v>
      </c>
    </row>
    <row r="29" spans="2:3" ht="15">
      <c r="B29" s="29" t="s">
        <v>34</v>
      </c>
      <c r="C29" s="30">
        <f>SUM(C27:C28)</f>
        <v>13600</v>
      </c>
    </row>
    <row r="30" spans="2:3" ht="15">
      <c r="B30" s="5" t="s">
        <v>89</v>
      </c>
      <c r="C30" s="6">
        <v>-2500</v>
      </c>
    </row>
    <row r="31" spans="2:3" ht="15">
      <c r="B31" s="5" t="s">
        <v>88</v>
      </c>
      <c r="C31" s="6">
        <v>-2000</v>
      </c>
    </row>
    <row r="32" spans="2:3" ht="15">
      <c r="B32" s="5" t="s">
        <v>90</v>
      </c>
      <c r="C32" s="6">
        <v>-1500</v>
      </c>
    </row>
    <row r="33" spans="2:3" ht="15">
      <c r="B33" s="15" t="s">
        <v>91</v>
      </c>
      <c r="C33" s="17">
        <f>SUM(C29:C32)</f>
        <v>7600</v>
      </c>
    </row>
    <row r="35" spans="2:3" ht="15">
      <c r="B35" s="68"/>
      <c r="C35" s="28"/>
    </row>
    <row r="36" spans="2:3" ht="15">
      <c r="B36" s="67" t="s">
        <v>32</v>
      </c>
      <c r="C36" s="13">
        <v>40000</v>
      </c>
    </row>
    <row r="37" spans="2:3" ht="15">
      <c r="B37" s="67" t="s">
        <v>90</v>
      </c>
      <c r="C37" s="13">
        <v>-1500</v>
      </c>
    </row>
    <row r="38" spans="2:3" ht="15">
      <c r="B38" s="67" t="s">
        <v>88</v>
      </c>
      <c r="C38" s="13">
        <v>-2000</v>
      </c>
    </row>
    <row r="39" spans="2:3" ht="15">
      <c r="B39" s="67" t="s">
        <v>89</v>
      </c>
      <c r="C39" s="13">
        <v>-2500</v>
      </c>
    </row>
    <row r="40" spans="2:3" ht="15">
      <c r="B40" s="67" t="s">
        <v>85</v>
      </c>
      <c r="C40" s="13">
        <v>-26400</v>
      </c>
    </row>
    <row r="41" spans="2:3" ht="15">
      <c r="B41" s="68" t="s">
        <v>91</v>
      </c>
      <c r="C41" s="28">
        <f>SUM(C36:C40)</f>
        <v>7600</v>
      </c>
    </row>
  </sheetData>
  <sheetProtection/>
  <mergeCells count="5">
    <mergeCell ref="B20:C20"/>
    <mergeCell ref="B26:C26"/>
    <mergeCell ref="B2:C2"/>
    <mergeCell ref="B8:C8"/>
    <mergeCell ref="B14:C1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1"/>
  <sheetViews>
    <sheetView zoomScale="130" zoomScaleNormal="130" zoomScalePageLayoutView="0" workbookViewId="0" topLeftCell="A1">
      <selection activeCell="A14" sqref="A14:IV14"/>
    </sheetView>
  </sheetViews>
  <sheetFormatPr defaultColWidth="9.140625" defaultRowHeight="15"/>
  <cols>
    <col min="1" max="1" width="3.28125" style="1" customWidth="1"/>
    <col min="2" max="2" width="42.28125" style="1" customWidth="1"/>
    <col min="3" max="7" width="9.140625" style="1" customWidth="1"/>
    <col min="8" max="8" width="12.140625" style="1" customWidth="1"/>
    <col min="9" max="16384" width="9.140625" style="1" customWidth="1"/>
  </cols>
  <sheetData>
    <row r="2" spans="2:7" ht="15">
      <c r="B2" s="349" t="s">
        <v>56</v>
      </c>
      <c r="C2" s="347" t="s">
        <v>46</v>
      </c>
      <c r="D2" s="348"/>
      <c r="E2" s="347" t="s">
        <v>47</v>
      </c>
      <c r="F2" s="348"/>
      <c r="G2" s="46" t="s">
        <v>17</v>
      </c>
    </row>
    <row r="3" spans="2:7" ht="15">
      <c r="B3" s="350"/>
      <c r="C3" s="43" t="s">
        <v>48</v>
      </c>
      <c r="D3" s="30" t="s">
        <v>49</v>
      </c>
      <c r="E3" s="43" t="s">
        <v>48</v>
      </c>
      <c r="F3" s="30" t="s">
        <v>49</v>
      </c>
      <c r="G3" s="47" t="s">
        <v>49</v>
      </c>
    </row>
    <row r="4" spans="2:8" ht="15">
      <c r="B4" s="3" t="s">
        <v>50</v>
      </c>
      <c r="C4" s="50">
        <f>+D4/C$15</f>
        <v>1.2</v>
      </c>
      <c r="D4" s="4">
        <f>+C16*2</f>
        <v>24000</v>
      </c>
      <c r="E4" s="50">
        <f>+F4/E$15</f>
        <v>1</v>
      </c>
      <c r="F4" s="4">
        <f>+E16*2</f>
        <v>16000</v>
      </c>
      <c r="G4" s="46">
        <f>D4+F4</f>
        <v>40000</v>
      </c>
      <c r="H4" s="349" t="s">
        <v>66</v>
      </c>
    </row>
    <row r="5" spans="2:8" ht="15">
      <c r="B5" s="5" t="s">
        <v>51</v>
      </c>
      <c r="C5" s="44">
        <f>+D5/$C$15</f>
        <v>1.5</v>
      </c>
      <c r="D5" s="6">
        <f>+C$17*5</f>
        <v>30000</v>
      </c>
      <c r="E5" s="44">
        <f>+F5/$E$15</f>
        <v>0.9375</v>
      </c>
      <c r="F5" s="6">
        <f>+E$17*5</f>
        <v>15000</v>
      </c>
      <c r="G5" s="47">
        <f aca="true" t="shared" si="0" ref="G5:G12">D5+F5</f>
        <v>45000</v>
      </c>
      <c r="H5" s="353"/>
    </row>
    <row r="6" spans="2:8" ht="15">
      <c r="B6" s="5" t="s">
        <v>67</v>
      </c>
      <c r="C6" s="44">
        <f>+D6/$C$15</f>
        <v>0.48</v>
      </c>
      <c r="D6" s="6">
        <f>+C16*$C$21</f>
        <v>9600</v>
      </c>
      <c r="E6" s="44">
        <f>+F6/$E$15</f>
        <v>0.4</v>
      </c>
      <c r="F6" s="6">
        <f>+E16*$C$21</f>
        <v>6400</v>
      </c>
      <c r="G6" s="47">
        <f t="shared" si="0"/>
        <v>16000</v>
      </c>
      <c r="H6" s="350"/>
    </row>
    <row r="7" spans="2:8" ht="15">
      <c r="B7" s="3" t="s">
        <v>54</v>
      </c>
      <c r="C7" s="50">
        <f>+D7/C$15</f>
        <v>0.12</v>
      </c>
      <c r="D7" s="4">
        <f>3600/$G$17*C$17</f>
        <v>2400</v>
      </c>
      <c r="E7" s="50">
        <f>+F7/E$15</f>
        <v>0.075</v>
      </c>
      <c r="F7" s="4">
        <f>3600/$G$17*E$17</f>
        <v>1200</v>
      </c>
      <c r="G7" s="46">
        <f t="shared" si="0"/>
        <v>3600</v>
      </c>
      <c r="H7" s="349" t="s">
        <v>65</v>
      </c>
    </row>
    <row r="8" spans="2:8" ht="15">
      <c r="B8" s="5" t="s">
        <v>52</v>
      </c>
      <c r="C8" s="44">
        <f>+D8/$C$15</f>
        <v>0.4</v>
      </c>
      <c r="D8" s="6">
        <f>12000/$G$17*C$17</f>
        <v>8000</v>
      </c>
      <c r="E8" s="44">
        <f>+F8/$E$15</f>
        <v>0.25</v>
      </c>
      <c r="F8" s="6">
        <f>12000/$G$17*E$17</f>
        <v>4000</v>
      </c>
      <c r="G8" s="47">
        <f t="shared" si="0"/>
        <v>12000</v>
      </c>
      <c r="H8" s="353"/>
    </row>
    <row r="9" spans="2:8" ht="15">
      <c r="B9" s="5" t="s">
        <v>53</v>
      </c>
      <c r="C9" s="44">
        <f>+D9/$C$15</f>
        <v>0.15</v>
      </c>
      <c r="D9" s="6">
        <f>4500/$G$17*C$17</f>
        <v>3000</v>
      </c>
      <c r="E9" s="44">
        <f>+F9/$E$15</f>
        <v>0.09375</v>
      </c>
      <c r="F9" s="6">
        <f>4500/$G$17*E$17</f>
        <v>1500</v>
      </c>
      <c r="G9" s="47">
        <f t="shared" si="0"/>
        <v>4500</v>
      </c>
      <c r="H9" s="353"/>
    </row>
    <row r="10" spans="2:8" ht="15">
      <c r="B10" s="5" t="s">
        <v>64</v>
      </c>
      <c r="C10" s="44">
        <f>+D10/$C$15</f>
        <v>0.05</v>
      </c>
      <c r="D10" s="6">
        <f>1500/$G$17*C$17</f>
        <v>1000</v>
      </c>
      <c r="E10" s="44">
        <f>+F10/$E$15</f>
        <v>0.03125</v>
      </c>
      <c r="F10" s="6">
        <f>1500/$G$17*E$17</f>
        <v>500</v>
      </c>
      <c r="G10" s="47">
        <f t="shared" si="0"/>
        <v>1500</v>
      </c>
      <c r="H10" s="353"/>
    </row>
    <row r="11" spans="2:8" ht="15">
      <c r="B11" s="7" t="s">
        <v>55</v>
      </c>
      <c r="C11" s="63">
        <f>+D11/$C$15</f>
        <v>0.08</v>
      </c>
      <c r="D11" s="8">
        <f>2400/$G$17*C$17</f>
        <v>1600</v>
      </c>
      <c r="E11" s="63">
        <f>+F11/$E$15</f>
        <v>0.05</v>
      </c>
      <c r="F11" s="8">
        <f>2400/$G$17*E$17</f>
        <v>800</v>
      </c>
      <c r="G11" s="48">
        <f t="shared" si="0"/>
        <v>2400</v>
      </c>
      <c r="H11" s="350"/>
    </row>
    <row r="12" spans="2:7" ht="15">
      <c r="B12" s="15" t="s">
        <v>17</v>
      </c>
      <c r="C12" s="45">
        <f>+SUM(C4:C11)</f>
        <v>3.98</v>
      </c>
      <c r="D12" s="17">
        <f>+SUM(D4:D11)</f>
        <v>79600</v>
      </c>
      <c r="E12" s="45">
        <f>+SUM(E4:E11)</f>
        <v>2.8375</v>
      </c>
      <c r="F12" s="17">
        <f>+SUM(F4:F11)</f>
        <v>45400</v>
      </c>
      <c r="G12" s="48">
        <f t="shared" si="0"/>
        <v>125000</v>
      </c>
    </row>
    <row r="14" spans="2:7" ht="15">
      <c r="B14" s="52" t="s">
        <v>57</v>
      </c>
      <c r="C14" s="351" t="s">
        <v>46</v>
      </c>
      <c r="D14" s="352"/>
      <c r="E14" s="351" t="s">
        <v>47</v>
      </c>
      <c r="F14" s="352"/>
      <c r="G14" s="55" t="s">
        <v>17</v>
      </c>
    </row>
    <row r="15" spans="2:7" ht="15">
      <c r="B15" s="56" t="s">
        <v>58</v>
      </c>
      <c r="C15" s="57">
        <v>20000</v>
      </c>
      <c r="D15" s="57" t="s">
        <v>59</v>
      </c>
      <c r="E15" s="58">
        <v>16000</v>
      </c>
      <c r="F15" s="58" t="s">
        <v>60</v>
      </c>
      <c r="G15" s="59">
        <f>C15+E15</f>
        <v>36000</v>
      </c>
    </row>
    <row r="16" spans="2:7" ht="15">
      <c r="B16" s="56" t="s">
        <v>61</v>
      </c>
      <c r="C16" s="58">
        <v>12000</v>
      </c>
      <c r="D16" s="58" t="s">
        <v>62</v>
      </c>
      <c r="E16" s="58">
        <v>8000</v>
      </c>
      <c r="F16" s="58" t="s">
        <v>62</v>
      </c>
      <c r="G16" s="59">
        <f>C16+E16</f>
        <v>20000</v>
      </c>
    </row>
    <row r="17" spans="2:7" ht="15">
      <c r="B17" s="60" t="s">
        <v>51</v>
      </c>
      <c r="C17" s="61">
        <v>6000</v>
      </c>
      <c r="D17" s="61" t="s">
        <v>63</v>
      </c>
      <c r="E17" s="61">
        <v>3000</v>
      </c>
      <c r="F17" s="61" t="s">
        <v>63</v>
      </c>
      <c r="G17" s="62">
        <f>C17+E17</f>
        <v>9000</v>
      </c>
    </row>
    <row r="19" spans="2:3" ht="15">
      <c r="B19" s="24" t="s">
        <v>68</v>
      </c>
      <c r="C19" s="4">
        <v>320000</v>
      </c>
    </row>
    <row r="20" spans="2:3" ht="15">
      <c r="B20" s="49" t="s">
        <v>69</v>
      </c>
      <c r="C20" s="6">
        <v>400000</v>
      </c>
    </row>
    <row r="21" spans="2:3" ht="15">
      <c r="B21" s="65" t="s">
        <v>70</v>
      </c>
      <c r="C21" s="66">
        <f>+C19/C20</f>
        <v>0.8</v>
      </c>
    </row>
  </sheetData>
  <sheetProtection/>
  <mergeCells count="7">
    <mergeCell ref="B2:B3"/>
    <mergeCell ref="C14:D14"/>
    <mergeCell ref="E14:F14"/>
    <mergeCell ref="H7:H11"/>
    <mergeCell ref="H4:H6"/>
    <mergeCell ref="C2:D2"/>
    <mergeCell ref="E2:F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80"/>
  <sheetViews>
    <sheetView zoomScale="130" zoomScaleNormal="130" zoomScalePageLayoutView="0" workbookViewId="0" topLeftCell="A25">
      <selection activeCell="B28" sqref="B28:F39"/>
    </sheetView>
  </sheetViews>
  <sheetFormatPr defaultColWidth="9.140625" defaultRowHeight="15"/>
  <cols>
    <col min="1" max="1" width="3.28125" style="1" customWidth="1"/>
    <col min="2" max="2" width="42.28125" style="1" customWidth="1"/>
    <col min="3" max="4" width="13.140625" style="1" customWidth="1"/>
    <col min="5" max="7" width="9.140625" style="1" customWidth="1"/>
    <col min="8" max="8" width="12.140625" style="1" customWidth="1"/>
    <col min="9" max="16384" width="9.140625" style="1" customWidth="1"/>
  </cols>
  <sheetData>
    <row r="2" spans="2:5" ht="15">
      <c r="B2" s="41" t="s">
        <v>92</v>
      </c>
      <c r="C2" s="19" t="s">
        <v>93</v>
      </c>
      <c r="D2" s="42" t="s">
        <v>94</v>
      </c>
      <c r="E2" s="40"/>
    </row>
    <row r="3" spans="2:4" ht="15">
      <c r="B3" s="5" t="s">
        <v>39</v>
      </c>
      <c r="C3" s="13">
        <v>1460</v>
      </c>
      <c r="D3" s="6"/>
    </row>
    <row r="4" spans="2:4" ht="15">
      <c r="B4" s="5" t="s">
        <v>40</v>
      </c>
      <c r="C4" s="13">
        <v>6060</v>
      </c>
      <c r="D4" s="6"/>
    </row>
    <row r="5" spans="2:4" ht="15">
      <c r="B5" s="5" t="s">
        <v>95</v>
      </c>
      <c r="C5" s="13">
        <v>5000</v>
      </c>
      <c r="D5" s="6"/>
    </row>
    <row r="6" spans="2:4" ht="15">
      <c r="B6" s="5" t="s">
        <v>96</v>
      </c>
      <c r="C6" s="13">
        <v>2000</v>
      </c>
      <c r="D6" s="6"/>
    </row>
    <row r="7" spans="2:4" ht="15">
      <c r="B7" s="5" t="s">
        <v>97</v>
      </c>
      <c r="C7" s="13"/>
      <c r="D7" s="6">
        <v>300</v>
      </c>
    </row>
    <row r="8" spans="2:4" ht="15">
      <c r="B8" s="5" t="s">
        <v>98</v>
      </c>
      <c r="C8" s="13">
        <v>1000</v>
      </c>
      <c r="D8" s="6"/>
    </row>
    <row r="9" spans="2:4" ht="15">
      <c r="B9" s="5" t="s">
        <v>99</v>
      </c>
      <c r="C9" s="13"/>
      <c r="D9" s="6">
        <v>100</v>
      </c>
    </row>
    <row r="10" spans="2:4" ht="15">
      <c r="B10" s="5" t="s">
        <v>100</v>
      </c>
      <c r="C10" s="13"/>
      <c r="D10" s="6">
        <v>3520</v>
      </c>
    </row>
    <row r="11" spans="2:4" ht="15">
      <c r="B11" s="5" t="s">
        <v>42</v>
      </c>
      <c r="C11" s="13"/>
      <c r="D11" s="6">
        <v>15000</v>
      </c>
    </row>
    <row r="12" spans="2:4" ht="15">
      <c r="B12" s="3" t="s">
        <v>113</v>
      </c>
      <c r="C12" s="18">
        <v>7000</v>
      </c>
      <c r="D12" s="4"/>
    </row>
    <row r="13" spans="2:4" ht="15">
      <c r="B13" s="5" t="s">
        <v>51</v>
      </c>
      <c r="C13" s="13">
        <v>6000</v>
      </c>
      <c r="D13" s="6"/>
    </row>
    <row r="14" spans="2:4" ht="15">
      <c r="B14" s="5" t="s">
        <v>101</v>
      </c>
      <c r="C14" s="13">
        <v>790</v>
      </c>
      <c r="D14" s="6"/>
    </row>
    <row r="15" spans="2:4" ht="15">
      <c r="B15" s="5" t="s">
        <v>54</v>
      </c>
      <c r="C15" s="13">
        <v>2880</v>
      </c>
      <c r="D15" s="6"/>
    </row>
    <row r="16" spans="2:4" ht="15">
      <c r="B16" s="5" t="s">
        <v>53</v>
      </c>
      <c r="C16" s="13">
        <v>600</v>
      </c>
      <c r="D16" s="6"/>
    </row>
    <row r="17" spans="2:4" ht="15">
      <c r="B17" s="5" t="s">
        <v>102</v>
      </c>
      <c r="C17" s="13">
        <v>350</v>
      </c>
      <c r="D17" s="6"/>
    </row>
    <row r="18" spans="2:4" ht="15">
      <c r="B18" s="5" t="s">
        <v>103</v>
      </c>
      <c r="C18" s="13">
        <v>500</v>
      </c>
      <c r="D18" s="6"/>
    </row>
    <row r="19" spans="2:4" ht="15">
      <c r="B19" s="5" t="s">
        <v>104</v>
      </c>
      <c r="C19" s="13">
        <v>1440</v>
      </c>
      <c r="D19" s="6"/>
    </row>
    <row r="20" spans="2:4" ht="15">
      <c r="B20" s="5" t="s">
        <v>105</v>
      </c>
      <c r="C20" s="13">
        <v>300</v>
      </c>
      <c r="D20" s="6"/>
    </row>
    <row r="21" spans="2:4" ht="15">
      <c r="B21" s="7" t="s">
        <v>106</v>
      </c>
      <c r="C21" s="14">
        <v>340</v>
      </c>
      <c r="D21" s="8"/>
    </row>
    <row r="22" spans="2:4" ht="15">
      <c r="B22" s="5" t="s">
        <v>107</v>
      </c>
      <c r="C22" s="13">
        <v>8100</v>
      </c>
      <c r="D22" s="6"/>
    </row>
    <row r="23" spans="2:4" ht="15">
      <c r="B23" s="5" t="s">
        <v>108</v>
      </c>
      <c r="C23" s="13">
        <v>200</v>
      </c>
      <c r="D23" s="6"/>
    </row>
    <row r="24" spans="2:4" ht="15">
      <c r="B24" s="5" t="s">
        <v>109</v>
      </c>
      <c r="C24" s="13"/>
      <c r="D24" s="6">
        <v>25100</v>
      </c>
    </row>
    <row r="25" spans="2:4" ht="15">
      <c r="B25" s="15" t="s">
        <v>17</v>
      </c>
      <c r="C25" s="16">
        <f>SUM(C3:C24)</f>
        <v>44020</v>
      </c>
      <c r="D25" s="17">
        <f>SUM(D3:D24)</f>
        <v>44020</v>
      </c>
    </row>
    <row r="26" ht="15">
      <c r="B26" s="2"/>
    </row>
    <row r="27" ht="15">
      <c r="B27" s="2"/>
    </row>
    <row r="28" spans="2:6" ht="15">
      <c r="B28" s="76" t="s">
        <v>76</v>
      </c>
      <c r="C28" s="19" t="s">
        <v>110</v>
      </c>
      <c r="D28" s="19" t="s">
        <v>111</v>
      </c>
      <c r="E28" s="19" t="s">
        <v>112</v>
      </c>
      <c r="F28" s="42" t="s">
        <v>17</v>
      </c>
    </row>
    <row r="29" spans="2:6" ht="15">
      <c r="B29" s="5" t="str">
        <f>+B12</f>
        <v>Matéria prima consumida</v>
      </c>
      <c r="C29" s="13">
        <f>+$C$12/$F$50*C50</f>
        <v>3500.0000000000005</v>
      </c>
      <c r="D29" s="13">
        <f>+$C$12/$F$50*D50</f>
        <v>2100</v>
      </c>
      <c r="E29" s="13">
        <f>+$C$12/$F$50*E50</f>
        <v>1400.0000000000002</v>
      </c>
      <c r="F29" s="30">
        <f>SUM(C29:E29)</f>
        <v>7000</v>
      </c>
    </row>
    <row r="30" spans="2:6" ht="15">
      <c r="B30" s="5" t="str">
        <f>+B13</f>
        <v>Mão de obra direta</v>
      </c>
      <c r="C30" s="13">
        <f>+$C$13/$F$52*C52</f>
        <v>1875</v>
      </c>
      <c r="D30" s="13">
        <f>+$C$13/$F$52*D52</f>
        <v>2250</v>
      </c>
      <c r="E30" s="13">
        <f>+$C$13/$F$52*E52</f>
        <v>1875</v>
      </c>
      <c r="F30" s="30">
        <f aca="true" t="shared" si="0" ref="F30:F39">SUM(C30:E30)</f>
        <v>6000</v>
      </c>
    </row>
    <row r="31" spans="2:6" ht="15">
      <c r="B31" s="5" t="str">
        <f aca="true" t="shared" si="1" ref="B31:B38">+B14</f>
        <v>Energia elétrica da produção</v>
      </c>
      <c r="C31" s="13">
        <f>+$C$14/$F$54*$C$54</f>
        <v>158</v>
      </c>
      <c r="D31" s="13">
        <f>+$C$14/$F$54*$D$54</f>
        <v>237</v>
      </c>
      <c r="E31" s="13">
        <f>+$C$14/$F$54*$E$54</f>
        <v>395</v>
      </c>
      <c r="F31" s="30">
        <f t="shared" si="0"/>
        <v>790</v>
      </c>
    </row>
    <row r="32" spans="2:6" ht="15">
      <c r="B32" s="5" t="str">
        <f t="shared" si="1"/>
        <v>Supervisão da produção</v>
      </c>
      <c r="C32" s="13">
        <f>+$C15/$F$52*$C$52</f>
        <v>899.9999999999999</v>
      </c>
      <c r="D32" s="13">
        <f>+$C15/$F$52*$D$52</f>
        <v>1080</v>
      </c>
      <c r="E32" s="13">
        <f>+$C15/$F$52*$E$52</f>
        <v>899.9999999999999</v>
      </c>
      <c r="F32" s="30">
        <f t="shared" si="0"/>
        <v>2880</v>
      </c>
    </row>
    <row r="33" spans="2:6" ht="15">
      <c r="B33" s="5" t="str">
        <f t="shared" si="1"/>
        <v>Aluguel da fábrica</v>
      </c>
      <c r="C33" s="13">
        <f>+$C16/$F$52*$C$52</f>
        <v>187.5</v>
      </c>
      <c r="D33" s="13">
        <f>+$C16/$F$52*$D$52</f>
        <v>225</v>
      </c>
      <c r="E33" s="13">
        <f>+$C16/$F$52*$E$52</f>
        <v>187.5</v>
      </c>
      <c r="F33" s="30">
        <f t="shared" si="0"/>
        <v>600</v>
      </c>
    </row>
    <row r="34" spans="2:6" ht="15">
      <c r="B34" s="5" t="str">
        <f t="shared" si="1"/>
        <v>Lubrificantes</v>
      </c>
      <c r="C34" s="13">
        <f>+$C17/$F$54*$C$54</f>
        <v>70</v>
      </c>
      <c r="D34" s="13">
        <f>+$C17/$F$54*$D$54</f>
        <v>105.00000000000001</v>
      </c>
      <c r="E34" s="13">
        <f>+$C17/$F$54*$E$54</f>
        <v>175.00000000000003</v>
      </c>
      <c r="F34" s="30">
        <f>SUM(C34:E34)</f>
        <v>350</v>
      </c>
    </row>
    <row r="35" spans="2:6" ht="15">
      <c r="B35" s="5" t="str">
        <f t="shared" si="1"/>
        <v>Manutenção preventiva máq produção</v>
      </c>
      <c r="C35" s="13">
        <f>+$C18/$F$54*$C$54</f>
        <v>100</v>
      </c>
      <c r="D35" s="13">
        <f>+$C18/$F$54*$D$54</f>
        <v>150</v>
      </c>
      <c r="E35" s="13">
        <f>+$C18/$F$54*$E$54</f>
        <v>250.00000000000003</v>
      </c>
      <c r="F35" s="30">
        <f>SUM(C35:E35)</f>
        <v>500</v>
      </c>
    </row>
    <row r="36" spans="2:6" ht="15">
      <c r="B36" s="5" t="str">
        <f t="shared" si="1"/>
        <v>Supervisão do almoxarifado de MP</v>
      </c>
      <c r="C36" s="13">
        <f>+$C$19/$F$50*C50</f>
        <v>720</v>
      </c>
      <c r="D36" s="13">
        <f>+$C$19/$F$50*D50</f>
        <v>432</v>
      </c>
      <c r="E36" s="13">
        <f>+$C$19/$F$50*E50</f>
        <v>288</v>
      </c>
      <c r="F36" s="30">
        <f>SUM(C36:E36)</f>
        <v>1440</v>
      </c>
    </row>
    <row r="37" spans="2:6" ht="15">
      <c r="B37" s="5" t="str">
        <f t="shared" si="1"/>
        <v>Depreciação equipam produção</v>
      </c>
      <c r="C37" s="13">
        <f>+$C20/$F$54*$C$54</f>
        <v>60</v>
      </c>
      <c r="D37" s="13">
        <f>+$C20/$F$54*$D$54</f>
        <v>90</v>
      </c>
      <c r="E37" s="13">
        <f>+$C20/$F$54*$E$54</f>
        <v>150</v>
      </c>
      <c r="F37" s="30">
        <f>SUM(C37:E37)</f>
        <v>300</v>
      </c>
    </row>
    <row r="38" spans="2:6" ht="15">
      <c r="B38" s="5" t="str">
        <f t="shared" si="1"/>
        <v>Seguro equipam fábrica</v>
      </c>
      <c r="C38" s="13">
        <f>+$C21/$F$54*$C$54</f>
        <v>68</v>
      </c>
      <c r="D38" s="13">
        <f>+$C21/$F$54*$D$54</f>
        <v>102.00000000000001</v>
      </c>
      <c r="E38" s="13">
        <f>+$C21/$F$54*$E$54</f>
        <v>170</v>
      </c>
      <c r="F38" s="30">
        <f>SUM(C38:E38)</f>
        <v>340</v>
      </c>
    </row>
    <row r="39" spans="2:6" ht="15">
      <c r="B39" s="15" t="s">
        <v>17</v>
      </c>
      <c r="C39" s="16">
        <f>+SUM(C29:C38)</f>
        <v>7638.5</v>
      </c>
      <c r="D39" s="16">
        <f>+SUM(D29:D38)</f>
        <v>6771</v>
      </c>
      <c r="E39" s="16">
        <f>+SUM(E29:E38)</f>
        <v>5790.5</v>
      </c>
      <c r="F39" s="17">
        <f t="shared" si="0"/>
        <v>20200</v>
      </c>
    </row>
    <row r="41" spans="2:6" ht="15">
      <c r="B41" s="24"/>
      <c r="C41" s="19" t="str">
        <f>+C28</f>
        <v>X</v>
      </c>
      <c r="D41" s="19" t="str">
        <f>+D28</f>
        <v>Y</v>
      </c>
      <c r="E41" s="19" t="str">
        <f>+E28</f>
        <v>Z</v>
      </c>
      <c r="F41" s="42" t="str">
        <f>+F28</f>
        <v>TOTAL</v>
      </c>
    </row>
    <row r="42" spans="2:6" ht="15">
      <c r="B42" s="49" t="s">
        <v>122</v>
      </c>
      <c r="C42" s="77">
        <f>+C39/C47</f>
        <v>0.15277</v>
      </c>
      <c r="D42" s="77">
        <f>+D39/D47</f>
        <v>0.2257</v>
      </c>
      <c r="E42" s="77">
        <f>+E39/E47</f>
        <v>0.289525</v>
      </c>
      <c r="F42" s="6"/>
    </row>
    <row r="43" spans="2:6" ht="15">
      <c r="B43" s="49" t="s">
        <v>123</v>
      </c>
      <c r="C43" s="13">
        <f>+C42*C48</f>
        <v>6110.799999999999</v>
      </c>
      <c r="D43" s="13">
        <f>+D42*D48</f>
        <v>4062.6000000000004</v>
      </c>
      <c r="E43" s="13">
        <f>+E42*E48</f>
        <v>4632.4</v>
      </c>
      <c r="F43" s="30">
        <f>SUM(C43:E43)</f>
        <v>14805.8</v>
      </c>
    </row>
    <row r="44" spans="2:6" ht="15">
      <c r="B44" s="65" t="s">
        <v>124</v>
      </c>
      <c r="C44" s="14">
        <f>+C42*(C47-C48)</f>
        <v>1527.6999999999998</v>
      </c>
      <c r="D44" s="14">
        <f>+D42*(D47-D48)</f>
        <v>2708.4</v>
      </c>
      <c r="E44" s="14">
        <f>+E42*(E47-E48)</f>
        <v>1158.1</v>
      </c>
      <c r="F44" s="17">
        <f>SUM(C44:E44)</f>
        <v>5394.200000000001</v>
      </c>
    </row>
    <row r="46" spans="2:6" ht="15">
      <c r="B46" s="41" t="s">
        <v>57</v>
      </c>
      <c r="C46" s="19" t="str">
        <f>+C28</f>
        <v>X</v>
      </c>
      <c r="D46" s="19" t="str">
        <f>+D28</f>
        <v>Y</v>
      </c>
      <c r="E46" s="19" t="str">
        <f>+E28</f>
        <v>Z</v>
      </c>
      <c r="F46" s="42" t="str">
        <f>+F28</f>
        <v>TOTAL</v>
      </c>
    </row>
    <row r="47" spans="2:6" ht="15">
      <c r="B47" s="78" t="s">
        <v>115</v>
      </c>
      <c r="C47" s="79">
        <v>50000</v>
      </c>
      <c r="D47" s="79">
        <v>30000</v>
      </c>
      <c r="E47" s="79">
        <v>20000</v>
      </c>
      <c r="F47" s="80"/>
    </row>
    <row r="48" spans="2:6" ht="15">
      <c r="B48" s="78" t="s">
        <v>116</v>
      </c>
      <c r="C48" s="79">
        <v>40000</v>
      </c>
      <c r="D48" s="79">
        <v>18000</v>
      </c>
      <c r="E48" s="79">
        <v>16000</v>
      </c>
      <c r="F48" s="80"/>
    </row>
    <row r="49" spans="2:6" ht="15">
      <c r="B49" s="78" t="s">
        <v>114</v>
      </c>
      <c r="C49" s="81">
        <v>1</v>
      </c>
      <c r="D49" s="81">
        <v>1</v>
      </c>
      <c r="E49" s="81">
        <v>1</v>
      </c>
      <c r="F49" s="80"/>
    </row>
    <row r="50" spans="2:6" ht="15">
      <c r="B50" s="78" t="s">
        <v>117</v>
      </c>
      <c r="C50" s="79">
        <f>+C49*C47</f>
        <v>50000</v>
      </c>
      <c r="D50" s="79">
        <f>+D49*D47</f>
        <v>30000</v>
      </c>
      <c r="E50" s="79">
        <f>+E49*E47</f>
        <v>20000</v>
      </c>
      <c r="F50" s="82">
        <f>SUM(C50:E50)</f>
        <v>100000</v>
      </c>
    </row>
    <row r="51" spans="2:6" ht="15">
      <c r="B51" s="78" t="s">
        <v>118</v>
      </c>
      <c r="C51" s="81">
        <v>1</v>
      </c>
      <c r="D51" s="81">
        <v>2</v>
      </c>
      <c r="E51" s="81">
        <v>2.5</v>
      </c>
      <c r="F51" s="82"/>
    </row>
    <row r="52" spans="2:6" ht="15">
      <c r="B52" s="78" t="s">
        <v>119</v>
      </c>
      <c r="C52" s="79">
        <f>+C51*C47</f>
        <v>50000</v>
      </c>
      <c r="D52" s="79">
        <f>+D51*D47</f>
        <v>60000</v>
      </c>
      <c r="E52" s="79">
        <f>+E51*E47</f>
        <v>50000</v>
      </c>
      <c r="F52" s="82">
        <f>SUM(C52:E52)</f>
        <v>160000</v>
      </c>
    </row>
    <row r="53" spans="2:6" ht="15">
      <c r="B53" s="78" t="s">
        <v>120</v>
      </c>
      <c r="C53" s="81">
        <v>0.6</v>
      </c>
      <c r="D53" s="81">
        <v>1.5</v>
      </c>
      <c r="E53" s="81">
        <v>3.75</v>
      </c>
      <c r="F53" s="80"/>
    </row>
    <row r="54" spans="2:6" ht="15">
      <c r="B54" s="83" t="s">
        <v>121</v>
      </c>
      <c r="C54" s="84">
        <f>+C53*C47</f>
        <v>30000</v>
      </c>
      <c r="D54" s="84">
        <f>+D53*D47</f>
        <v>45000</v>
      </c>
      <c r="E54" s="84">
        <f>+E53*E47</f>
        <v>75000</v>
      </c>
      <c r="F54" s="85">
        <f>SUM(C54:E54)</f>
        <v>150000</v>
      </c>
    </row>
    <row r="56" spans="2:3" ht="15">
      <c r="B56" s="347" t="s">
        <v>125</v>
      </c>
      <c r="C56" s="348"/>
    </row>
    <row r="57" spans="2:3" ht="15">
      <c r="B57" s="29" t="s">
        <v>32</v>
      </c>
      <c r="C57" s="30">
        <f>+D24</f>
        <v>25100</v>
      </c>
    </row>
    <row r="58" spans="2:3" ht="15">
      <c r="B58" s="5" t="s">
        <v>85</v>
      </c>
      <c r="C58" s="6">
        <f>-F43</f>
        <v>-14805.8</v>
      </c>
    </row>
    <row r="59" spans="2:3" ht="15">
      <c r="B59" s="29" t="s">
        <v>34</v>
      </c>
      <c r="C59" s="30">
        <f>SUM(C57:C58)</f>
        <v>10294.2</v>
      </c>
    </row>
    <row r="60" spans="2:3" ht="15">
      <c r="B60" s="5" t="s">
        <v>126</v>
      </c>
      <c r="C60" s="6">
        <f>-C22</f>
        <v>-8100</v>
      </c>
    </row>
    <row r="61" spans="2:3" ht="15">
      <c r="B61" s="5" t="s">
        <v>90</v>
      </c>
      <c r="C61" s="6">
        <f>-C23</f>
        <v>-200</v>
      </c>
    </row>
    <row r="62" spans="2:3" ht="15">
      <c r="B62" s="29" t="s">
        <v>127</v>
      </c>
      <c r="C62" s="30">
        <f>+SUM(C59:C61)</f>
        <v>1994.2000000000007</v>
      </c>
    </row>
    <row r="63" spans="2:3" ht="15">
      <c r="B63" s="5" t="s">
        <v>128</v>
      </c>
      <c r="C63" s="6">
        <f>-C62*30%</f>
        <v>-598.2600000000002</v>
      </c>
    </row>
    <row r="64" spans="2:3" ht="15">
      <c r="B64" s="15" t="s">
        <v>129</v>
      </c>
      <c r="C64" s="17">
        <f>+SUM(C62:C63)</f>
        <v>1395.9400000000005</v>
      </c>
    </row>
    <row r="65" ht="15">
      <c r="B65" s="2"/>
    </row>
    <row r="66" spans="2:3" ht="15">
      <c r="B66" s="351" t="s">
        <v>130</v>
      </c>
      <c r="C66" s="352"/>
    </row>
    <row r="67" spans="2:3" ht="15">
      <c r="B67" s="347" t="s">
        <v>8</v>
      </c>
      <c r="C67" s="348"/>
    </row>
    <row r="68" spans="2:3" ht="15">
      <c r="B68" s="5" t="str">
        <f>+B3</f>
        <v>Disponibilidades</v>
      </c>
      <c r="C68" s="6">
        <f>+C3</f>
        <v>1460</v>
      </c>
    </row>
    <row r="69" spans="2:3" ht="15">
      <c r="B69" s="5" t="str">
        <f>+B4</f>
        <v>Contas a receber</v>
      </c>
      <c r="C69" s="6">
        <f>+C4</f>
        <v>6060</v>
      </c>
    </row>
    <row r="70" spans="2:3" ht="15">
      <c r="B70" s="5" t="s">
        <v>131</v>
      </c>
      <c r="C70" s="6">
        <f>+F44</f>
        <v>5394.200000000001</v>
      </c>
    </row>
    <row r="71" spans="2:3" ht="15">
      <c r="B71" s="5" t="str">
        <f>+B5</f>
        <v>Estoque de MP</v>
      </c>
      <c r="C71" s="6">
        <f>+C5</f>
        <v>5000</v>
      </c>
    </row>
    <row r="72" spans="2:3" ht="15">
      <c r="B72" s="5" t="s">
        <v>9</v>
      </c>
      <c r="C72" s="6">
        <f>+C6+C8</f>
        <v>3000</v>
      </c>
    </row>
    <row r="73" spans="2:3" ht="15">
      <c r="B73" s="5" t="s">
        <v>10</v>
      </c>
      <c r="C73" s="6">
        <f>-SUM(D7,D9)</f>
        <v>-400</v>
      </c>
    </row>
    <row r="74" spans="2:3" ht="15">
      <c r="B74" s="15" t="s">
        <v>17</v>
      </c>
      <c r="C74" s="17">
        <f>+SUM(C68:C73)</f>
        <v>20514.2</v>
      </c>
    </row>
    <row r="75" spans="2:3" ht="15">
      <c r="B75" s="347" t="s">
        <v>41</v>
      </c>
      <c r="C75" s="348"/>
    </row>
    <row r="76" spans="2:3" ht="15">
      <c r="B76" s="5" t="str">
        <f>+B10</f>
        <v>Empréstimos a pagar</v>
      </c>
      <c r="C76" s="6">
        <f>+D10</f>
        <v>3520</v>
      </c>
    </row>
    <row r="77" spans="2:3" ht="15">
      <c r="B77" s="5" t="s">
        <v>132</v>
      </c>
      <c r="C77" s="6">
        <f>-C63</f>
        <v>598.2600000000002</v>
      </c>
    </row>
    <row r="78" spans="2:3" ht="15">
      <c r="B78" s="5" t="str">
        <f>+B11</f>
        <v>Capital social</v>
      </c>
      <c r="C78" s="6">
        <f>+D11</f>
        <v>15000</v>
      </c>
    </row>
    <row r="79" spans="2:3" ht="15">
      <c r="B79" s="5" t="s">
        <v>133</v>
      </c>
      <c r="C79" s="6">
        <f>+C64</f>
        <v>1395.9400000000005</v>
      </c>
    </row>
    <row r="80" spans="2:3" ht="15">
      <c r="B80" s="15" t="s">
        <v>17</v>
      </c>
      <c r="C80" s="17">
        <f>+SUM(C76:C79)</f>
        <v>20514.200000000004</v>
      </c>
    </row>
  </sheetData>
  <sheetProtection/>
  <mergeCells count="4">
    <mergeCell ref="B56:C56"/>
    <mergeCell ref="B66:C66"/>
    <mergeCell ref="B67:C67"/>
    <mergeCell ref="B75:C7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9"/>
  <sheetViews>
    <sheetView zoomScale="130" zoomScaleNormal="130" zoomScalePageLayoutView="0" workbookViewId="0" topLeftCell="A1">
      <selection activeCell="E14" sqref="E14"/>
    </sheetView>
  </sheetViews>
  <sheetFormatPr defaultColWidth="9.140625" defaultRowHeight="15"/>
  <cols>
    <col min="1" max="1" width="3.28125" style="1" customWidth="1"/>
    <col min="2" max="2" width="24.140625" style="1" customWidth="1"/>
    <col min="3" max="3" width="11.7109375" style="1" customWidth="1"/>
    <col min="4" max="7" width="14.140625" style="1" customWidth="1"/>
    <col min="8" max="16384" width="9.140625" style="1" customWidth="1"/>
  </cols>
  <sheetData>
    <row r="2" spans="4:7" ht="15">
      <c r="D2" s="347" t="s">
        <v>136</v>
      </c>
      <c r="E2" s="348"/>
      <c r="F2" s="347" t="s">
        <v>140</v>
      </c>
      <c r="G2" s="348"/>
    </row>
    <row r="3" spans="3:7" ht="45">
      <c r="C3" s="55" t="s">
        <v>134</v>
      </c>
      <c r="D3" s="53" t="s">
        <v>135</v>
      </c>
      <c r="E3" s="54" t="s">
        <v>137</v>
      </c>
      <c r="F3" s="53" t="s">
        <v>135</v>
      </c>
      <c r="G3" s="54" t="s">
        <v>137</v>
      </c>
    </row>
    <row r="4" spans="2:7" ht="15">
      <c r="B4" s="3" t="s">
        <v>32</v>
      </c>
      <c r="C4" s="88">
        <v>2500</v>
      </c>
      <c r="D4" s="24">
        <v>2500</v>
      </c>
      <c r="E4" s="4">
        <f>+D4</f>
        <v>2500</v>
      </c>
      <c r="F4" s="24">
        <f>+D4*(1+10%)</f>
        <v>2750</v>
      </c>
      <c r="G4" s="4">
        <f>+E4*(1+10%)</f>
        <v>2750</v>
      </c>
    </row>
    <row r="5" spans="2:7" ht="15">
      <c r="B5" s="5" t="s">
        <v>33</v>
      </c>
      <c r="C5" s="86">
        <v>-1500</v>
      </c>
      <c r="D5" s="49">
        <f>+C5*(1+40%)</f>
        <v>-2100</v>
      </c>
      <c r="E5" s="6">
        <v>-2200</v>
      </c>
      <c r="F5" s="49">
        <f aca="true" t="shared" si="0" ref="F5:G7">+D5*(1+10%)</f>
        <v>-2310</v>
      </c>
      <c r="G5" s="6">
        <f t="shared" si="0"/>
        <v>-2420</v>
      </c>
    </row>
    <row r="6" spans="2:7" ht="15">
      <c r="B6" s="29" t="s">
        <v>34</v>
      </c>
      <c r="C6" s="64">
        <f>SUM(C4:C5)</f>
        <v>1000</v>
      </c>
      <c r="D6" s="43">
        <f>SUM(D4:D5)</f>
        <v>400</v>
      </c>
      <c r="E6" s="30">
        <f>SUM(E4:E5)</f>
        <v>300</v>
      </c>
      <c r="F6" s="43">
        <f t="shared" si="0"/>
        <v>440.00000000000006</v>
      </c>
      <c r="G6" s="30">
        <f t="shared" si="0"/>
        <v>330</v>
      </c>
    </row>
    <row r="7" spans="2:7" ht="15">
      <c r="B7" s="5" t="s">
        <v>139</v>
      </c>
      <c r="C7" s="86"/>
      <c r="D7" s="49"/>
      <c r="E7" s="6">
        <v>100</v>
      </c>
      <c r="F7" s="49"/>
      <c r="G7" s="6">
        <f t="shared" si="0"/>
        <v>110.00000000000001</v>
      </c>
    </row>
    <row r="8" spans="2:7" ht="15">
      <c r="B8" s="5" t="s">
        <v>141</v>
      </c>
      <c r="C8" s="86"/>
      <c r="D8" s="49"/>
      <c r="E8" s="6"/>
      <c r="F8" s="49">
        <v>-250</v>
      </c>
      <c r="G8" s="6">
        <v>-250</v>
      </c>
    </row>
    <row r="9" spans="2:7" ht="15">
      <c r="B9" s="15" t="s">
        <v>138</v>
      </c>
      <c r="C9" s="51">
        <f>+SUM(C6:C8)</f>
        <v>1000</v>
      </c>
      <c r="D9" s="87">
        <f>+SUM(D6:D8)</f>
        <v>400</v>
      </c>
      <c r="E9" s="17">
        <f>+SUM(E6:E8)</f>
        <v>400</v>
      </c>
      <c r="F9" s="87">
        <f>SUM(F6:F8)</f>
        <v>190.00000000000006</v>
      </c>
      <c r="G9" s="17">
        <f>+SUM(G6:G8)</f>
        <v>190</v>
      </c>
    </row>
    <row r="12" spans="2:3" ht="15">
      <c r="B12" s="347" t="s">
        <v>142</v>
      </c>
      <c r="C12" s="348"/>
    </row>
    <row r="13" spans="2:3" ht="15">
      <c r="B13" s="354" t="s">
        <v>143</v>
      </c>
      <c r="C13" s="355"/>
    </row>
    <row r="14" spans="2:3" ht="15">
      <c r="B14" s="347" t="s">
        <v>8</v>
      </c>
      <c r="C14" s="348"/>
    </row>
    <row r="15" spans="2:3" ht="15">
      <c r="B15" s="91" t="s">
        <v>39</v>
      </c>
      <c r="C15" s="6">
        <v>2500</v>
      </c>
    </row>
    <row r="16" spans="2:3" ht="15">
      <c r="B16" s="91"/>
      <c r="C16" s="6"/>
    </row>
    <row r="17" spans="2:3" ht="15">
      <c r="B17" s="91"/>
      <c r="C17" s="6"/>
    </row>
    <row r="18" spans="2:3" ht="15">
      <c r="B18" s="92" t="s">
        <v>17</v>
      </c>
      <c r="C18" s="17">
        <f>SUM(C15:C17)</f>
        <v>2500</v>
      </c>
    </row>
    <row r="19" spans="2:3" ht="15">
      <c r="B19" s="347" t="s">
        <v>144</v>
      </c>
      <c r="C19" s="348"/>
    </row>
    <row r="20" spans="2:3" ht="15">
      <c r="B20" s="91" t="s">
        <v>42</v>
      </c>
      <c r="C20" s="6">
        <f>1500*(1+40%)*(1+10%)</f>
        <v>2310</v>
      </c>
    </row>
    <row r="21" spans="2:3" ht="15">
      <c r="B21" s="91" t="s">
        <v>146</v>
      </c>
      <c r="C21" s="6">
        <f>+G7</f>
        <v>110.00000000000001</v>
      </c>
    </row>
    <row r="22" spans="2:3" ht="15">
      <c r="B22" s="91" t="s">
        <v>145</v>
      </c>
      <c r="C22" s="6">
        <f>+E4+G5</f>
        <v>80</v>
      </c>
    </row>
    <row r="23" spans="2:3" ht="15">
      <c r="B23" s="92" t="s">
        <v>17</v>
      </c>
      <c r="C23" s="17">
        <f>SUM(C20:C22)</f>
        <v>2500</v>
      </c>
    </row>
    <row r="25" spans="2:3" ht="15">
      <c r="B25" s="347" t="s">
        <v>11</v>
      </c>
      <c r="C25" s="348"/>
    </row>
    <row r="26" spans="2:3" ht="15">
      <c r="B26" s="49" t="s">
        <v>147</v>
      </c>
      <c r="C26" s="6">
        <f>+G6</f>
        <v>330</v>
      </c>
    </row>
    <row r="27" spans="2:3" ht="15">
      <c r="B27" s="49" t="s">
        <v>148</v>
      </c>
      <c r="C27" s="6">
        <f>+G7</f>
        <v>110.00000000000001</v>
      </c>
    </row>
    <row r="28" spans="2:3" ht="15">
      <c r="B28" s="49" t="s">
        <v>149</v>
      </c>
      <c r="C28" s="6">
        <f>+G8</f>
        <v>-250</v>
      </c>
    </row>
    <row r="29" spans="2:3" ht="15">
      <c r="B29" s="87" t="s">
        <v>17</v>
      </c>
      <c r="C29" s="17">
        <f>SUM(C26:C28)</f>
        <v>190</v>
      </c>
    </row>
  </sheetData>
  <sheetProtection/>
  <mergeCells count="7">
    <mergeCell ref="B25:C25"/>
    <mergeCell ref="D2:E2"/>
    <mergeCell ref="F2:G2"/>
    <mergeCell ref="B12:C12"/>
    <mergeCell ref="B13:C13"/>
    <mergeCell ref="B14:C14"/>
    <mergeCell ref="B19:C1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3"/>
  <sheetViews>
    <sheetView zoomScale="120" zoomScaleNormal="120" zoomScalePageLayoutView="0" workbookViewId="0" topLeftCell="A5">
      <selection activeCell="B7" sqref="B7:I19"/>
    </sheetView>
  </sheetViews>
  <sheetFormatPr defaultColWidth="9.140625" defaultRowHeight="15"/>
  <cols>
    <col min="1" max="1" width="3.28125" style="1" customWidth="1"/>
    <col min="2" max="2" width="24.140625" style="1" customWidth="1"/>
    <col min="3" max="8" width="11.57421875" style="1" customWidth="1"/>
    <col min="9" max="16384" width="9.140625" style="1" customWidth="1"/>
  </cols>
  <sheetData>
    <row r="2" spans="2:9" ht="15">
      <c r="B2" s="96" t="s">
        <v>57</v>
      </c>
      <c r="C2" s="96" t="str">
        <f aca="true" t="shared" si="0" ref="C2:H2">+C8</f>
        <v>ESTAMPAR</v>
      </c>
      <c r="D2" s="96" t="str">
        <f t="shared" si="0"/>
        <v>FURAÇÃO</v>
      </c>
      <c r="E2" s="96" t="str">
        <f t="shared" si="0"/>
        <v>MONTAG</v>
      </c>
      <c r="F2" s="96" t="str">
        <f t="shared" si="0"/>
        <v>ALMOXAR</v>
      </c>
      <c r="G2" s="96" t="str">
        <f t="shared" si="0"/>
        <v>MANUT</v>
      </c>
      <c r="H2" s="96" t="str">
        <f t="shared" si="0"/>
        <v>ADM GERAL</v>
      </c>
      <c r="I2" s="96" t="str">
        <f>+I7</f>
        <v>TOTAL</v>
      </c>
    </row>
    <row r="3" spans="2:9" ht="15">
      <c r="B3" s="97" t="s">
        <v>162</v>
      </c>
      <c r="C3" s="97">
        <v>35</v>
      </c>
      <c r="D3" s="97">
        <v>30</v>
      </c>
      <c r="E3" s="97">
        <v>15</v>
      </c>
      <c r="F3" s="97">
        <v>10</v>
      </c>
      <c r="G3" s="97">
        <v>10</v>
      </c>
      <c r="H3" s="97"/>
      <c r="I3" s="98">
        <f>SUM(C3:H3)</f>
        <v>100</v>
      </c>
    </row>
    <row r="4" spans="2:9" ht="15">
      <c r="B4" s="97" t="s">
        <v>164</v>
      </c>
      <c r="C4" s="97">
        <v>4800</v>
      </c>
      <c r="D4" s="97">
        <v>4200</v>
      </c>
      <c r="E4" s="97">
        <v>3000</v>
      </c>
      <c r="F4" s="97">
        <v>0</v>
      </c>
      <c r="G4" s="97">
        <v>0</v>
      </c>
      <c r="H4" s="97">
        <v>0</v>
      </c>
      <c r="I4" s="98">
        <f>SUM(C4:H4)</f>
        <v>12000</v>
      </c>
    </row>
    <row r="5" spans="2:9" ht="15">
      <c r="B5" s="97" t="s">
        <v>166</v>
      </c>
      <c r="C5" s="97">
        <v>600</v>
      </c>
      <c r="D5" s="97">
        <v>300</v>
      </c>
      <c r="E5" s="97">
        <v>300</v>
      </c>
      <c r="F5" s="97"/>
      <c r="G5" s="97"/>
      <c r="H5" s="97"/>
      <c r="I5" s="98">
        <f>SUM(C5:H5)</f>
        <v>1200</v>
      </c>
    </row>
    <row r="7" spans="2:9" ht="15">
      <c r="B7" s="349" t="s">
        <v>65</v>
      </c>
      <c r="C7" s="351" t="s">
        <v>159</v>
      </c>
      <c r="D7" s="356"/>
      <c r="E7" s="352"/>
      <c r="F7" s="351" t="s">
        <v>160</v>
      </c>
      <c r="G7" s="356"/>
      <c r="H7" s="352"/>
      <c r="I7" s="349" t="s">
        <v>17</v>
      </c>
    </row>
    <row r="8" spans="2:9" ht="15">
      <c r="B8" s="350"/>
      <c r="C8" s="70" t="s">
        <v>152</v>
      </c>
      <c r="D8" s="19" t="s">
        <v>150</v>
      </c>
      <c r="E8" s="71" t="s">
        <v>153</v>
      </c>
      <c r="F8" s="70" t="s">
        <v>154</v>
      </c>
      <c r="G8" s="19" t="s">
        <v>155</v>
      </c>
      <c r="H8" s="71" t="s">
        <v>151</v>
      </c>
      <c r="I8" s="350"/>
    </row>
    <row r="9" spans="2:9" ht="15">
      <c r="B9" s="93" t="s">
        <v>156</v>
      </c>
      <c r="C9" s="24">
        <v>159</v>
      </c>
      <c r="D9" s="18">
        <v>57</v>
      </c>
      <c r="E9" s="4">
        <v>46</v>
      </c>
      <c r="F9" s="24">
        <v>90</v>
      </c>
      <c r="G9" s="18">
        <v>112</v>
      </c>
      <c r="H9" s="4">
        <v>336</v>
      </c>
      <c r="I9" s="72">
        <f>+SUM(C9:H9)</f>
        <v>800</v>
      </c>
    </row>
    <row r="10" spans="2:9" ht="15">
      <c r="B10" s="94" t="s">
        <v>55</v>
      </c>
      <c r="C10" s="49">
        <v>2400</v>
      </c>
      <c r="D10" s="13">
        <v>432</v>
      </c>
      <c r="E10" s="6">
        <v>1340</v>
      </c>
      <c r="F10" s="49">
        <v>240</v>
      </c>
      <c r="G10" s="13">
        <v>240</v>
      </c>
      <c r="H10" s="6">
        <v>148</v>
      </c>
      <c r="I10" s="73">
        <f>+SUM(C10:H10)</f>
        <v>4800</v>
      </c>
    </row>
    <row r="11" spans="2:9" ht="15">
      <c r="B11" s="94" t="s">
        <v>157</v>
      </c>
      <c r="C11" s="49">
        <v>532</v>
      </c>
      <c r="D11" s="13">
        <v>672</v>
      </c>
      <c r="E11" s="6">
        <v>390</v>
      </c>
      <c r="F11" s="49">
        <v>140</v>
      </c>
      <c r="G11" s="13">
        <v>170</v>
      </c>
      <c r="H11" s="6">
        <v>896</v>
      </c>
      <c r="I11" s="73">
        <f>+SUM(C11:H11)</f>
        <v>2800</v>
      </c>
    </row>
    <row r="12" spans="2:9" ht="15">
      <c r="B12" s="94" t="s">
        <v>158</v>
      </c>
      <c r="C12" s="49">
        <v>0</v>
      </c>
      <c r="D12" s="13">
        <v>0</v>
      </c>
      <c r="E12" s="6">
        <v>0</v>
      </c>
      <c r="F12" s="49">
        <v>0</v>
      </c>
      <c r="G12" s="13">
        <v>0</v>
      </c>
      <c r="H12" s="6">
        <v>3200</v>
      </c>
      <c r="I12" s="73">
        <f>+SUM(C12:H12)</f>
        <v>3200</v>
      </c>
    </row>
    <row r="13" spans="2:9" ht="15">
      <c r="B13" s="95" t="s">
        <v>17</v>
      </c>
      <c r="C13" s="89">
        <f aca="true" t="shared" si="1" ref="C13:I13">SUM(C9:C12)</f>
        <v>3091</v>
      </c>
      <c r="D13" s="16">
        <f t="shared" si="1"/>
        <v>1161</v>
      </c>
      <c r="E13" s="90">
        <f t="shared" si="1"/>
        <v>1776</v>
      </c>
      <c r="F13" s="89">
        <f t="shared" si="1"/>
        <v>470</v>
      </c>
      <c r="G13" s="16">
        <f t="shared" si="1"/>
        <v>522</v>
      </c>
      <c r="H13" s="90">
        <f t="shared" si="1"/>
        <v>4580</v>
      </c>
      <c r="I13" s="74">
        <f t="shared" si="1"/>
        <v>11600</v>
      </c>
    </row>
    <row r="14" spans="2:9" ht="15">
      <c r="B14" s="94" t="s">
        <v>161</v>
      </c>
      <c r="C14" s="13">
        <f>-$H$14/$I$3*C3</f>
        <v>1603</v>
      </c>
      <c r="D14" s="13">
        <f>-$H$14/$I$3*D3</f>
        <v>1374</v>
      </c>
      <c r="E14" s="13">
        <f>-$H$14/$I$3*E3</f>
        <v>687</v>
      </c>
      <c r="F14" s="49">
        <f>-$H$14/$I$3*F3</f>
        <v>458</v>
      </c>
      <c r="G14" s="13">
        <f>-$H$14/$I$3*G3</f>
        <v>458</v>
      </c>
      <c r="H14" s="6">
        <f>-H13</f>
        <v>-4580</v>
      </c>
      <c r="I14" s="30">
        <f>SUM(C14:H14)</f>
        <v>0</v>
      </c>
    </row>
    <row r="15" spans="2:9" ht="15">
      <c r="B15" s="95" t="s">
        <v>17</v>
      </c>
      <c r="C15" s="16">
        <f>+SUM(C13:C14)</f>
        <v>4694</v>
      </c>
      <c r="D15" s="16">
        <f aca="true" t="shared" si="2" ref="D15:I15">+SUM(D13:D14)</f>
        <v>2535</v>
      </c>
      <c r="E15" s="16">
        <f t="shared" si="2"/>
        <v>2463</v>
      </c>
      <c r="F15" s="89">
        <f t="shared" si="2"/>
        <v>928</v>
      </c>
      <c r="G15" s="16">
        <f t="shared" si="2"/>
        <v>980</v>
      </c>
      <c r="H15" s="90">
        <f t="shared" si="2"/>
        <v>0</v>
      </c>
      <c r="I15" s="90">
        <f t="shared" si="2"/>
        <v>11600</v>
      </c>
    </row>
    <row r="16" spans="2:9" ht="15">
      <c r="B16" s="94" t="s">
        <v>163</v>
      </c>
      <c r="C16" s="13">
        <f>-$G$16/$I$4*C4</f>
        <v>392</v>
      </c>
      <c r="D16" s="13">
        <f>-$G$16/$I$4*D4</f>
        <v>343</v>
      </c>
      <c r="E16" s="13">
        <f>-$G$16/$I$4*E4</f>
        <v>245</v>
      </c>
      <c r="F16" s="49">
        <v>0</v>
      </c>
      <c r="G16" s="13">
        <f>-G15</f>
        <v>-980</v>
      </c>
      <c r="H16" s="6">
        <v>0</v>
      </c>
      <c r="I16" s="30">
        <f>SUM(C16:H16)</f>
        <v>0</v>
      </c>
    </row>
    <row r="17" spans="2:9" ht="15">
      <c r="B17" s="95" t="s">
        <v>17</v>
      </c>
      <c r="C17" s="16">
        <f>+SUM(C15:C16)</f>
        <v>5086</v>
      </c>
      <c r="D17" s="16">
        <f>+SUM(D15:D16)</f>
        <v>2878</v>
      </c>
      <c r="E17" s="16">
        <f>+SUM(E15:E16)</f>
        <v>2708</v>
      </c>
      <c r="F17" s="89">
        <f>+SUM(F15:F16)</f>
        <v>928</v>
      </c>
      <c r="G17" s="16">
        <f>+SUM(G15:G16)</f>
        <v>0</v>
      </c>
      <c r="H17" s="90">
        <f>+SUM(H15:H16)</f>
        <v>0</v>
      </c>
      <c r="I17" s="90">
        <f>+SUM(I15:I16)</f>
        <v>11600</v>
      </c>
    </row>
    <row r="18" spans="2:9" ht="15">
      <c r="B18" s="94" t="s">
        <v>165</v>
      </c>
      <c r="C18" s="13">
        <f>-$F$18/$I$5*C5</f>
        <v>464</v>
      </c>
      <c r="D18" s="13">
        <f>-$F$18/$I$5*D5</f>
        <v>232</v>
      </c>
      <c r="E18" s="13">
        <f>-$F$18/$I$5*E5</f>
        <v>232</v>
      </c>
      <c r="F18" s="49">
        <f>-F17</f>
        <v>-928</v>
      </c>
      <c r="G18" s="13">
        <f>-G17</f>
        <v>0</v>
      </c>
      <c r="H18" s="6">
        <v>0</v>
      </c>
      <c r="I18" s="30">
        <f>SUM(C18:H18)</f>
        <v>0</v>
      </c>
    </row>
    <row r="19" spans="2:9" ht="15">
      <c r="B19" s="95" t="s">
        <v>17</v>
      </c>
      <c r="C19" s="16">
        <f>+SUM(C17:C18)</f>
        <v>5550</v>
      </c>
      <c r="D19" s="16">
        <f>+SUM(D17:D18)</f>
        <v>3110</v>
      </c>
      <c r="E19" s="16">
        <f>+SUM(E17:E18)</f>
        <v>2940</v>
      </c>
      <c r="F19" s="89">
        <f>+SUM(F17:F18)</f>
        <v>0</v>
      </c>
      <c r="G19" s="16">
        <f>+SUM(G17:G18)</f>
        <v>0</v>
      </c>
      <c r="H19" s="90">
        <f>+SUM(H17:H18)</f>
        <v>0</v>
      </c>
      <c r="I19" s="90">
        <f>+SUM(I17:I18)</f>
        <v>11600</v>
      </c>
    </row>
    <row r="21" spans="2:5" ht="15">
      <c r="B21" s="70" t="s">
        <v>170</v>
      </c>
      <c r="C21" s="19" t="s">
        <v>167</v>
      </c>
      <c r="D21" s="19" t="s">
        <v>168</v>
      </c>
      <c r="E21" s="71" t="s">
        <v>17</v>
      </c>
    </row>
    <row r="22" spans="2:5" ht="15">
      <c r="B22" s="3" t="s">
        <v>169</v>
      </c>
      <c r="C22" s="18">
        <v>8352</v>
      </c>
      <c r="D22" s="18">
        <v>5568</v>
      </c>
      <c r="E22" s="71">
        <f>SUM(C22:D22)</f>
        <v>13920</v>
      </c>
    </row>
    <row r="23" spans="2:5" ht="15">
      <c r="B23" s="7" t="s">
        <v>51</v>
      </c>
      <c r="C23" s="14">
        <v>6048</v>
      </c>
      <c r="D23" s="14">
        <v>4032</v>
      </c>
      <c r="E23" s="90">
        <f>SUM(C23:D23)</f>
        <v>10080</v>
      </c>
    </row>
    <row r="24" spans="2:5" ht="15">
      <c r="B24" s="5" t="s">
        <v>171</v>
      </c>
      <c r="C24" s="13">
        <f>+$C$19/$E$22*C22</f>
        <v>3330</v>
      </c>
      <c r="D24" s="13">
        <f>+C19/E22*D22</f>
        <v>2220</v>
      </c>
      <c r="E24" s="30">
        <f>SUM(C24:D24)</f>
        <v>5550</v>
      </c>
    </row>
    <row r="25" spans="2:5" ht="15">
      <c r="B25" s="5" t="s">
        <v>172</v>
      </c>
      <c r="C25" s="13">
        <f>+$D$19/$E$22*C22</f>
        <v>1866</v>
      </c>
      <c r="D25" s="13">
        <f>+$D$19/$E$22*D22</f>
        <v>1244</v>
      </c>
      <c r="E25" s="30">
        <f>SUM(C25:D25)</f>
        <v>3110</v>
      </c>
    </row>
    <row r="26" spans="2:5" ht="15">
      <c r="B26" s="5" t="s">
        <v>173</v>
      </c>
      <c r="C26" s="13">
        <v>0</v>
      </c>
      <c r="D26" s="13">
        <f>+E19</f>
        <v>2940</v>
      </c>
      <c r="E26" s="30">
        <f>SUM(C26:D26)</f>
        <v>2940</v>
      </c>
    </row>
    <row r="27" spans="2:5" ht="15">
      <c r="B27" s="99" t="s">
        <v>17</v>
      </c>
      <c r="C27" s="100">
        <f>SUM(C22:C26)</f>
        <v>19596</v>
      </c>
      <c r="D27" s="100">
        <f>SUM(D22:D26)</f>
        <v>16004</v>
      </c>
      <c r="E27" s="75">
        <f>SUM(C27:D27)</f>
        <v>35600</v>
      </c>
    </row>
    <row r="28" ht="15">
      <c r="B28" s="2"/>
    </row>
    <row r="29" spans="2:5" ht="15">
      <c r="B29" s="24"/>
      <c r="C29" s="19" t="str">
        <f>+C21</f>
        <v>DOBRAD</v>
      </c>
      <c r="D29" s="19" t="str">
        <f>+D21</f>
        <v>FECHAD</v>
      </c>
      <c r="E29" s="71" t="str">
        <f>+E21</f>
        <v>TOTAL</v>
      </c>
    </row>
    <row r="30" spans="2:5" ht="15">
      <c r="B30" s="83" t="s">
        <v>174</v>
      </c>
      <c r="C30" s="84">
        <v>12000</v>
      </c>
      <c r="D30" s="84">
        <v>4000</v>
      </c>
      <c r="E30" s="85">
        <f>SUM(C30:D30)</f>
        <v>16000</v>
      </c>
    </row>
    <row r="32" spans="2:5" ht="15">
      <c r="B32" s="24"/>
      <c r="C32" s="19" t="str">
        <f>+C21</f>
        <v>DOBRAD</v>
      </c>
      <c r="D32" s="19" t="str">
        <f>+D21</f>
        <v>FECHAD</v>
      </c>
      <c r="E32" s="71"/>
    </row>
    <row r="33" spans="2:5" ht="15">
      <c r="B33" s="65" t="s">
        <v>122</v>
      </c>
      <c r="C33" s="102">
        <f>+C27/C30</f>
        <v>1.633</v>
      </c>
      <c r="D33" s="102">
        <f>+D27/D30</f>
        <v>4.001</v>
      </c>
      <c r="E33" s="8"/>
    </row>
  </sheetData>
  <sheetProtection/>
  <mergeCells count="4">
    <mergeCell ref="C7:E7"/>
    <mergeCell ref="F7:H7"/>
    <mergeCell ref="I7:I8"/>
    <mergeCell ref="B7:B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53"/>
  <sheetViews>
    <sheetView zoomScale="120" zoomScaleNormal="120" zoomScalePageLayoutView="0" workbookViewId="0" topLeftCell="A21">
      <selection activeCell="B34" sqref="B34"/>
    </sheetView>
  </sheetViews>
  <sheetFormatPr defaultColWidth="9.140625" defaultRowHeight="15" outlineLevelRow="1"/>
  <cols>
    <col min="1" max="1" width="3.28125" style="1" customWidth="1"/>
    <col min="2" max="2" width="22.57421875" style="1" bestFit="1" customWidth="1"/>
    <col min="3" max="3" width="6.28125" style="1" bestFit="1" customWidth="1"/>
    <col min="4" max="4" width="8.140625" style="1" bestFit="1" customWidth="1"/>
    <col min="5" max="5" width="6.28125" style="1" bestFit="1" customWidth="1"/>
    <col min="6" max="6" width="8.140625" style="1" bestFit="1" customWidth="1"/>
    <col min="7" max="7" width="8.8515625" style="1" bestFit="1" customWidth="1"/>
    <col min="8" max="8" width="5.8515625" style="1" bestFit="1" customWidth="1"/>
    <col min="9" max="9" width="8.8515625" style="1" bestFit="1" customWidth="1"/>
    <col min="10" max="10" width="15.8515625" style="1" customWidth="1"/>
    <col min="11" max="16384" width="9.140625" style="1" customWidth="1"/>
  </cols>
  <sheetData>
    <row r="1" ht="15"/>
    <row r="2" spans="2:7" ht="15">
      <c r="B2" s="70" t="s">
        <v>182</v>
      </c>
      <c r="C2" s="347" t="s">
        <v>177</v>
      </c>
      <c r="D2" s="348"/>
      <c r="E2" s="347" t="s">
        <v>175</v>
      </c>
      <c r="F2" s="348"/>
      <c r="G2" s="71" t="s">
        <v>17</v>
      </c>
    </row>
    <row r="3" spans="2:7" ht="15">
      <c r="B3" s="78" t="s">
        <v>176</v>
      </c>
      <c r="C3" s="357">
        <v>3000</v>
      </c>
      <c r="D3" s="358"/>
      <c r="E3" s="357">
        <v>6000</v>
      </c>
      <c r="F3" s="358"/>
      <c r="G3" s="82">
        <f>+SUM(C3:F3)</f>
        <v>9000</v>
      </c>
    </row>
    <row r="4" spans="2:7" ht="30">
      <c r="B4" s="65"/>
      <c r="C4" s="89" t="s">
        <v>48</v>
      </c>
      <c r="D4" s="90" t="s">
        <v>49</v>
      </c>
      <c r="E4" s="89" t="s">
        <v>48</v>
      </c>
      <c r="F4" s="90" t="s">
        <v>49</v>
      </c>
      <c r="G4" s="90" t="s">
        <v>49</v>
      </c>
    </row>
    <row r="5" spans="2:7" ht="15" hidden="1" outlineLevel="1">
      <c r="B5" s="5" t="s">
        <v>32</v>
      </c>
      <c r="C5" s="44">
        <v>41</v>
      </c>
      <c r="D5" s="6">
        <f>+C5*C$3</f>
        <v>123000</v>
      </c>
      <c r="E5" s="44">
        <v>30</v>
      </c>
      <c r="F5" s="6">
        <f>+E5*E$3</f>
        <v>180000</v>
      </c>
      <c r="G5" s="30">
        <f>SUM(D5,F5)</f>
        <v>303000</v>
      </c>
    </row>
    <row r="6" spans="2:7" ht="15" hidden="1" outlineLevel="1">
      <c r="B6" s="5" t="s">
        <v>178</v>
      </c>
      <c r="C6" s="44">
        <v>-18</v>
      </c>
      <c r="D6" s="6">
        <f aca="true" t="shared" si="0" ref="D6:F9">+C6*C$3</f>
        <v>-54000</v>
      </c>
      <c r="E6" s="44">
        <v>-12</v>
      </c>
      <c r="F6" s="6">
        <f t="shared" si="0"/>
        <v>-72000</v>
      </c>
      <c r="G6" s="30">
        <f>SUM(D6,F6)</f>
        <v>-126000</v>
      </c>
    </row>
    <row r="7" spans="2:7" ht="15" hidden="1" outlineLevel="1">
      <c r="B7" s="5" t="s">
        <v>179</v>
      </c>
      <c r="C7" s="44">
        <v>-3</v>
      </c>
      <c r="D7" s="6">
        <f t="shared" si="0"/>
        <v>-9000</v>
      </c>
      <c r="E7" s="44">
        <v>-6</v>
      </c>
      <c r="F7" s="6">
        <f t="shared" si="0"/>
        <v>-36000</v>
      </c>
      <c r="G7" s="30">
        <f>SUM(D7,F7)</f>
        <v>-45000</v>
      </c>
    </row>
    <row r="8" spans="2:7" ht="15" hidden="1" outlineLevel="1">
      <c r="B8" s="5" t="s">
        <v>180</v>
      </c>
      <c r="C8" s="44">
        <f>-54000/$G$3</f>
        <v>-6</v>
      </c>
      <c r="D8" s="6">
        <f t="shared" si="0"/>
        <v>-18000</v>
      </c>
      <c r="E8" s="44">
        <f>-54000/$G$3</f>
        <v>-6</v>
      </c>
      <c r="F8" s="6">
        <f t="shared" si="0"/>
        <v>-36000</v>
      </c>
      <c r="G8" s="30">
        <f>SUM(D8,F8)</f>
        <v>-54000</v>
      </c>
    </row>
    <row r="9" spans="2:7" ht="15" collapsed="1">
      <c r="B9" s="15" t="s">
        <v>181</v>
      </c>
      <c r="C9" s="45">
        <f>SUM(C5:C8)</f>
        <v>14</v>
      </c>
      <c r="D9" s="90">
        <f t="shared" si="0"/>
        <v>42000</v>
      </c>
      <c r="E9" s="45">
        <f>SUM(E5:E8)</f>
        <v>6</v>
      </c>
      <c r="F9" s="90">
        <f t="shared" si="0"/>
        <v>36000</v>
      </c>
      <c r="G9" s="90">
        <f>SUM(D9,F9)</f>
        <v>78000</v>
      </c>
    </row>
    <row r="10" spans="2:7" ht="15">
      <c r="B10" s="2"/>
      <c r="C10" s="101"/>
      <c r="E10" s="101"/>
      <c r="G10" s="69"/>
    </row>
    <row r="11" spans="2:7" ht="15">
      <c r="B11" s="70" t="s">
        <v>182</v>
      </c>
      <c r="C11" s="347" t="s">
        <v>177</v>
      </c>
      <c r="D11" s="348"/>
      <c r="E11" s="347" t="s">
        <v>175</v>
      </c>
      <c r="F11" s="348"/>
      <c r="G11" s="71" t="s">
        <v>17</v>
      </c>
    </row>
    <row r="12" spans="2:7" ht="15">
      <c r="B12" s="78" t="s">
        <v>176</v>
      </c>
      <c r="C12" s="357">
        <v>3000</v>
      </c>
      <c r="D12" s="358"/>
      <c r="E12" s="357">
        <v>6000</v>
      </c>
      <c r="F12" s="358"/>
      <c r="G12" s="82">
        <f>+SUM(C12:F12)</f>
        <v>9000</v>
      </c>
    </row>
    <row r="13" spans="2:7" ht="30">
      <c r="B13" s="65"/>
      <c r="C13" s="89" t="s">
        <v>48</v>
      </c>
      <c r="D13" s="90" t="s">
        <v>49</v>
      </c>
      <c r="E13" s="89" t="s">
        <v>48</v>
      </c>
      <c r="F13" s="90" t="s">
        <v>49</v>
      </c>
      <c r="G13" s="90" t="s">
        <v>49</v>
      </c>
    </row>
    <row r="14" spans="2:7" ht="15" hidden="1" outlineLevel="1">
      <c r="B14" s="5" t="s">
        <v>32</v>
      </c>
      <c r="C14" s="44">
        <v>41</v>
      </c>
      <c r="D14" s="6">
        <f>+C14*C$3</f>
        <v>123000</v>
      </c>
      <c r="E14" s="44">
        <v>30</v>
      </c>
      <c r="F14" s="6">
        <f>+E14*E$3</f>
        <v>180000</v>
      </c>
      <c r="G14" s="30">
        <f>SUM(D14,F14)</f>
        <v>303000</v>
      </c>
    </row>
    <row r="15" spans="2:7" ht="15" hidden="1" outlineLevel="1">
      <c r="B15" s="5" t="s">
        <v>178</v>
      </c>
      <c r="C15" s="44">
        <v>-18</v>
      </c>
      <c r="D15" s="6">
        <f>+C15*C$3</f>
        <v>-54000</v>
      </c>
      <c r="E15" s="44">
        <v>-12</v>
      </c>
      <c r="F15" s="6">
        <f>+E15*E$3</f>
        <v>-72000</v>
      </c>
      <c r="G15" s="30">
        <f>SUM(D15,F15)</f>
        <v>-126000</v>
      </c>
    </row>
    <row r="16" spans="2:7" ht="15" hidden="1" outlineLevel="1">
      <c r="B16" s="5" t="s">
        <v>179</v>
      </c>
      <c r="C16" s="44">
        <v>-3</v>
      </c>
      <c r="D16" s="6">
        <f>+C16*C$3</f>
        <v>-9000</v>
      </c>
      <c r="E16" s="44">
        <v>-6</v>
      </c>
      <c r="F16" s="6">
        <f>+E16*E$3</f>
        <v>-36000</v>
      </c>
      <c r="G16" s="30">
        <f>SUM(D16,F16)</f>
        <v>-45000</v>
      </c>
    </row>
    <row r="17" spans="2:7" ht="15" hidden="1" outlineLevel="1">
      <c r="B17" s="5" t="s">
        <v>180</v>
      </c>
      <c r="C17" s="44">
        <f>+D17/C12</f>
        <v>-7.306930693069307</v>
      </c>
      <c r="D17" s="6">
        <f>-54000/$G$14*D14</f>
        <v>-21920.79207920792</v>
      </c>
      <c r="E17" s="44">
        <f>+F17/E12</f>
        <v>-5.346534653465346</v>
      </c>
      <c r="F17" s="6">
        <f>-54000/$G$14*F14</f>
        <v>-32079.207920792076</v>
      </c>
      <c r="G17" s="30">
        <f>SUM(D17,F17)</f>
        <v>-54000</v>
      </c>
    </row>
    <row r="18" spans="2:7" ht="15" collapsed="1">
      <c r="B18" s="15" t="s">
        <v>181</v>
      </c>
      <c r="C18" s="45">
        <f>SUM(C14:C17)</f>
        <v>12.693069306930692</v>
      </c>
      <c r="D18" s="90">
        <f>+C18*C$3</f>
        <v>38079.207920792076</v>
      </c>
      <c r="E18" s="45">
        <f>SUM(E14:E17)</f>
        <v>6.653465346534654</v>
      </c>
      <c r="F18" s="90">
        <f>+E18*E$3</f>
        <v>39920.792079207924</v>
      </c>
      <c r="G18" s="90">
        <f>SUM(D18,F18)</f>
        <v>78000</v>
      </c>
    </row>
    <row r="19" spans="2:5" ht="15">
      <c r="B19" s="2"/>
      <c r="C19" s="101"/>
      <c r="E19" s="101"/>
    </row>
    <row r="20" spans="2:7" ht="15">
      <c r="B20" s="70" t="s">
        <v>182</v>
      </c>
      <c r="C20" s="347" t="s">
        <v>177</v>
      </c>
      <c r="D20" s="348"/>
      <c r="E20" s="347" t="s">
        <v>175</v>
      </c>
      <c r="F20" s="348"/>
      <c r="G20" s="71" t="s">
        <v>17</v>
      </c>
    </row>
    <row r="21" spans="2:7" ht="15">
      <c r="B21" s="78" t="s">
        <v>176</v>
      </c>
      <c r="C21" s="357">
        <v>3000</v>
      </c>
      <c r="D21" s="358"/>
      <c r="E21" s="357">
        <v>6000</v>
      </c>
      <c r="F21" s="358"/>
      <c r="G21" s="82">
        <f>+SUM(C21:F21)</f>
        <v>9000</v>
      </c>
    </row>
    <row r="22" spans="2:7" ht="30">
      <c r="B22" s="65"/>
      <c r="C22" s="89" t="s">
        <v>48</v>
      </c>
      <c r="D22" s="90" t="s">
        <v>49</v>
      </c>
      <c r="E22" s="89" t="s">
        <v>48</v>
      </c>
      <c r="F22" s="90" t="s">
        <v>49</v>
      </c>
      <c r="G22" s="90" t="s">
        <v>49</v>
      </c>
    </row>
    <row r="23" spans="2:7" ht="15" hidden="1" outlineLevel="1">
      <c r="B23" s="5" t="s">
        <v>32</v>
      </c>
      <c r="C23" s="44">
        <v>41</v>
      </c>
      <c r="D23" s="6">
        <f>+C23*C$3</f>
        <v>123000</v>
      </c>
      <c r="E23" s="44">
        <v>30</v>
      </c>
      <c r="F23" s="6">
        <f>+E23*E$3</f>
        <v>180000</v>
      </c>
      <c r="G23" s="30">
        <f>SUM(D23,F23)</f>
        <v>303000</v>
      </c>
    </row>
    <row r="24" spans="2:7" ht="15" hidden="1" outlineLevel="1">
      <c r="B24" s="5" t="s">
        <v>178</v>
      </c>
      <c r="C24" s="44">
        <v>-18</v>
      </c>
      <c r="D24" s="6">
        <f>+C24*C$3</f>
        <v>-54000</v>
      </c>
      <c r="E24" s="44">
        <v>-12</v>
      </c>
      <c r="F24" s="6">
        <f>+E24*E$3</f>
        <v>-72000</v>
      </c>
      <c r="G24" s="30">
        <f>SUM(D24,F24)</f>
        <v>-126000</v>
      </c>
    </row>
    <row r="25" spans="2:7" ht="15" hidden="1" outlineLevel="1">
      <c r="B25" s="5" t="s">
        <v>179</v>
      </c>
      <c r="C25" s="44">
        <v>-3</v>
      </c>
      <c r="D25" s="6">
        <f>+C25*C$3</f>
        <v>-9000</v>
      </c>
      <c r="E25" s="44">
        <v>-6</v>
      </c>
      <c r="F25" s="6">
        <f>+E25*E$3</f>
        <v>-36000</v>
      </c>
      <c r="G25" s="30">
        <f>SUM(D25,F25)</f>
        <v>-45000</v>
      </c>
    </row>
    <row r="26" spans="2:7" ht="15" hidden="1" outlineLevel="1">
      <c r="B26" s="5" t="s">
        <v>180</v>
      </c>
      <c r="C26" s="44">
        <f>+D26/C21</f>
        <v>-7.7142857142857135</v>
      </c>
      <c r="D26" s="6">
        <f>-54000/$G$24*D24</f>
        <v>-23142.85714285714</v>
      </c>
      <c r="E26" s="44">
        <f>+F26/E21</f>
        <v>-5.142857142857142</v>
      </c>
      <c r="F26" s="6">
        <f>-54000/$G$24*F24</f>
        <v>-30857.142857142855</v>
      </c>
      <c r="G26" s="30">
        <f>SUM(D26,F26)</f>
        <v>-54000</v>
      </c>
    </row>
    <row r="27" spans="2:7" ht="15" collapsed="1">
      <c r="B27" s="15" t="s">
        <v>181</v>
      </c>
      <c r="C27" s="45">
        <f>SUM(C23:C26)</f>
        <v>12.285714285714286</v>
      </c>
      <c r="D27" s="90">
        <f>+C27*C$3</f>
        <v>36857.14285714286</v>
      </c>
      <c r="E27" s="45">
        <f>SUM(E23:E26)</f>
        <v>6.857142857142858</v>
      </c>
      <c r="F27" s="90">
        <f>+E27*E$3</f>
        <v>41142.857142857145</v>
      </c>
      <c r="G27" s="90">
        <f>SUM(D27,F27)</f>
        <v>78000</v>
      </c>
    </row>
    <row r="28" spans="2:3" ht="15">
      <c r="B28" s="2"/>
      <c r="C28" s="101"/>
    </row>
    <row r="29" spans="2:10" ht="15" customHeight="1">
      <c r="B29" s="70" t="s">
        <v>183</v>
      </c>
      <c r="C29" s="347" t="s">
        <v>177</v>
      </c>
      <c r="D29" s="368"/>
      <c r="E29" s="348"/>
      <c r="F29" s="347" t="s">
        <v>175</v>
      </c>
      <c r="G29" s="368"/>
      <c r="H29" s="348"/>
      <c r="I29" s="71" t="s">
        <v>17</v>
      </c>
      <c r="J29" s="359" t="s">
        <v>194</v>
      </c>
    </row>
    <row r="30" spans="2:10" ht="15">
      <c r="B30" s="78" t="s">
        <v>176</v>
      </c>
      <c r="C30" s="357">
        <v>3000</v>
      </c>
      <c r="D30" s="369"/>
      <c r="E30" s="358"/>
      <c r="F30" s="357">
        <v>6000</v>
      </c>
      <c r="G30" s="369"/>
      <c r="H30" s="358"/>
      <c r="I30" s="82">
        <f>+SUM(C30:G30)</f>
        <v>9000</v>
      </c>
      <c r="J30" s="360"/>
    </row>
    <row r="31" spans="2:10" ht="30">
      <c r="B31" s="65"/>
      <c r="C31" s="43" t="s">
        <v>48</v>
      </c>
      <c r="D31" s="28" t="s">
        <v>49</v>
      </c>
      <c r="E31" s="30" t="s">
        <v>193</v>
      </c>
      <c r="F31" s="43" t="s">
        <v>48</v>
      </c>
      <c r="G31" s="28" t="s">
        <v>49</v>
      </c>
      <c r="H31" s="30" t="s">
        <v>193</v>
      </c>
      <c r="I31" s="90" t="s">
        <v>49</v>
      </c>
      <c r="J31" s="360"/>
    </row>
    <row r="32" spans="2:10" ht="15" customHeight="1" outlineLevel="1">
      <c r="B32" s="5" t="s">
        <v>32</v>
      </c>
      <c r="C32" s="50">
        <v>41</v>
      </c>
      <c r="D32" s="18">
        <f>+C32*C$3</f>
        <v>123000</v>
      </c>
      <c r="E32" s="111">
        <f>+D32/D$32</f>
        <v>1</v>
      </c>
      <c r="F32" s="50">
        <v>30</v>
      </c>
      <c r="G32" s="18">
        <f>+F32*E$3</f>
        <v>180000</v>
      </c>
      <c r="H32" s="111">
        <f>+G32/G$32</f>
        <v>1</v>
      </c>
      <c r="I32" s="30">
        <f aca="true" t="shared" si="1" ref="I32:I40">SUM(D32,G32)</f>
        <v>303000</v>
      </c>
      <c r="J32" s="360"/>
    </row>
    <row r="33" spans="2:10" ht="15" customHeight="1" outlineLevel="1">
      <c r="B33" s="5" t="s">
        <v>178</v>
      </c>
      <c r="C33" s="44">
        <v>-18</v>
      </c>
      <c r="D33" s="13">
        <f>+C33*C$3</f>
        <v>-54000</v>
      </c>
      <c r="E33" s="112">
        <f aca="true" t="shared" si="2" ref="E33:E40">+D33/D$32</f>
        <v>-0.43902439024390244</v>
      </c>
      <c r="F33" s="44">
        <v>-12</v>
      </c>
      <c r="G33" s="13">
        <f>+F33*E$3</f>
        <v>-72000</v>
      </c>
      <c r="H33" s="112">
        <f aca="true" t="shared" si="3" ref="H33:H40">+G33/G$32</f>
        <v>-0.4</v>
      </c>
      <c r="I33" s="30">
        <f t="shared" si="1"/>
        <v>-126000</v>
      </c>
      <c r="J33" s="360"/>
    </row>
    <row r="34" spans="2:10" ht="15" customHeight="1" outlineLevel="1">
      <c r="B34" s="5" t="s">
        <v>179</v>
      </c>
      <c r="C34" s="44">
        <v>-3</v>
      </c>
      <c r="D34" s="13">
        <f>+C34*C$3</f>
        <v>-9000</v>
      </c>
      <c r="E34" s="112">
        <f t="shared" si="2"/>
        <v>-0.07317073170731707</v>
      </c>
      <c r="F34" s="44">
        <v>-6</v>
      </c>
      <c r="G34" s="13">
        <f>+F34*E$3</f>
        <v>-36000</v>
      </c>
      <c r="H34" s="112">
        <f t="shared" si="3"/>
        <v>-0.2</v>
      </c>
      <c r="I34" s="30">
        <f t="shared" si="1"/>
        <v>-45000</v>
      </c>
      <c r="J34" s="360"/>
    </row>
    <row r="35" spans="2:10" ht="15" customHeight="1" outlineLevel="1">
      <c r="B35" s="3" t="s">
        <v>184</v>
      </c>
      <c r="C35" s="50">
        <f>+D35/C$30</f>
        <v>-2.1333333333333333</v>
      </c>
      <c r="D35" s="18">
        <f>-8000/$G$44*C44</f>
        <v>-6400</v>
      </c>
      <c r="E35" s="111">
        <f t="shared" si="2"/>
        <v>-0.05203252032520325</v>
      </c>
      <c r="F35" s="50">
        <f>+G35/F$30</f>
        <v>-0.26666666666666666</v>
      </c>
      <c r="G35" s="18">
        <f>-8000/$G$44*E44</f>
        <v>-1600</v>
      </c>
      <c r="H35" s="111">
        <f t="shared" si="3"/>
        <v>-0.008888888888888889</v>
      </c>
      <c r="I35" s="71">
        <f t="shared" si="1"/>
        <v>-8000</v>
      </c>
      <c r="J35" s="360"/>
    </row>
    <row r="36" spans="2:10" ht="15" customHeight="1" outlineLevel="1">
      <c r="B36" s="5" t="s">
        <v>185</v>
      </c>
      <c r="C36" s="44">
        <f>+D36/C$30</f>
        <v>-1.6</v>
      </c>
      <c r="D36" s="13">
        <f>-6000/$G$44*C44</f>
        <v>-4800</v>
      </c>
      <c r="E36" s="112">
        <f t="shared" si="2"/>
        <v>-0.03902439024390244</v>
      </c>
      <c r="F36" s="44">
        <f>+G36/F$30</f>
        <v>-0.2</v>
      </c>
      <c r="G36" s="13">
        <f>-6000/$G$44*E44</f>
        <v>-1200</v>
      </c>
      <c r="H36" s="112">
        <f t="shared" si="3"/>
        <v>-0.006666666666666667</v>
      </c>
      <c r="I36" s="30">
        <f t="shared" si="1"/>
        <v>-6000</v>
      </c>
      <c r="J36" s="360"/>
    </row>
    <row r="37" spans="2:10" ht="15" customHeight="1" outlineLevel="1">
      <c r="B37" s="5" t="s">
        <v>186</v>
      </c>
      <c r="C37" s="44">
        <f>+D37/C$30</f>
        <v>-0.8974358974358975</v>
      </c>
      <c r="D37" s="13">
        <f>-5000/$G$45*C45</f>
        <v>-2692.3076923076924</v>
      </c>
      <c r="E37" s="112">
        <f t="shared" si="2"/>
        <v>-0.021888680425265792</v>
      </c>
      <c r="F37" s="44">
        <f>+G37/F$30</f>
        <v>-0.3846153846153846</v>
      </c>
      <c r="G37" s="13">
        <f>-5000/$G$45*E45</f>
        <v>-2307.6923076923076</v>
      </c>
      <c r="H37" s="112">
        <f t="shared" si="3"/>
        <v>-0.01282051282051282</v>
      </c>
      <c r="I37" s="30">
        <f t="shared" si="1"/>
        <v>-5000</v>
      </c>
      <c r="J37" s="360"/>
    </row>
    <row r="38" spans="2:10" ht="15" customHeight="1" outlineLevel="1">
      <c r="B38" s="5" t="s">
        <v>187</v>
      </c>
      <c r="C38" s="44">
        <f>+D38/C$30</f>
        <v>-3</v>
      </c>
      <c r="D38" s="13">
        <f>-15000/$G$46*C46</f>
        <v>-9000</v>
      </c>
      <c r="E38" s="112">
        <f t="shared" si="2"/>
        <v>-0.07317073170731707</v>
      </c>
      <c r="F38" s="44">
        <f>+G38/F$30</f>
        <v>-1</v>
      </c>
      <c r="G38" s="13">
        <f>-15000/$G$46*E46</f>
        <v>-6000</v>
      </c>
      <c r="H38" s="112">
        <f t="shared" si="3"/>
        <v>-0.03333333333333333</v>
      </c>
      <c r="I38" s="30">
        <f t="shared" si="1"/>
        <v>-15000</v>
      </c>
      <c r="J38" s="360"/>
    </row>
    <row r="39" spans="2:10" ht="15" customHeight="1" outlineLevel="1">
      <c r="B39" s="7" t="s">
        <v>188</v>
      </c>
      <c r="C39" s="63">
        <f>+D39/C$30</f>
        <v>-5</v>
      </c>
      <c r="D39" s="14">
        <f>-20000/$G$47*C47</f>
        <v>-15000</v>
      </c>
      <c r="E39" s="115">
        <f t="shared" si="2"/>
        <v>-0.12195121951219512</v>
      </c>
      <c r="F39" s="63">
        <f>+G39/F$30</f>
        <v>-0.8333333333333334</v>
      </c>
      <c r="G39" s="14">
        <f>-20000/$G$47*E47</f>
        <v>-5000</v>
      </c>
      <c r="H39" s="115">
        <f t="shared" si="3"/>
        <v>-0.027777777777777776</v>
      </c>
      <c r="I39" s="90">
        <f t="shared" si="1"/>
        <v>-20000</v>
      </c>
      <c r="J39" s="360"/>
    </row>
    <row r="40" spans="2:10" ht="15">
      <c r="B40" s="99" t="s">
        <v>181</v>
      </c>
      <c r="C40" s="113">
        <f>SUM(C32:C39)</f>
        <v>7.369230769230768</v>
      </c>
      <c r="D40" s="100">
        <f>+C40*C$3</f>
        <v>22107.692307692305</v>
      </c>
      <c r="E40" s="114">
        <f t="shared" si="2"/>
        <v>0.1797373358348968</v>
      </c>
      <c r="F40" s="113">
        <f>SUM(F32:F39)</f>
        <v>9.315384615384614</v>
      </c>
      <c r="G40" s="100">
        <f>+F40*E$3</f>
        <v>55892.30769230769</v>
      </c>
      <c r="H40" s="114">
        <f t="shared" si="3"/>
        <v>0.3105128205128205</v>
      </c>
      <c r="I40" s="75">
        <f t="shared" si="1"/>
        <v>78000</v>
      </c>
      <c r="J40" s="361"/>
    </row>
    <row r="41" spans="2:3" ht="15">
      <c r="B41" s="2"/>
      <c r="C41" s="101"/>
    </row>
    <row r="42" spans="2:3" ht="15">
      <c r="B42" s="2"/>
      <c r="C42" s="101"/>
    </row>
    <row r="43" spans="2:7" ht="15">
      <c r="B43" s="103" t="s">
        <v>57</v>
      </c>
      <c r="C43" s="362" t="s">
        <v>177</v>
      </c>
      <c r="D43" s="363"/>
      <c r="E43" s="362" t="s">
        <v>175</v>
      </c>
      <c r="F43" s="363"/>
      <c r="G43" s="107" t="s">
        <v>17</v>
      </c>
    </row>
    <row r="44" spans="2:7" ht="15">
      <c r="B44" s="106" t="s">
        <v>189</v>
      </c>
      <c r="C44" s="364">
        <v>60</v>
      </c>
      <c r="D44" s="365"/>
      <c r="E44" s="366">
        <v>15</v>
      </c>
      <c r="F44" s="366"/>
      <c r="G44" s="108">
        <f>SUM(C44:F44)</f>
        <v>75</v>
      </c>
    </row>
    <row r="45" spans="2:7" ht="15">
      <c r="B45" s="104" t="s">
        <v>190</v>
      </c>
      <c r="C45" s="370">
        <v>140</v>
      </c>
      <c r="D45" s="371"/>
      <c r="E45" s="372">
        <v>120</v>
      </c>
      <c r="F45" s="372"/>
      <c r="G45" s="109">
        <f>SUM(C45:F45)</f>
        <v>260</v>
      </c>
    </row>
    <row r="46" spans="2:7" ht="15">
      <c r="B46" s="104" t="s">
        <v>191</v>
      </c>
      <c r="C46" s="370">
        <v>6000</v>
      </c>
      <c r="D46" s="371"/>
      <c r="E46" s="372">
        <v>4000</v>
      </c>
      <c r="F46" s="372"/>
      <c r="G46" s="109">
        <f>SUM(C46:F46)</f>
        <v>10000</v>
      </c>
    </row>
    <row r="47" spans="2:7" ht="15">
      <c r="B47" s="105" t="s">
        <v>192</v>
      </c>
      <c r="C47" s="373">
        <v>150</v>
      </c>
      <c r="D47" s="374"/>
      <c r="E47" s="367">
        <v>50</v>
      </c>
      <c r="F47" s="367"/>
      <c r="G47" s="110">
        <f>SUM(C47:F47)</f>
        <v>200</v>
      </c>
    </row>
    <row r="48" spans="2:3" ht="15">
      <c r="B48" s="2"/>
      <c r="C48" s="101"/>
    </row>
    <row r="49" ht="15">
      <c r="C49" s="101"/>
    </row>
    <row r="50" ht="15">
      <c r="C50" s="101"/>
    </row>
    <row r="51" ht="15">
      <c r="C51" s="101"/>
    </row>
    <row r="52" ht="15">
      <c r="C52" s="101"/>
    </row>
    <row r="53" ht="15">
      <c r="C53" s="101"/>
    </row>
  </sheetData>
  <sheetProtection/>
  <mergeCells count="27">
    <mergeCell ref="E47:F47"/>
    <mergeCell ref="C29:E29"/>
    <mergeCell ref="C30:E30"/>
    <mergeCell ref="F29:H29"/>
    <mergeCell ref="F30:H30"/>
    <mergeCell ref="C45:D45"/>
    <mergeCell ref="E45:F45"/>
    <mergeCell ref="C46:D46"/>
    <mergeCell ref="E46:F46"/>
    <mergeCell ref="C47:D47"/>
    <mergeCell ref="J29:J40"/>
    <mergeCell ref="C43:D43"/>
    <mergeCell ref="E43:F43"/>
    <mergeCell ref="C44:D44"/>
    <mergeCell ref="E44:F44"/>
    <mergeCell ref="C2:D2"/>
    <mergeCell ref="E2:F2"/>
    <mergeCell ref="C3:D3"/>
    <mergeCell ref="E3:F3"/>
    <mergeCell ref="C21:D21"/>
    <mergeCell ref="E21:F21"/>
    <mergeCell ref="C11:D11"/>
    <mergeCell ref="E11:F11"/>
    <mergeCell ref="C12:D12"/>
    <mergeCell ref="E12:F12"/>
    <mergeCell ref="C20:D20"/>
    <mergeCell ref="E20:F20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G51"/>
  <sheetViews>
    <sheetView zoomScale="120" zoomScaleNormal="120" zoomScalePageLayoutView="0" workbookViewId="0" topLeftCell="A21">
      <selection activeCell="E53" sqref="E53"/>
    </sheetView>
  </sheetViews>
  <sheetFormatPr defaultColWidth="9.140625" defaultRowHeight="15"/>
  <cols>
    <col min="1" max="1" width="3.28125" style="1" customWidth="1"/>
    <col min="2" max="2" width="25.57421875" style="13" bestFit="1" customWidth="1"/>
    <col min="3" max="7" width="10.57421875" style="13" customWidth="1"/>
    <col min="8" max="8" width="9.140625" style="1" customWidth="1"/>
    <col min="9" max="9" width="8.8515625" style="1" bestFit="1" customWidth="1"/>
    <col min="10" max="10" width="15.8515625" style="1" customWidth="1"/>
    <col min="11" max="16384" width="9.140625" style="1" customWidth="1"/>
  </cols>
  <sheetData>
    <row r="1" spans="2:7" ht="15">
      <c r="B1" s="1"/>
      <c r="C1" s="1"/>
      <c r="D1" s="1"/>
      <c r="E1" s="1"/>
      <c r="F1" s="1"/>
      <c r="G1" s="1"/>
    </row>
    <row r="2" spans="2:3" ht="15">
      <c r="B2" s="347" t="s">
        <v>195</v>
      </c>
      <c r="C2" s="348"/>
    </row>
    <row r="3" spans="2:3" ht="15">
      <c r="B3" s="49" t="s">
        <v>39</v>
      </c>
      <c r="C3" s="6">
        <v>10000</v>
      </c>
    </row>
    <row r="4" spans="2:3" ht="15">
      <c r="B4" s="65" t="s">
        <v>196</v>
      </c>
      <c r="C4" s="8">
        <v>10000</v>
      </c>
    </row>
    <row r="5" ht="15"/>
    <row r="6" spans="2:7" ht="15">
      <c r="B6" s="351" t="s">
        <v>197</v>
      </c>
      <c r="C6" s="356"/>
      <c r="D6" s="356"/>
      <c r="E6" s="356"/>
      <c r="F6" s="356"/>
      <c r="G6" s="352"/>
    </row>
    <row r="7" spans="2:7" ht="15">
      <c r="B7" s="24"/>
      <c r="C7" s="119" t="s">
        <v>12</v>
      </c>
      <c r="D7" s="119" t="s">
        <v>13</v>
      </c>
      <c r="E7" s="119" t="s">
        <v>14</v>
      </c>
      <c r="F7" s="119" t="s">
        <v>198</v>
      </c>
      <c r="G7" s="117" t="s">
        <v>17</v>
      </c>
    </row>
    <row r="8" spans="2:7" ht="15">
      <c r="B8" s="375" t="s">
        <v>199</v>
      </c>
      <c r="C8" s="18">
        <v>5000</v>
      </c>
      <c r="D8" s="18">
        <v>1000</v>
      </c>
      <c r="E8" s="18">
        <v>1000</v>
      </c>
      <c r="F8" s="18">
        <v>3000</v>
      </c>
      <c r="G8" s="4">
        <v>10000</v>
      </c>
    </row>
    <row r="9" spans="2:7" ht="15">
      <c r="B9" s="376"/>
      <c r="C9" s="127">
        <v>0.5</v>
      </c>
      <c r="D9" s="127">
        <v>0.1</v>
      </c>
      <c r="E9" s="127">
        <v>0.1</v>
      </c>
      <c r="F9" s="127">
        <v>0.3</v>
      </c>
      <c r="G9" s="115">
        <v>1</v>
      </c>
    </row>
    <row r="10" spans="2:7" ht="15">
      <c r="B10" s="375" t="s">
        <v>200</v>
      </c>
      <c r="C10" s="18">
        <v>2500</v>
      </c>
      <c r="D10" s="18">
        <v>1800</v>
      </c>
      <c r="E10" s="18">
        <v>1700</v>
      </c>
      <c r="F10" s="18"/>
      <c r="G10" s="4">
        <v>6000</v>
      </c>
    </row>
    <row r="11" spans="2:7" ht="15">
      <c r="B11" s="376"/>
      <c r="C11" s="127">
        <v>0.417</v>
      </c>
      <c r="D11" s="127">
        <v>0.3</v>
      </c>
      <c r="E11" s="127">
        <v>0.283</v>
      </c>
      <c r="F11" s="127"/>
      <c r="G11" s="115">
        <v>1</v>
      </c>
    </row>
    <row r="12" ht="15"/>
    <row r="13" spans="2:7" ht="15">
      <c r="B13" s="76" t="s">
        <v>26</v>
      </c>
      <c r="C13" s="119" t="str">
        <f>+C7</f>
        <v>ANO X1</v>
      </c>
      <c r="D13" s="119" t="str">
        <f>+D7</f>
        <v>ANO X2</v>
      </c>
      <c r="E13" s="119" t="str">
        <f>+E7</f>
        <v>ANO X3</v>
      </c>
      <c r="F13" s="119" t="str">
        <f>+F7</f>
        <v>ANO X4</v>
      </c>
      <c r="G13" s="117" t="str">
        <f>+G7</f>
        <v>TOTAL</v>
      </c>
    </row>
    <row r="14" spans="2:7" ht="15">
      <c r="B14" s="5" t="s">
        <v>27</v>
      </c>
      <c r="C14" s="13">
        <f>+C8</f>
        <v>5000</v>
      </c>
      <c r="D14" s="13">
        <f>+D8</f>
        <v>1000</v>
      </c>
      <c r="E14" s="13">
        <f>+E8</f>
        <v>1000</v>
      </c>
      <c r="F14" s="13">
        <f>+F8</f>
        <v>3000</v>
      </c>
      <c r="G14" s="30">
        <f>+SUM(C14:F14)</f>
        <v>10000</v>
      </c>
    </row>
    <row r="15" spans="2:7" ht="15">
      <c r="B15" s="5" t="s">
        <v>28</v>
      </c>
      <c r="C15" s="13">
        <f>-C10</f>
        <v>-2500</v>
      </c>
      <c r="D15" s="13">
        <f>-D10</f>
        <v>-1800</v>
      </c>
      <c r="E15" s="13">
        <f>-E10</f>
        <v>-1700</v>
      </c>
      <c r="F15" s="13">
        <f>-F10</f>
        <v>0</v>
      </c>
      <c r="G15" s="30">
        <f>+SUM(C15:F15)</f>
        <v>-6000</v>
      </c>
    </row>
    <row r="16" spans="2:7" ht="15">
      <c r="B16" s="15" t="s">
        <v>201</v>
      </c>
      <c r="C16" s="16">
        <f>+SUM(C14:C15)</f>
        <v>2500</v>
      </c>
      <c r="D16" s="16">
        <f>+SUM(D14:D15)</f>
        <v>-800</v>
      </c>
      <c r="E16" s="16">
        <f>+SUM(E14:E15)</f>
        <v>-700</v>
      </c>
      <c r="F16" s="16">
        <f>+SUM(F14:F15)</f>
        <v>3000</v>
      </c>
      <c r="G16" s="118">
        <f>+SUM(G14:G15)</f>
        <v>4000</v>
      </c>
    </row>
    <row r="17" spans="2:7" ht="15">
      <c r="B17" s="130" t="s">
        <v>30</v>
      </c>
      <c r="C17" s="128">
        <v>10000</v>
      </c>
      <c r="D17" s="128">
        <f>+C18</f>
        <v>12500</v>
      </c>
      <c r="E17" s="128">
        <f>+D18</f>
        <v>11700</v>
      </c>
      <c r="F17" s="128">
        <f>+E18</f>
        <v>11000</v>
      </c>
      <c r="G17" s="129"/>
    </row>
    <row r="18" spans="2:7" ht="15">
      <c r="B18" s="131" t="s">
        <v>31</v>
      </c>
      <c r="C18" s="22">
        <f>+C17+C16</f>
        <v>12500</v>
      </c>
      <c r="D18" s="22">
        <f>+D17+D16</f>
        <v>11700</v>
      </c>
      <c r="E18" s="22">
        <f>+E17+E16</f>
        <v>11000</v>
      </c>
      <c r="F18" s="22">
        <f>+F17+F16</f>
        <v>14000</v>
      </c>
      <c r="G18" s="23"/>
    </row>
    <row r="19" ht="15"/>
    <row r="20" spans="2:7" ht="15">
      <c r="B20" s="116" t="s">
        <v>87</v>
      </c>
      <c r="C20" s="119" t="str">
        <f>+C13</f>
        <v>ANO X1</v>
      </c>
      <c r="D20" s="119" t="str">
        <f>+D13</f>
        <v>ANO X2</v>
      </c>
      <c r="E20" s="117" t="str">
        <f>+E13</f>
        <v>ANO X3</v>
      </c>
      <c r="F20" s="1"/>
      <c r="G20" s="1"/>
    </row>
    <row r="21" spans="2:7" ht="15">
      <c r="B21" s="5" t="s">
        <v>32</v>
      </c>
      <c r="C21" s="13">
        <v>0</v>
      </c>
      <c r="D21" s="13">
        <v>0</v>
      </c>
      <c r="E21" s="6">
        <f>+G8</f>
        <v>10000</v>
      </c>
      <c r="F21" s="1"/>
      <c r="G21" s="1"/>
    </row>
    <row r="22" spans="2:7" ht="30">
      <c r="B22" s="5" t="s">
        <v>202</v>
      </c>
      <c r="E22" s="6">
        <f>-G10</f>
        <v>-6000</v>
      </c>
      <c r="F22" s="1"/>
      <c r="G22" s="1"/>
    </row>
    <row r="23" spans="2:7" ht="15">
      <c r="B23" s="15" t="s">
        <v>34</v>
      </c>
      <c r="C23" s="16">
        <f>+SUM(C21:C22)</f>
        <v>0</v>
      </c>
      <c r="D23" s="16">
        <f>+SUM(D21:D22)</f>
        <v>0</v>
      </c>
      <c r="E23" s="118">
        <f>+SUM(E21:E22)</f>
        <v>4000</v>
      </c>
      <c r="F23" s="1"/>
      <c r="G23" s="1"/>
    </row>
    <row r="24" ht="15">
      <c r="G24" s="1"/>
    </row>
    <row r="25" spans="2:5" ht="15">
      <c r="B25" s="347" t="s">
        <v>38</v>
      </c>
      <c r="C25" s="368"/>
      <c r="D25" s="368"/>
      <c r="E25" s="348"/>
    </row>
    <row r="26" spans="2:5" ht="30">
      <c r="B26" s="116" t="s">
        <v>8</v>
      </c>
      <c r="C26" s="119" t="s">
        <v>203</v>
      </c>
      <c r="D26" s="119" t="s">
        <v>204</v>
      </c>
      <c r="E26" s="117" t="s">
        <v>205</v>
      </c>
    </row>
    <row r="27" spans="2:5" ht="15">
      <c r="B27" s="5" t="s">
        <v>39</v>
      </c>
      <c r="C27" s="13">
        <f>+C18</f>
        <v>12500</v>
      </c>
      <c r="D27" s="13">
        <f>+D18</f>
        <v>11700</v>
      </c>
      <c r="E27" s="6">
        <f>+E18</f>
        <v>11000</v>
      </c>
    </row>
    <row r="28" spans="2:5" ht="15">
      <c r="B28" s="5" t="s">
        <v>40</v>
      </c>
      <c r="C28" s="13">
        <v>0</v>
      </c>
      <c r="D28" s="13">
        <v>0</v>
      </c>
      <c r="E28" s="6">
        <f>+F14</f>
        <v>3000</v>
      </c>
    </row>
    <row r="29" spans="2:5" ht="30">
      <c r="B29" s="5" t="s">
        <v>206</v>
      </c>
      <c r="C29" s="13">
        <f>+C10</f>
        <v>2500</v>
      </c>
      <c r="D29" s="13">
        <f>+C29+D10</f>
        <v>4300</v>
      </c>
      <c r="E29" s="6">
        <f>+D29+E10+E22</f>
        <v>0</v>
      </c>
    </row>
    <row r="30" spans="2:5" ht="15">
      <c r="B30" s="15" t="s">
        <v>17</v>
      </c>
      <c r="C30" s="16">
        <f>SUM(C27:C29)</f>
        <v>15000</v>
      </c>
      <c r="D30" s="16">
        <f>SUM(D27:D29)</f>
        <v>16000</v>
      </c>
      <c r="E30" s="118">
        <f>SUM(E27:E29)</f>
        <v>14000</v>
      </c>
    </row>
    <row r="31" spans="2:5" ht="30">
      <c r="B31" s="116" t="s">
        <v>41</v>
      </c>
      <c r="C31" s="119" t="s">
        <v>203</v>
      </c>
      <c r="D31" s="119" t="s">
        <v>204</v>
      </c>
      <c r="E31" s="117" t="s">
        <v>205</v>
      </c>
    </row>
    <row r="32" spans="2:5" ht="30">
      <c r="B32" s="5" t="s">
        <v>207</v>
      </c>
      <c r="C32" s="13">
        <f>+C8</f>
        <v>5000</v>
      </c>
      <c r="D32" s="13">
        <f>+C32+D8</f>
        <v>6000</v>
      </c>
      <c r="E32" s="6">
        <f>+D32+E8-7000</f>
        <v>0</v>
      </c>
    </row>
    <row r="33" spans="2:5" ht="15">
      <c r="B33" s="5" t="s">
        <v>196</v>
      </c>
      <c r="C33" s="13">
        <v>10000</v>
      </c>
      <c r="D33" s="13">
        <v>10000</v>
      </c>
      <c r="E33" s="6">
        <v>10000</v>
      </c>
    </row>
    <row r="34" spans="2:5" ht="30">
      <c r="B34" s="5" t="s">
        <v>43</v>
      </c>
      <c r="C34" s="13">
        <f>+C23</f>
        <v>0</v>
      </c>
      <c r="D34" s="13">
        <f>+C34+D23</f>
        <v>0</v>
      </c>
      <c r="E34" s="6">
        <f>+D34+E23</f>
        <v>4000</v>
      </c>
    </row>
    <row r="35" spans="2:5" ht="15">
      <c r="B35" s="15" t="s">
        <v>17</v>
      </c>
      <c r="C35" s="16">
        <f>SUM(C32:C34)</f>
        <v>15000</v>
      </c>
      <c r="D35" s="16">
        <f>SUM(D32:D34)</f>
        <v>16000</v>
      </c>
      <c r="E35" s="118">
        <f>SUM(E32:E34)</f>
        <v>14000</v>
      </c>
    </row>
    <row r="36" ht="15"/>
    <row r="37" spans="2:5" ht="15">
      <c r="B37" s="116" t="s">
        <v>87</v>
      </c>
      <c r="C37" s="119" t="str">
        <f>+C20</f>
        <v>ANO X1</v>
      </c>
      <c r="D37" s="119" t="str">
        <f>+D20</f>
        <v>ANO X2</v>
      </c>
      <c r="E37" s="117" t="str">
        <f>+E20</f>
        <v>ANO X3</v>
      </c>
    </row>
    <row r="38" spans="2:5" ht="15">
      <c r="B38" s="5" t="s">
        <v>32</v>
      </c>
      <c r="C38" s="13">
        <f>+C11*$G$8</f>
        <v>4170</v>
      </c>
      <c r="D38" s="13">
        <f>+D11*$G$8</f>
        <v>3000</v>
      </c>
      <c r="E38" s="6">
        <f>+E11*$G$8</f>
        <v>2829.9999999999995</v>
      </c>
    </row>
    <row r="39" spans="2:5" ht="30">
      <c r="B39" s="5" t="s">
        <v>202</v>
      </c>
      <c r="C39" s="13">
        <f>-C10</f>
        <v>-2500</v>
      </c>
      <c r="D39" s="13">
        <f>-D10</f>
        <v>-1800</v>
      </c>
      <c r="E39" s="6">
        <f>-E10</f>
        <v>-1700</v>
      </c>
    </row>
    <row r="40" spans="2:5" ht="15">
      <c r="B40" s="15" t="s">
        <v>34</v>
      </c>
      <c r="C40" s="16">
        <f>+SUM(C38:C39)</f>
        <v>1670</v>
      </c>
      <c r="D40" s="16">
        <f>+SUM(D38:D39)</f>
        <v>1200</v>
      </c>
      <c r="E40" s="118">
        <f>+SUM(E38:E39)</f>
        <v>1129.9999999999995</v>
      </c>
    </row>
    <row r="42" spans="2:5" ht="15">
      <c r="B42" s="347" t="s">
        <v>38</v>
      </c>
      <c r="C42" s="368"/>
      <c r="D42" s="368"/>
      <c r="E42" s="348"/>
    </row>
    <row r="43" spans="2:5" ht="15">
      <c r="B43" s="116" t="s">
        <v>8</v>
      </c>
      <c r="C43" s="119" t="s">
        <v>203</v>
      </c>
      <c r="D43" s="119" t="s">
        <v>204</v>
      </c>
      <c r="E43" s="117" t="s">
        <v>205</v>
      </c>
    </row>
    <row r="44" spans="2:5" ht="15">
      <c r="B44" s="5" t="s">
        <v>39</v>
      </c>
      <c r="C44" s="13">
        <f>+C27</f>
        <v>12500</v>
      </c>
      <c r="D44" s="13">
        <f>+D27</f>
        <v>11700</v>
      </c>
      <c r="E44" s="6">
        <f>+E27</f>
        <v>11000</v>
      </c>
    </row>
    <row r="45" spans="2:5" ht="15">
      <c r="B45" s="5" t="s">
        <v>40</v>
      </c>
      <c r="C45" s="13">
        <v>0</v>
      </c>
      <c r="D45" s="13">
        <f>+D38-D8-C48</f>
        <v>1170</v>
      </c>
      <c r="E45" s="6">
        <f>+F8</f>
        <v>3000</v>
      </c>
    </row>
    <row r="46" spans="2:5" ht="15">
      <c r="B46" s="15" t="s">
        <v>17</v>
      </c>
      <c r="C46" s="16">
        <f>SUM(C44:C45)</f>
        <v>12500</v>
      </c>
      <c r="D46" s="16">
        <f>SUM(D44:D45)</f>
        <v>12870</v>
      </c>
      <c r="E46" s="118">
        <f>SUM(E44:E45)</f>
        <v>14000</v>
      </c>
    </row>
    <row r="47" spans="2:5" ht="15">
      <c r="B47" s="116" t="s">
        <v>41</v>
      </c>
      <c r="C47" s="119" t="s">
        <v>203</v>
      </c>
      <c r="D47" s="119" t="s">
        <v>204</v>
      </c>
      <c r="E47" s="117" t="s">
        <v>205</v>
      </c>
    </row>
    <row r="48" spans="2:5" ht="15">
      <c r="B48" s="5" t="s">
        <v>207</v>
      </c>
      <c r="C48" s="13">
        <f>+C8-C38</f>
        <v>830</v>
      </c>
      <c r="D48" s="13">
        <v>0</v>
      </c>
      <c r="E48" s="6">
        <v>0</v>
      </c>
    </row>
    <row r="49" spans="2:5" ht="15">
      <c r="B49" s="5" t="s">
        <v>196</v>
      </c>
      <c r="C49" s="13">
        <v>10000</v>
      </c>
      <c r="D49" s="13">
        <v>10000</v>
      </c>
      <c r="E49" s="6">
        <v>10000</v>
      </c>
    </row>
    <row r="50" spans="2:5" ht="15">
      <c r="B50" s="5" t="s">
        <v>43</v>
      </c>
      <c r="C50" s="13">
        <f>+C40</f>
        <v>1670</v>
      </c>
      <c r="D50" s="13">
        <f>+C50+D40</f>
        <v>2870</v>
      </c>
      <c r="E50" s="6">
        <f>+D50+E40</f>
        <v>3999.9999999999995</v>
      </c>
    </row>
    <row r="51" spans="2:5" ht="15">
      <c r="B51" s="15" t="s">
        <v>17</v>
      </c>
      <c r="C51" s="16">
        <f>SUM(C48:C50)</f>
        <v>12500</v>
      </c>
      <c r="D51" s="16">
        <f>SUM(D48:D50)</f>
        <v>12870</v>
      </c>
      <c r="E51" s="118">
        <f>SUM(E48:E50)</f>
        <v>14000</v>
      </c>
    </row>
  </sheetData>
  <sheetProtection/>
  <mergeCells count="6">
    <mergeCell ref="B42:E42"/>
    <mergeCell ref="B6:G6"/>
    <mergeCell ref="B2:C2"/>
    <mergeCell ref="B8:B9"/>
    <mergeCell ref="B10:B11"/>
    <mergeCell ref="B25:E25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Roni Cleber Bonizio</dc:creator>
  <cp:keywords/>
  <dc:description/>
  <cp:lastModifiedBy>leticia nascimento</cp:lastModifiedBy>
  <dcterms:created xsi:type="dcterms:W3CDTF">2015-02-25T01:04:14Z</dcterms:created>
  <dcterms:modified xsi:type="dcterms:W3CDTF">2015-06-12T14:17:25Z</dcterms:modified>
  <cp:category/>
  <cp:version/>
  <cp:contentType/>
  <cp:contentStatus/>
</cp:coreProperties>
</file>