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 Moura\Desktop\O Furão\"/>
    </mc:Choice>
  </mc:AlternateContent>
  <bookViews>
    <workbookView xWindow="0" yWindow="0" windowWidth="20490" windowHeight="7755"/>
  </bookViews>
  <sheets>
    <sheet name="Observações" sheetId="16" r:id="rId1"/>
    <sheet name="Preencher" sheetId="1" r:id="rId2"/>
    <sheet name="Resultados" sheetId="15" r:id="rId3"/>
    <sheet name="Cálculos" sheetId="13" r:id="rId4"/>
    <sheet name="DRE Atual" sheetId="1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4" l="1"/>
  <c r="D3" i="14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C18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C15" i="15"/>
  <c r="C12" i="15"/>
  <c r="C11" i="15"/>
  <c r="F49" i="13"/>
  <c r="F47" i="13"/>
  <c r="F46" i="13"/>
  <c r="E46" i="13"/>
  <c r="D46" i="13"/>
  <c r="C38" i="13"/>
  <c r="C37" i="13"/>
  <c r="C43" i="13"/>
  <c r="C42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K74" i="1"/>
  <c r="C26" i="13" s="1"/>
  <c r="C74" i="1"/>
  <c r="G72" i="1"/>
  <c r="G71" i="1"/>
  <c r="G78" i="1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C8" i="13"/>
  <c r="C27" i="14" l="1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B27" i="14"/>
  <c r="D7" i="14" s="1"/>
  <c r="D11" i="14"/>
  <c r="D5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D6" i="14" l="1"/>
  <c r="D8" i="14" s="1"/>
  <c r="D12" i="14" s="1"/>
  <c r="D15" i="14" s="1"/>
  <c r="D19" i="14" s="1"/>
  <c r="D89" i="1" l="1"/>
  <c r="G4" i="13" s="1"/>
  <c r="D90" i="1"/>
  <c r="D91" i="1"/>
  <c r="R4" i="13" s="1"/>
  <c r="D92" i="1"/>
  <c r="D93" i="1"/>
  <c r="D94" i="1"/>
  <c r="D95" i="1"/>
  <c r="D96" i="1"/>
  <c r="H89" i="1"/>
  <c r="L89" i="1"/>
  <c r="L90" i="1"/>
  <c r="L91" i="1"/>
  <c r="L92" i="1"/>
  <c r="T4" i="13" l="1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7" i="13"/>
  <c r="C16" i="13"/>
  <c r="C18" i="13" l="1"/>
  <c r="R6" i="13" l="1"/>
  <c r="R23" i="13" s="1"/>
  <c r="T6" i="13"/>
  <c r="T23" i="13" s="1"/>
  <c r="T24" i="13" s="1"/>
  <c r="S4" i="13"/>
  <c r="S6" i="13" s="1"/>
  <c r="S23" i="13" s="1"/>
  <c r="Q4" i="13"/>
  <c r="Q6" i="13" s="1"/>
  <c r="Q23" i="13" s="1"/>
  <c r="Q24" i="13" s="1"/>
  <c r="P4" i="13"/>
  <c r="P6" i="13" s="1"/>
  <c r="P23" i="13" s="1"/>
  <c r="P24" i="13" s="1"/>
  <c r="O4" i="13"/>
  <c r="O6" i="13" s="1"/>
  <c r="O23" i="13" s="1"/>
  <c r="N4" i="13"/>
  <c r="N6" i="13" s="1"/>
  <c r="N23" i="13" s="1"/>
  <c r="M4" i="13"/>
  <c r="M6" i="13" s="1"/>
  <c r="M23" i="13" s="1"/>
  <c r="M24" i="13" s="1"/>
  <c r="L4" i="13"/>
  <c r="L6" i="13" s="1"/>
  <c r="L23" i="13" s="1"/>
  <c r="L24" i="13" s="1"/>
  <c r="K4" i="13"/>
  <c r="K6" i="13" s="1"/>
  <c r="K23" i="13" s="1"/>
  <c r="J4" i="13"/>
  <c r="J6" i="13" s="1"/>
  <c r="J23" i="13" s="1"/>
  <c r="I4" i="13"/>
  <c r="I6" i="13" s="1"/>
  <c r="I23" i="13" s="1"/>
  <c r="I24" i="13" s="1"/>
  <c r="H4" i="13"/>
  <c r="H6" i="13" s="1"/>
  <c r="H23" i="13" s="1"/>
  <c r="H24" i="13" s="1"/>
  <c r="G6" i="13"/>
  <c r="G23" i="13" s="1"/>
  <c r="F4" i="13"/>
  <c r="F6" i="13" s="1"/>
  <c r="F23" i="13" s="1"/>
  <c r="E4" i="13"/>
  <c r="E6" i="13" s="1"/>
  <c r="E23" i="13" s="1"/>
  <c r="E24" i="13" s="1"/>
  <c r="D4" i="13"/>
  <c r="D6" i="13" s="1"/>
  <c r="D23" i="13" s="1"/>
  <c r="D24" i="13" s="1"/>
  <c r="C4" i="13"/>
  <c r="C6" i="13" s="1"/>
  <c r="C23" i="13" s="1"/>
  <c r="C24" i="13" s="1"/>
  <c r="D97" i="1"/>
  <c r="S7" i="13"/>
  <c r="S9" i="13" s="1"/>
  <c r="S22" i="13" s="1"/>
  <c r="F24" i="13" l="1"/>
  <c r="J24" i="13"/>
  <c r="N24" i="13"/>
  <c r="R24" i="13"/>
  <c r="G24" i="13"/>
  <c r="K24" i="13"/>
  <c r="O24" i="13"/>
  <c r="S24" i="13"/>
  <c r="K18" i="13"/>
  <c r="S18" i="13"/>
  <c r="E19" i="13"/>
  <c r="E31" i="13" s="1"/>
  <c r="M19" i="13"/>
  <c r="M31" i="13" s="1"/>
  <c r="G18" i="13"/>
  <c r="O18" i="13"/>
  <c r="I19" i="13"/>
  <c r="I31" i="13" s="1"/>
  <c r="Q19" i="13"/>
  <c r="Q31" i="13" s="1"/>
  <c r="D18" i="13"/>
  <c r="L18" i="13"/>
  <c r="T18" i="13"/>
  <c r="J19" i="13"/>
  <c r="J31" i="13" s="1"/>
  <c r="E18" i="13"/>
  <c r="I18" i="13"/>
  <c r="M18" i="13"/>
  <c r="Q18" i="13"/>
  <c r="C19" i="13"/>
  <c r="C31" i="13" s="1"/>
  <c r="G19" i="13"/>
  <c r="G31" i="13" s="1"/>
  <c r="K19" i="13"/>
  <c r="K31" i="13" s="1"/>
  <c r="O19" i="13"/>
  <c r="O31" i="13" s="1"/>
  <c r="S19" i="13"/>
  <c r="S31" i="13" s="1"/>
  <c r="H18" i="13"/>
  <c r="P18" i="13"/>
  <c r="F19" i="13"/>
  <c r="F31" i="13" s="1"/>
  <c r="N19" i="13"/>
  <c r="N31" i="13" s="1"/>
  <c r="R19" i="13"/>
  <c r="R31" i="13" s="1"/>
  <c r="F18" i="13"/>
  <c r="J18" i="13"/>
  <c r="N18" i="13"/>
  <c r="R18" i="13"/>
  <c r="D19" i="13"/>
  <c r="D31" i="13" s="1"/>
  <c r="H19" i="13"/>
  <c r="H31" i="13" s="1"/>
  <c r="L19" i="13"/>
  <c r="L31" i="13" s="1"/>
  <c r="P19" i="13"/>
  <c r="P31" i="13" s="1"/>
  <c r="T19" i="13"/>
  <c r="T31" i="13" s="1"/>
  <c r="Q25" i="13" l="1"/>
  <c r="F25" i="13"/>
  <c r="D25" i="13"/>
  <c r="K25" i="13"/>
  <c r="P25" i="13"/>
  <c r="N25" i="13"/>
  <c r="M25" i="13"/>
  <c r="R25" i="13"/>
  <c r="L25" i="13"/>
  <c r="O25" i="13"/>
  <c r="S25" i="13"/>
  <c r="I25" i="13"/>
  <c r="J25" i="13"/>
  <c r="H25" i="13"/>
  <c r="G25" i="13"/>
  <c r="C25" i="13"/>
  <c r="E25" i="13"/>
  <c r="T25" i="13"/>
  <c r="S27" i="13"/>
  <c r="S28" i="13" s="1"/>
  <c r="S32" i="13" s="1"/>
  <c r="D100" i="1"/>
  <c r="D107" i="1"/>
  <c r="D104" i="1"/>
  <c r="H100" i="1"/>
  <c r="L103" i="1"/>
  <c r="L102" i="1"/>
  <c r="L100" i="1"/>
  <c r="D105" i="1"/>
  <c r="D101" i="1"/>
  <c r="D103" i="1"/>
  <c r="D106" i="1"/>
  <c r="D102" i="1"/>
  <c r="L101" i="1"/>
  <c r="J92" i="1"/>
  <c r="J103" i="1" s="1"/>
  <c r="J91" i="1"/>
  <c r="J102" i="1" s="1"/>
  <c r="J90" i="1"/>
  <c r="J101" i="1" s="1"/>
  <c r="J89" i="1"/>
  <c r="J100" i="1" s="1"/>
  <c r="F89" i="1"/>
  <c r="F100" i="1" s="1"/>
  <c r="B96" i="1"/>
  <c r="B107" i="1" s="1"/>
  <c r="B95" i="1"/>
  <c r="B106" i="1" s="1"/>
  <c r="B94" i="1"/>
  <c r="B105" i="1" s="1"/>
  <c r="B93" i="1"/>
  <c r="B104" i="1" s="1"/>
  <c r="B92" i="1"/>
  <c r="B103" i="1" s="1"/>
  <c r="B91" i="1"/>
  <c r="B102" i="1" s="1"/>
  <c r="B90" i="1"/>
  <c r="B101" i="1" s="1"/>
  <c r="B89" i="1"/>
  <c r="B100" i="1" s="1"/>
  <c r="D7" i="13"/>
  <c r="D9" i="13" s="1"/>
  <c r="D22" i="13" s="1"/>
  <c r="K81" i="1"/>
  <c r="K7" i="13" s="1"/>
  <c r="K9" i="13" s="1"/>
  <c r="K22" i="13" s="1"/>
  <c r="K79" i="1"/>
  <c r="I7" i="13" s="1"/>
  <c r="I9" i="13" s="1"/>
  <c r="I22" i="13" s="1"/>
  <c r="K78" i="1"/>
  <c r="H7" i="13" s="1"/>
  <c r="H9" i="13" s="1"/>
  <c r="H22" i="13" s="1"/>
  <c r="C85" i="1"/>
  <c r="C7" i="13" s="1"/>
  <c r="C9" i="13" s="1"/>
  <c r="C22" i="13" s="1"/>
  <c r="C84" i="1"/>
  <c r="Q7" i="13" s="1"/>
  <c r="Q9" i="13" s="1"/>
  <c r="Q22" i="13" s="1"/>
  <c r="C81" i="1"/>
  <c r="O7" i="13" s="1"/>
  <c r="O9" i="13" s="1"/>
  <c r="O22" i="13" s="1"/>
  <c r="C80" i="1"/>
  <c r="P7" i="13" s="1"/>
  <c r="P9" i="13" s="1"/>
  <c r="P22" i="13" s="1"/>
  <c r="C78" i="1"/>
  <c r="K27" i="13" l="1"/>
  <c r="K28" i="13" s="1"/>
  <c r="K32" i="13" s="1"/>
  <c r="D27" i="13"/>
  <c r="D28" i="13" s="1"/>
  <c r="D32" i="13" s="1"/>
  <c r="Q27" i="13"/>
  <c r="Q28" i="13" s="1"/>
  <c r="Q32" i="13" s="1"/>
  <c r="P27" i="13"/>
  <c r="P28" i="13" s="1"/>
  <c r="P32" i="13" s="1"/>
  <c r="I27" i="13"/>
  <c r="I28" i="13" s="1"/>
  <c r="I32" i="13" s="1"/>
  <c r="H27" i="13"/>
  <c r="H28" i="13" s="1"/>
  <c r="H32" i="13" s="1"/>
  <c r="C27" i="13"/>
  <c r="C28" i="13" s="1"/>
  <c r="C32" i="13" s="1"/>
  <c r="O27" i="13"/>
  <c r="O28" i="13" s="1"/>
  <c r="O32" i="13" s="1"/>
  <c r="G7" i="13"/>
  <c r="G9" i="13" s="1"/>
  <c r="G22" i="13" s="1"/>
  <c r="G27" i="13" s="1"/>
  <c r="G28" i="13" s="1"/>
  <c r="G32" i="13" s="1"/>
  <c r="F7" i="13"/>
  <c r="F9" i="13" s="1"/>
  <c r="F22" i="13" s="1"/>
  <c r="F27" i="13" s="1"/>
  <c r="F28" i="13" s="1"/>
  <c r="F32" i="13" s="1"/>
  <c r="E7" i="13"/>
  <c r="E9" i="13" s="1"/>
  <c r="E22" i="13" s="1"/>
  <c r="E27" i="13" s="1"/>
  <c r="E28" i="13" s="1"/>
  <c r="E32" i="13" s="1"/>
  <c r="K23" i="1" l="1"/>
  <c r="K80" i="1" s="1"/>
  <c r="J7" i="13" s="1"/>
  <c r="J9" i="13" s="1"/>
  <c r="J22" i="13" s="1"/>
  <c r="J27" i="13" s="1"/>
  <c r="J28" i="13" s="1"/>
  <c r="J32" i="13" s="1"/>
  <c r="C26" i="1"/>
  <c r="C20" i="1"/>
  <c r="C28" i="1" l="1"/>
  <c r="C83" i="1" s="1"/>
  <c r="M7" i="13" s="1"/>
  <c r="M9" i="13" s="1"/>
  <c r="M22" i="13" s="1"/>
  <c r="M27" i="13" s="1"/>
  <c r="M28" i="13" s="1"/>
  <c r="M32" i="13" s="1"/>
  <c r="C82" i="1"/>
  <c r="L7" i="13" s="1"/>
  <c r="L9" i="13" s="1"/>
  <c r="L22" i="13" s="1"/>
  <c r="L27" i="13" s="1"/>
  <c r="L28" i="13" s="1"/>
  <c r="L32" i="13" s="1"/>
  <c r="R7" i="13"/>
  <c r="R9" i="13" s="1"/>
  <c r="R22" i="13" s="1"/>
  <c r="R27" i="13" s="1"/>
  <c r="R28" i="13" s="1"/>
  <c r="R32" i="13" s="1"/>
  <c r="T7" i="13"/>
  <c r="T9" i="13" s="1"/>
  <c r="T22" i="13" s="1"/>
  <c r="T27" i="13" s="1"/>
  <c r="T28" i="13" s="1"/>
  <c r="T32" i="13" s="1"/>
  <c r="C79" i="1"/>
  <c r="N7" i="13" s="1"/>
  <c r="N9" i="13" s="1"/>
  <c r="N22" i="13" s="1"/>
  <c r="N27" i="13" s="1"/>
  <c r="N28" i="13" s="1"/>
  <c r="N32" i="13" s="1"/>
  <c r="C33" i="13" l="1"/>
  <c r="C47" i="13" l="1"/>
  <c r="O47" i="13" s="1"/>
  <c r="C46" i="13"/>
  <c r="C49" i="13"/>
  <c r="T49" i="13" s="1"/>
  <c r="C50" i="13"/>
  <c r="M50" i="13" s="1"/>
  <c r="S47" i="13"/>
  <c r="K47" i="13"/>
  <c r="L47" i="13"/>
  <c r="G47" i="13" l="1"/>
  <c r="R47" i="13"/>
  <c r="I47" i="13"/>
  <c r="H47" i="13"/>
  <c r="T47" i="13"/>
  <c r="N47" i="13"/>
  <c r="P47" i="13"/>
  <c r="E47" i="13"/>
  <c r="U47" i="13"/>
  <c r="M47" i="13"/>
  <c r="J47" i="13"/>
  <c r="Q47" i="13"/>
  <c r="D47" i="13"/>
  <c r="I49" i="13"/>
  <c r="R50" i="13"/>
  <c r="O46" i="13"/>
  <c r="R49" i="13"/>
  <c r="H49" i="13"/>
  <c r="U46" i="13"/>
  <c r="K49" i="13"/>
  <c r="S49" i="13"/>
  <c r="J46" i="13"/>
  <c r="D49" i="13"/>
  <c r="U49" i="13"/>
  <c r="I46" i="13"/>
  <c r="P50" i="13"/>
  <c r="E50" i="13"/>
  <c r="P46" i="13"/>
  <c r="O50" i="13"/>
  <c r="Q49" i="13"/>
  <c r="G49" i="13"/>
  <c r="S46" i="13"/>
  <c r="G46" i="13"/>
  <c r="O49" i="13"/>
  <c r="M46" i="13"/>
  <c r="R46" i="13"/>
  <c r="M49" i="13"/>
  <c r="P49" i="13"/>
  <c r="J49" i="13"/>
  <c r="T46" i="13"/>
  <c r="H46" i="13"/>
  <c r="Q46" i="13"/>
  <c r="N46" i="13"/>
  <c r="L49" i="13"/>
  <c r="N49" i="13"/>
  <c r="L46" i="13"/>
  <c r="K46" i="13"/>
  <c r="U50" i="13"/>
  <c r="H50" i="13"/>
  <c r="E49" i="13"/>
  <c r="D50" i="13"/>
  <c r="L50" i="13"/>
  <c r="N50" i="13"/>
  <c r="K50" i="13"/>
  <c r="T50" i="13"/>
  <c r="I50" i="13"/>
  <c r="S50" i="13"/>
  <c r="G50" i="13"/>
  <c r="J50" i="13"/>
  <c r="F50" i="13"/>
  <c r="Q50" i="13"/>
</calcChain>
</file>

<file path=xl/sharedStrings.xml><?xml version="1.0" encoding="utf-8"?>
<sst xmlns="http://schemas.openxmlformats.org/spreadsheetml/2006/main" count="272" uniqueCount="150">
  <si>
    <t>gordura vegetal hidrogenada</t>
  </si>
  <si>
    <t>composto lácteo</t>
  </si>
  <si>
    <t>canela e erva doce</t>
  </si>
  <si>
    <t>ovos</t>
  </si>
  <si>
    <t>sal</t>
  </si>
  <si>
    <t>água</t>
  </si>
  <si>
    <t>Tradicional (3,320Kg)</t>
  </si>
  <si>
    <t>queijo (3,6Kg)</t>
  </si>
  <si>
    <t>Alho (3,42Kg)</t>
  </si>
  <si>
    <t>cebola e salsa (3,320Kg)</t>
  </si>
  <si>
    <t>doce (3,9Kg)</t>
  </si>
  <si>
    <t>chocolate (4,2Kg)</t>
  </si>
  <si>
    <t>gergelim (3,6Kg)</t>
  </si>
  <si>
    <t>batatinha (3,320Kg)</t>
  </si>
  <si>
    <t>Mineiro (3,9Kg)</t>
  </si>
  <si>
    <t>palvilho azedo e doce</t>
  </si>
  <si>
    <t>gema</t>
  </si>
  <si>
    <t>ovos integrais</t>
  </si>
  <si>
    <t>Caseiro</t>
  </si>
  <si>
    <t>polvilho azedo e doce</t>
  </si>
  <si>
    <t>farinha de trigo</t>
  </si>
  <si>
    <t>Ervas Finas</t>
  </si>
  <si>
    <t>Bacon</t>
  </si>
  <si>
    <t>Energia</t>
  </si>
  <si>
    <t/>
  </si>
  <si>
    <t>Caseiro (3,8Kg)</t>
  </si>
  <si>
    <t>Ervas Finas (3,88Kg)</t>
  </si>
  <si>
    <t>Picante+Ervas Finas (3,89Kg)</t>
  </si>
  <si>
    <t>Bacon (3,9Kg)</t>
  </si>
  <si>
    <t>Embalagens</t>
  </si>
  <si>
    <t>Embalagem + etiqueta</t>
  </si>
  <si>
    <t>Aluguel + IPTU</t>
  </si>
  <si>
    <t>Depreciação</t>
  </si>
  <si>
    <t>Contador</t>
  </si>
  <si>
    <t>Telefone</t>
  </si>
  <si>
    <t>Material de Limpeza</t>
  </si>
  <si>
    <t>Manutenção</t>
  </si>
  <si>
    <t>Lenha</t>
  </si>
  <si>
    <t>Telefone Celular</t>
  </si>
  <si>
    <t>Telefone Fixo</t>
  </si>
  <si>
    <t>INSS</t>
  </si>
  <si>
    <t>INSS Marina (Filha)</t>
  </si>
  <si>
    <t>Simples Nacional</t>
  </si>
  <si>
    <t>Tradicional</t>
  </si>
  <si>
    <t>Alho</t>
  </si>
  <si>
    <t>Mineiro</t>
  </si>
  <si>
    <t>Manutenção Carro</t>
  </si>
  <si>
    <t>Polvilho Azedo</t>
  </si>
  <si>
    <t>Tradicional 60g</t>
  </si>
  <si>
    <t>Custo para 1kg</t>
  </si>
  <si>
    <t>Queijo</t>
  </si>
  <si>
    <t>Cebola e salsa</t>
  </si>
  <si>
    <t>Doce</t>
  </si>
  <si>
    <t>Chocolate</t>
  </si>
  <si>
    <t>Gergelim</t>
  </si>
  <si>
    <t>Batatinha</t>
  </si>
  <si>
    <t>Picante+Ervas Finas</t>
  </si>
  <si>
    <t>Tradicional 80g</t>
  </si>
  <si>
    <t>Tradicional revendedor</t>
  </si>
  <si>
    <t>Caseiro 80g</t>
  </si>
  <si>
    <t>Caseiro Ervas Finas 80g</t>
  </si>
  <si>
    <t>Caseiro Picante 80g</t>
  </si>
  <si>
    <t>Caseiro Bacon 80g</t>
  </si>
  <si>
    <t>Doce 60g</t>
  </si>
  <si>
    <t>Chocolate 60g</t>
  </si>
  <si>
    <t>Queijo 60g</t>
  </si>
  <si>
    <t>Cebola 60g</t>
  </si>
  <si>
    <t>Alho 60g</t>
  </si>
  <si>
    <t>Gergelim 60g</t>
  </si>
  <si>
    <t>Biscoitos diversos 40g</t>
  </si>
  <si>
    <t>Biscoitos tradicionais 120g</t>
  </si>
  <si>
    <t>Biscoitos por Kilo</t>
  </si>
  <si>
    <t>Custo de Matéria Prima</t>
  </si>
  <si>
    <t>Mineiro 60g</t>
  </si>
  <si>
    <t>Batatinha 60g</t>
  </si>
  <si>
    <t>Embalagem</t>
  </si>
  <si>
    <t>Produção</t>
  </si>
  <si>
    <t>1/produção</t>
  </si>
  <si>
    <t>%</t>
  </si>
  <si>
    <t>Vendas</t>
  </si>
  <si>
    <t>CUSTOS VARIAVEIS</t>
  </si>
  <si>
    <t>Pró-Labore e Imposto</t>
  </si>
  <si>
    <t>Gás</t>
  </si>
  <si>
    <t>Salário Marina (Filha)</t>
  </si>
  <si>
    <t>Combústivel</t>
  </si>
  <si>
    <t>Licença Código de Barras</t>
  </si>
  <si>
    <t>Café</t>
  </si>
  <si>
    <t>Substituição Tributária</t>
  </si>
  <si>
    <t>Material de Expediente</t>
  </si>
  <si>
    <t>TLIF</t>
  </si>
  <si>
    <t>Água</t>
  </si>
  <si>
    <t>Inmetro</t>
  </si>
  <si>
    <t>Detetização e Limpeza de Caixa D'Água</t>
  </si>
  <si>
    <t>CETESB</t>
  </si>
  <si>
    <t>Custos de Matéria Prima + embalagem</t>
  </si>
  <si>
    <t>Rateio Custos Variáveis</t>
  </si>
  <si>
    <t>Total</t>
  </si>
  <si>
    <t>Margem de Contribuição</t>
  </si>
  <si>
    <t>Gramas</t>
  </si>
  <si>
    <t>MP + Embalagem</t>
  </si>
  <si>
    <t>Jan</t>
  </si>
  <si>
    <t>Fev</t>
  </si>
  <si>
    <t>Mar</t>
  </si>
  <si>
    <t>Preço Médio</t>
  </si>
  <si>
    <t>Custos Variáveis</t>
  </si>
  <si>
    <t>Tempo de produção 1Kg</t>
  </si>
  <si>
    <t>Tempo total de produção</t>
  </si>
  <si>
    <t>Impostos</t>
  </si>
  <si>
    <t>Soma</t>
  </si>
  <si>
    <t>Mix ideal de Produtos</t>
  </si>
  <si>
    <t>MC Média</t>
  </si>
  <si>
    <t>Total Mensal</t>
  </si>
  <si>
    <t>Total Anual</t>
  </si>
  <si>
    <t>Total mensal Economico</t>
  </si>
  <si>
    <t>Total anual Economico</t>
  </si>
  <si>
    <t>Lucro mínimo desejado mensal</t>
  </si>
  <si>
    <t>Pró-labore desejado mensal</t>
  </si>
  <si>
    <t>PONTO DE EQUILÍBRIO CONTÁBIL</t>
  </si>
  <si>
    <t>Unidades por Mês</t>
  </si>
  <si>
    <t>Unidades por Ano</t>
  </si>
  <si>
    <t>PONTO DE EQUILÍBRIO Econômico</t>
  </si>
  <si>
    <t>MC Média por unidade</t>
  </si>
  <si>
    <t>Gastos fixos</t>
  </si>
  <si>
    <t>Tempo de produção unitário</t>
  </si>
  <si>
    <t>Receita Bruta</t>
  </si>
  <si>
    <t>(-)Deduções de Receita Bruta</t>
  </si>
  <si>
    <t>(-)Impostos</t>
  </si>
  <si>
    <t>(=)Receita Líquida</t>
  </si>
  <si>
    <t>(-)Custo de Bens e produção</t>
  </si>
  <si>
    <t>(=)Resultado Bruto</t>
  </si>
  <si>
    <t>Custos fixos</t>
  </si>
  <si>
    <t>(-)Gerais e Administrativas</t>
  </si>
  <si>
    <t>(=) Resultados antes dos Juros e Tributos</t>
  </si>
  <si>
    <t>(+)Receitas Financeiras</t>
  </si>
  <si>
    <t>(-)Despesas Financeiras</t>
  </si>
  <si>
    <t>(=) Resultado Operacional</t>
  </si>
  <si>
    <t>(-)Resultado Não Operacional</t>
  </si>
  <si>
    <t>(+)Receitas Não Operacionais</t>
  </si>
  <si>
    <t>(-)Despesas Não Operacionais</t>
  </si>
  <si>
    <t>(=) Resultado Líquido</t>
  </si>
  <si>
    <t>Total R$</t>
  </si>
  <si>
    <t>Média de Produção</t>
  </si>
  <si>
    <t>Resultado (Kg)</t>
  </si>
  <si>
    <t>Faturamento Necessário</t>
  </si>
  <si>
    <t>DRE ATUAL</t>
  </si>
  <si>
    <t>Existem três possibilidades de escolha de grupos de produtos, manter todos os produtos, utilizar apenas os produtos do grupo A ou manter os produtos do grupo A e B.</t>
  </si>
  <si>
    <t>Utilizar apenas o grupo A não é interessante, visto que a quantidade de vendas necessárias cresce significativamente</t>
  </si>
  <si>
    <t>Utilizar o grupo A e B se mostrou mais interessante, visto que os produtos do grupo C mostraram pouca rentabilidade e pouca capacidade de vendas, poupando a empresa de despender mais tempo em produção de diversos produtos</t>
  </si>
  <si>
    <t>Atualmente, com a emição de nota fiscal para todas as vendas, R$2000,00 de pró-labore e R$1000,00 de lucro, haveria um prejuízo mensal de aproximadamento R$800,00, demonstrando que as vendas atuais não suprem todos os custos</t>
  </si>
  <si>
    <t>Tendo em vista isso, duas possibilidades são possíveis, a de aumentar a precificação dos produtos ou a de cortar custos e aumentar a produtividade. Considerando que aumentar a precificação não é uma alternativa viável, cortar custos e aumentar a produtividade se tornam necessários.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</si>
</sst>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E8E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2">
    <xf numFmtId="0" fontId="0" fillId="0" borderId="0" xfId="0"/>
    <xf numFmtId="164" fontId="0" fillId="0" borderId="0" xfId="0" applyNumberFormat="1"/>
    <xf numFmtId="0" fontId="1" fillId="2" borderId="7" xfId="0" applyFont="1" applyFill="1" applyBorder="1" applyAlignment="1">
      <alignment horizontal="center"/>
    </xf>
    <xf numFmtId="0" fontId="0" fillId="3" borderId="3" xfId="0" applyFill="1" applyBorder="1"/>
    <xf numFmtId="164" fontId="0" fillId="3" borderId="4" xfId="0" applyNumberFormat="1" applyFill="1" applyBorder="1"/>
    <xf numFmtId="0" fontId="0" fillId="4" borderId="3" xfId="0" applyFill="1" applyBorder="1"/>
    <xf numFmtId="164" fontId="0" fillId="4" borderId="4" xfId="0" applyNumberFormat="1" applyFill="1" applyBorder="1"/>
    <xf numFmtId="0" fontId="0" fillId="3" borderId="1" xfId="0" applyFill="1" applyBorder="1"/>
    <xf numFmtId="164" fontId="0" fillId="3" borderId="2" xfId="0" applyNumberFormat="1" applyFill="1" applyBorder="1"/>
    <xf numFmtId="0" fontId="0" fillId="3" borderId="5" xfId="0" applyFill="1" applyBorder="1"/>
    <xf numFmtId="164" fontId="0" fillId="3" borderId="6" xfId="0" applyNumberFormat="1" applyFill="1" applyBorder="1"/>
    <xf numFmtId="164" fontId="0" fillId="3" borderId="8" xfId="0" applyNumberFormat="1" applyFill="1" applyBorder="1"/>
    <xf numFmtId="0" fontId="0" fillId="4" borderId="5" xfId="0" applyFill="1" applyBorder="1"/>
    <xf numFmtId="0" fontId="0" fillId="0" borderId="0" xfId="0" quotePrefix="1"/>
    <xf numFmtId="0" fontId="0" fillId="3" borderId="7" xfId="0" applyFill="1" applyBorder="1"/>
    <xf numFmtId="0" fontId="0" fillId="0" borderId="11" xfId="0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22" xfId="0" applyBorder="1"/>
    <xf numFmtId="44" fontId="0" fillId="0" borderId="22" xfId="0" applyNumberFormat="1" applyBorder="1"/>
    <xf numFmtId="44" fontId="0" fillId="0" borderId="2" xfId="0" applyNumberFormat="1" applyBorder="1"/>
    <xf numFmtId="44" fontId="0" fillId="0" borderId="4" xfId="0" applyNumberFormat="1" applyBorder="1"/>
    <xf numFmtId="0" fontId="0" fillId="0" borderId="1" xfId="0" applyBorder="1" applyAlignment="1">
      <alignment horizontal="center" vertical="center" wrapText="1"/>
    </xf>
    <xf numFmtId="44" fontId="0" fillId="0" borderId="19" xfId="0" applyNumberFormat="1" applyBorder="1"/>
    <xf numFmtId="0" fontId="0" fillId="0" borderId="3" xfId="0" applyBorder="1" applyAlignment="1">
      <alignment horizontal="center" vertical="center" wrapText="1"/>
    </xf>
    <xf numFmtId="44" fontId="0" fillId="0" borderId="20" xfId="0" applyNumberFormat="1" applyBorder="1"/>
    <xf numFmtId="164" fontId="0" fillId="0" borderId="22" xfId="0" applyNumberFormat="1" applyBorder="1"/>
    <xf numFmtId="2" fontId="0" fillId="0" borderId="22" xfId="0" applyNumberFormat="1" applyBorder="1"/>
    <xf numFmtId="0" fontId="0" fillId="0" borderId="21" xfId="0" applyBorder="1"/>
    <xf numFmtId="2" fontId="0" fillId="0" borderId="21" xfId="0" applyNumberFormat="1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16" xfId="0" applyBorder="1"/>
    <xf numFmtId="10" fontId="0" fillId="0" borderId="2" xfId="0" applyNumberFormat="1" applyBorder="1"/>
    <xf numFmtId="10" fontId="0" fillId="0" borderId="8" xfId="0" applyNumberFormat="1" applyBorder="1"/>
    <xf numFmtId="10" fontId="0" fillId="0" borderId="29" xfId="0" applyNumberFormat="1" applyBorder="1"/>
    <xf numFmtId="10" fontId="0" fillId="0" borderId="4" xfId="0" applyNumberFormat="1" applyBorder="1"/>
    <xf numFmtId="10" fontId="0" fillId="0" borderId="6" xfId="0" applyNumberFormat="1" applyBorder="1"/>
    <xf numFmtId="0" fontId="0" fillId="0" borderId="22" xfId="0" applyBorder="1" applyAlignment="1">
      <alignment horizontal="center" vertical="center" wrapText="1"/>
    </xf>
    <xf numFmtId="10" fontId="0" fillId="3" borderId="4" xfId="2" applyNumberFormat="1" applyFont="1" applyFill="1" applyBorder="1"/>
    <xf numFmtId="10" fontId="0" fillId="4" borderId="4" xfId="2" applyNumberFormat="1" applyFont="1" applyFill="1" applyBorder="1"/>
    <xf numFmtId="10" fontId="0" fillId="0" borderId="22" xfId="0" applyNumberFormat="1" applyBorder="1"/>
    <xf numFmtId="2" fontId="0" fillId="0" borderId="22" xfId="0" applyNumberFormat="1" applyBorder="1" applyAlignment="1">
      <alignment horizontal="center" vertical="center" wrapText="1"/>
    </xf>
    <xf numFmtId="2" fontId="0" fillId="0" borderId="0" xfId="0" applyNumberFormat="1"/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0" fillId="0" borderId="3" xfId="0" applyNumberFormat="1" applyBorder="1"/>
    <xf numFmtId="2" fontId="0" fillId="0" borderId="3" xfId="0" applyNumberFormat="1" applyBorder="1"/>
    <xf numFmtId="2" fontId="0" fillId="0" borderId="4" xfId="0" applyNumberFormat="1" applyBorder="1"/>
    <xf numFmtId="10" fontId="0" fillId="0" borderId="3" xfId="0" applyNumberFormat="1" applyBorder="1"/>
    <xf numFmtId="10" fontId="0" fillId="0" borderId="5" xfId="0" applyNumberFormat="1" applyBorder="1"/>
    <xf numFmtId="10" fontId="0" fillId="0" borderId="20" xfId="0" applyNumberFormat="1" applyBorder="1"/>
    <xf numFmtId="0" fontId="0" fillId="0" borderId="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37" xfId="0" applyBorder="1"/>
    <xf numFmtId="0" fontId="0" fillId="0" borderId="23" xfId="0" applyBorder="1"/>
    <xf numFmtId="0" fontId="0" fillId="0" borderId="24" xfId="0" applyBorder="1" applyAlignment="1">
      <alignment wrapText="1"/>
    </xf>
    <xf numFmtId="44" fontId="0" fillId="0" borderId="1" xfId="0" applyNumberFormat="1" applyBorder="1"/>
    <xf numFmtId="0" fontId="0" fillId="0" borderId="41" xfId="0" applyBorder="1" applyAlignment="1">
      <alignment horizontal="center" vertical="center" wrapText="1"/>
    </xf>
    <xf numFmtId="44" fontId="0" fillId="0" borderId="43" xfId="0" applyNumberFormat="1" applyBorder="1"/>
    <xf numFmtId="44" fontId="0" fillId="0" borderId="44" xfId="0" applyNumberFormat="1" applyBorder="1"/>
    <xf numFmtId="2" fontId="0" fillId="0" borderId="5" xfId="0" applyNumberFormat="1" applyBorder="1"/>
    <xf numFmtId="2" fontId="0" fillId="0" borderId="20" xfId="0" applyNumberFormat="1" applyBorder="1"/>
    <xf numFmtId="2" fontId="0" fillId="0" borderId="6" xfId="0" applyNumberFormat="1" applyBorder="1"/>
    <xf numFmtId="10" fontId="0" fillId="0" borderId="19" xfId="0" applyNumberFormat="1" applyBorder="1"/>
    <xf numFmtId="2" fontId="0" fillId="0" borderId="27" xfId="0" applyNumberFormat="1" applyBorder="1"/>
    <xf numFmtId="2" fontId="0" fillId="0" borderId="12" xfId="0" applyNumberFormat="1" applyFill="1" applyBorder="1"/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44" fontId="0" fillId="0" borderId="45" xfId="0" applyNumberFormat="1" applyBorder="1"/>
    <xf numFmtId="0" fontId="0" fillId="0" borderId="7" xfId="0" applyFill="1" applyBorder="1"/>
    <xf numFmtId="44" fontId="0" fillId="0" borderId="8" xfId="0" applyNumberFormat="1" applyBorder="1"/>
    <xf numFmtId="0" fontId="1" fillId="0" borderId="7" xfId="0" applyFont="1" applyFill="1" applyBorder="1"/>
    <xf numFmtId="44" fontId="1" fillId="0" borderId="28" xfId="0" applyNumberFormat="1" applyFont="1" applyBorder="1"/>
    <xf numFmtId="44" fontId="1" fillId="0" borderId="8" xfId="0" applyNumberFormat="1" applyFont="1" applyBorder="1"/>
    <xf numFmtId="0" fontId="1" fillId="0" borderId="13" xfId="0" applyFont="1" applyBorder="1"/>
    <xf numFmtId="44" fontId="1" fillId="0" borderId="7" xfId="0" applyNumberFormat="1" applyFont="1" applyBorder="1"/>
    <xf numFmtId="0" fontId="0" fillId="6" borderId="22" xfId="0" applyFill="1" applyBorder="1"/>
    <xf numFmtId="0" fontId="1" fillId="5" borderId="22" xfId="0" applyFont="1" applyFill="1" applyBorder="1"/>
    <xf numFmtId="0" fontId="0" fillId="7" borderId="46" xfId="0" applyFont="1" applyFill="1" applyBorder="1"/>
    <xf numFmtId="44" fontId="0" fillId="6" borderId="47" xfId="0" applyNumberFormat="1" applyFont="1" applyFill="1" applyBorder="1" applyAlignment="1"/>
    <xf numFmtId="0" fontId="1" fillId="5" borderId="1" xfId="0" applyFont="1" applyFill="1" applyBorder="1" applyAlignment="1">
      <alignment horizontal="center"/>
    </xf>
    <xf numFmtId="44" fontId="0" fillId="0" borderId="6" xfId="0" applyNumberFormat="1" applyBorder="1"/>
    <xf numFmtId="0" fontId="0" fillId="0" borderId="45" xfId="0" applyBorder="1"/>
    <xf numFmtId="2" fontId="0" fillId="0" borderId="36" xfId="0" applyNumberFormat="1" applyBorder="1"/>
    <xf numFmtId="2" fontId="0" fillId="0" borderId="31" xfId="0" applyNumberFormat="1" applyBorder="1"/>
    <xf numFmtId="2" fontId="0" fillId="0" borderId="42" xfId="0" applyNumberFormat="1" applyBorder="1"/>
    <xf numFmtId="2" fontId="0" fillId="0" borderId="43" xfId="0" applyNumberFormat="1" applyBorder="1"/>
    <xf numFmtId="2" fontId="0" fillId="0" borderId="44" xfId="0" applyNumberFormat="1" applyBorder="1"/>
    <xf numFmtId="0" fontId="0" fillId="0" borderId="5" xfId="0" applyBorder="1"/>
    <xf numFmtId="0" fontId="0" fillId="0" borderId="5" xfId="0" applyBorder="1"/>
    <xf numFmtId="0" fontId="0" fillId="0" borderId="3" xfId="0" applyBorder="1"/>
    <xf numFmtId="0" fontId="0" fillId="0" borderId="22" xfId="0" applyBorder="1"/>
    <xf numFmtId="0" fontId="1" fillId="8" borderId="16" xfId="0" applyFont="1" applyFill="1" applyBorder="1"/>
    <xf numFmtId="0" fontId="5" fillId="0" borderId="50" xfId="0" applyFont="1" applyFill="1" applyBorder="1" applyAlignment="1">
      <alignment horizontal="left"/>
    </xf>
    <xf numFmtId="0" fontId="1" fillId="0" borderId="50" xfId="0" applyFont="1" applyFill="1" applyBorder="1"/>
    <xf numFmtId="0" fontId="1" fillId="8" borderId="50" xfId="0" applyFont="1" applyFill="1" applyBorder="1"/>
    <xf numFmtId="0" fontId="5" fillId="0" borderId="50" xfId="0" applyFont="1" applyFill="1" applyBorder="1"/>
    <xf numFmtId="0" fontId="1" fillId="8" borderId="51" xfId="0" applyFont="1" applyFill="1" applyBorder="1"/>
    <xf numFmtId="44" fontId="1" fillId="8" borderId="16" xfId="1" applyFont="1" applyFill="1" applyBorder="1" applyAlignment="1">
      <alignment horizontal="center"/>
    </xf>
    <xf numFmtId="44" fontId="1" fillId="0" borderId="50" xfId="1" applyFont="1" applyFill="1" applyBorder="1" applyAlignment="1">
      <alignment horizontal="center"/>
    </xf>
    <xf numFmtId="44" fontId="1" fillId="8" borderId="50" xfId="1" applyFont="1" applyFill="1" applyBorder="1" applyAlignment="1">
      <alignment horizontal="center"/>
    </xf>
    <xf numFmtId="44" fontId="1" fillId="8" borderId="51" xfId="1" applyFont="1" applyFill="1" applyBorder="1" applyAlignment="1">
      <alignment horizontal="center"/>
    </xf>
    <xf numFmtId="44" fontId="0" fillId="0" borderId="0" xfId="0" applyNumberFormat="1" applyBorder="1" applyAlignment="1">
      <alignment horizontal="center" vertical="center" wrapText="1"/>
    </xf>
    <xf numFmtId="44" fontId="0" fillId="0" borderId="0" xfId="0" applyNumberFormat="1" applyBorder="1"/>
    <xf numFmtId="44" fontId="0" fillId="0" borderId="22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4" fontId="0" fillId="0" borderId="22" xfId="0" applyNumberFormat="1" applyFill="1" applyBorder="1"/>
    <xf numFmtId="2" fontId="0" fillId="0" borderId="22" xfId="0" applyNumberFormat="1" applyFill="1" applyBorder="1"/>
    <xf numFmtId="10" fontId="0" fillId="0" borderId="22" xfId="0" applyNumberFormat="1" applyFill="1" applyBorder="1"/>
    <xf numFmtId="10" fontId="0" fillId="0" borderId="20" xfId="0" applyNumberFormat="1" applyFill="1" applyBorder="1"/>
    <xf numFmtId="0" fontId="0" fillId="0" borderId="0" xfId="0" applyFill="1"/>
    <xf numFmtId="44" fontId="0" fillId="0" borderId="19" xfId="0" applyNumberFormat="1" applyFill="1" applyBorder="1"/>
    <xf numFmtId="44" fontId="0" fillId="0" borderId="43" xfId="0" applyNumberFormat="1" applyFill="1" applyBorder="1"/>
    <xf numFmtId="44" fontId="1" fillId="0" borderId="28" xfId="0" applyNumberFormat="1" applyFont="1" applyFill="1" applyBorder="1"/>
    <xf numFmtId="2" fontId="0" fillId="0" borderId="0" xfId="0" applyNumberFormat="1" applyBorder="1"/>
    <xf numFmtId="2" fontId="0" fillId="0" borderId="33" xfId="0" applyNumberFormat="1" applyBorder="1"/>
    <xf numFmtId="2" fontId="0" fillId="0" borderId="0" xfId="0" applyNumberFormat="1" applyFill="1" applyBorder="1"/>
    <xf numFmtId="10" fontId="0" fillId="0" borderId="33" xfId="0" applyNumberFormat="1" applyBorder="1"/>
    <xf numFmtId="10" fontId="0" fillId="0" borderId="0" xfId="0" applyNumberFormat="1" applyBorder="1"/>
    <xf numFmtId="2" fontId="0" fillId="0" borderId="52" xfId="0" applyNumberFormat="1" applyBorder="1"/>
    <xf numFmtId="0" fontId="1" fillId="2" borderId="11" xfId="0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164" fontId="1" fillId="4" borderId="8" xfId="0" applyNumberFormat="1" applyFont="1" applyFill="1" applyBorder="1"/>
    <xf numFmtId="0" fontId="1" fillId="2" borderId="7" xfId="0" applyFont="1" applyFill="1" applyBorder="1"/>
    <xf numFmtId="164" fontId="0" fillId="0" borderId="0" xfId="0" applyNumberFormat="1" applyFill="1" applyBorder="1" applyAlignment="1"/>
    <xf numFmtId="44" fontId="0" fillId="0" borderId="0" xfId="1" applyFont="1" applyFill="1" applyBorder="1" applyAlignment="1"/>
    <xf numFmtId="0" fontId="3" fillId="0" borderId="0" xfId="0" applyFont="1" applyFill="1" applyBorder="1" applyAlignment="1"/>
    <xf numFmtId="164" fontId="0" fillId="3" borderId="4" xfId="0" applyNumberFormat="1" applyFill="1" applyBorder="1" applyAlignment="1"/>
    <xf numFmtId="164" fontId="0" fillId="4" borderId="4" xfId="0" applyNumberFormat="1" applyFill="1" applyBorder="1" applyAlignment="1"/>
    <xf numFmtId="164" fontId="0" fillId="3" borderId="2" xfId="0" applyNumberFormat="1" applyFill="1" applyBorder="1" applyAlignment="1"/>
    <xf numFmtId="164" fontId="0" fillId="4" borderId="6" xfId="0" applyNumberFormat="1" applyFill="1" applyBorder="1" applyAlignment="1"/>
    <xf numFmtId="44" fontId="1" fillId="0" borderId="0" xfId="0" applyNumberFormat="1" applyFont="1" applyFill="1" applyBorder="1" applyAlignment="1"/>
    <xf numFmtId="44" fontId="1" fillId="2" borderId="8" xfId="0" applyNumberFormat="1" applyFont="1" applyFill="1" applyBorder="1" applyAlignment="1"/>
    <xf numFmtId="0" fontId="0" fillId="6" borderId="7" xfId="0" applyFill="1" applyBorder="1"/>
    <xf numFmtId="164" fontId="0" fillId="6" borderId="8" xfId="1" applyNumberFormat="1" applyFont="1" applyFill="1" applyBorder="1" applyAlignment="1"/>
    <xf numFmtId="44" fontId="0" fillId="7" borderId="8" xfId="1" applyFont="1" applyFill="1" applyBorder="1" applyAlignment="1"/>
    <xf numFmtId="10" fontId="1" fillId="4" borderId="8" xfId="0" applyNumberFormat="1" applyFont="1" applyFill="1" applyBorder="1"/>
    <xf numFmtId="0" fontId="0" fillId="7" borderId="53" xfId="0" applyFont="1" applyFill="1" applyBorder="1"/>
    <xf numFmtId="44" fontId="0" fillId="6" borderId="18" xfId="0" applyNumberFormat="1" applyFont="1" applyFill="1" applyBorder="1" applyAlignment="1"/>
    <xf numFmtId="0" fontId="1" fillId="2" borderId="2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0" borderId="5" xfId="0" applyBorder="1"/>
    <xf numFmtId="0" fontId="0" fillId="0" borderId="20" xfId="0" applyBorder="1"/>
    <xf numFmtId="0" fontId="0" fillId="0" borderId="3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/>
    <xf numFmtId="0" fontId="0" fillId="0" borderId="19" xfId="0" applyBorder="1"/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10" fontId="0" fillId="0" borderId="0" xfId="0" applyNumberForma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0" fillId="3" borderId="16" xfId="0" applyNumberFormat="1" applyFill="1" applyBorder="1" applyAlignment="1">
      <alignment horizontal="center" vertical="center"/>
    </xf>
    <xf numFmtId="2" fontId="0" fillId="3" borderId="50" xfId="0" applyNumberFormat="1" applyFill="1" applyBorder="1" applyAlignment="1">
      <alignment horizontal="center" vertical="center"/>
    </xf>
    <xf numFmtId="2" fontId="0" fillId="3" borderId="51" xfId="0" applyNumberFormat="1" applyFill="1" applyBorder="1" applyAlignment="1">
      <alignment horizontal="center" vertical="center"/>
    </xf>
    <xf numFmtId="44" fontId="0" fillId="7" borderId="0" xfId="0" applyNumberFormat="1" applyFill="1" applyBorder="1" applyAlignment="1">
      <alignment horizontal="center"/>
    </xf>
    <xf numFmtId="44" fontId="0" fillId="7" borderId="54" xfId="0" applyNumberFormat="1" applyFill="1" applyBorder="1" applyAlignment="1">
      <alignment horizontal="center"/>
    </xf>
    <xf numFmtId="44" fontId="0" fillId="6" borderId="55" xfId="0" applyNumberFormat="1" applyFill="1" applyBorder="1" applyAlignment="1">
      <alignment horizontal="center"/>
    </xf>
    <xf numFmtId="44" fontId="0" fillId="6" borderId="56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4" fontId="1" fillId="5" borderId="21" xfId="0" applyNumberFormat="1" applyFont="1" applyFill="1" applyBorder="1" applyAlignment="1"/>
    <xf numFmtId="44" fontId="1" fillId="5" borderId="36" xfId="0" applyNumberFormat="1" applyFont="1" applyFill="1" applyBorder="1" applyAlignment="1"/>
    <xf numFmtId="44" fontId="0" fillId="6" borderId="27" xfId="1" applyFont="1" applyFill="1" applyBorder="1" applyAlignment="1"/>
    <xf numFmtId="44" fontId="0" fillId="6" borderId="41" xfId="1" applyFont="1" applyFill="1" applyBorder="1" applyAlignment="1"/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5" borderId="21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44" fontId="0" fillId="7" borderId="27" xfId="1" applyFont="1" applyFill="1" applyBorder="1" applyAlignment="1">
      <alignment horizontal="center"/>
    </xf>
    <xf numFmtId="44" fontId="0" fillId="7" borderId="35" xfId="1" applyFont="1" applyFill="1" applyBorder="1" applyAlignment="1">
      <alignment horizontal="center"/>
    </xf>
    <xf numFmtId="44" fontId="0" fillId="7" borderId="49" xfId="0" applyNumberFormat="1" applyFill="1" applyBorder="1" applyAlignment="1">
      <alignment horizontal="center"/>
    </xf>
    <xf numFmtId="44" fontId="0" fillId="7" borderId="42" xfId="0" applyNumberFormat="1" applyFill="1" applyBorder="1" applyAlignment="1">
      <alignment horizontal="center"/>
    </xf>
    <xf numFmtId="44" fontId="0" fillId="6" borderId="32" xfId="0" applyNumberFormat="1" applyFill="1" applyBorder="1" applyAlignment="1">
      <alignment horizontal="center"/>
    </xf>
    <xf numFmtId="44" fontId="0" fillId="6" borderId="48" xfId="0" applyNumberFormat="1" applyFill="1" applyBorder="1" applyAlignment="1">
      <alignment horizontal="center"/>
    </xf>
    <xf numFmtId="0" fontId="4" fillId="0" borderId="16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0" fillId="0" borderId="0" xfId="0" applyAlignment="1"/>
    <xf numFmtId="0" fontId="0" fillId="0" borderId="0" xfId="0" applyAlignment="1"/>
    <xf numFmtId="0" fontId="0" fillId="0" borderId="0" xfId="0"/>
    <xf numFmtId="0" fontId="0" fillId="0" borderId="22" xfId="0" applyBorder="1" applyAlignment="1"/>
    <xf numFmtId="0" fontId="0" fillId="0" borderId="22" xfId="0" applyBorder="1" applyAlignment="1">
      <alignment horizontal="left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66675</xdr:rowOff>
    </xdr:from>
    <xdr:to>
      <xdr:col>18</xdr:col>
      <xdr:colOff>76200</xdr:colOff>
      <xdr:row>6</xdr:row>
      <xdr:rowOff>95250</xdr:rowOff>
    </xdr:to>
    <xdr:sp macro="" textlink="">
      <xdr:nvSpPr>
        <xdr:cNvPr id="2" name="Retângulo de cantos arredondados 1"/>
        <xdr:cNvSpPr/>
      </xdr:nvSpPr>
      <xdr:spPr>
        <a:xfrm>
          <a:off x="533400" y="257175"/>
          <a:ext cx="10515600" cy="981075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 b="1">
              <a:latin typeface="Candara" panose="020E0502030303020204" pitchFamily="34" charset="0"/>
            </a:rPr>
            <a:t>OBSERVAÇÕES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76200</xdr:rowOff>
    </xdr:from>
    <xdr:to>
      <xdr:col>12</xdr:col>
      <xdr:colOff>0</xdr:colOff>
      <xdr:row>6</xdr:row>
      <xdr:rowOff>104775</xdr:rowOff>
    </xdr:to>
    <xdr:sp macro="" textlink="">
      <xdr:nvSpPr>
        <xdr:cNvPr id="2" name="Retângulo de cantos arredondados 1"/>
        <xdr:cNvSpPr/>
      </xdr:nvSpPr>
      <xdr:spPr>
        <a:xfrm>
          <a:off x="600075" y="266700"/>
          <a:ext cx="10534650" cy="981075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 b="1">
              <a:latin typeface="Candara" panose="020E0502030303020204" pitchFamily="34" charset="0"/>
            </a:rPr>
            <a:t>PREENCHER</a:t>
          </a:r>
        </a:p>
      </xdr:txBody>
    </xdr:sp>
    <xdr:clientData/>
  </xdr:twoCellAnchor>
  <xdr:twoCellAnchor>
    <xdr:from>
      <xdr:col>0</xdr:col>
      <xdr:colOff>581025</xdr:colOff>
      <xdr:row>7</xdr:row>
      <xdr:rowOff>66674</xdr:rowOff>
    </xdr:from>
    <xdr:to>
      <xdr:col>3</xdr:col>
      <xdr:colOff>923925</xdr:colOff>
      <xdr:row>9</xdr:row>
      <xdr:rowOff>19049</xdr:rowOff>
    </xdr:to>
    <xdr:sp macro="" textlink="">
      <xdr:nvSpPr>
        <xdr:cNvPr id="3" name="Retângulo de cantos arredondados 2"/>
        <xdr:cNvSpPr/>
      </xdr:nvSpPr>
      <xdr:spPr>
        <a:xfrm>
          <a:off x="581025" y="1400174"/>
          <a:ext cx="3495675" cy="333375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Candara" panose="020E0502030303020204" pitchFamily="34" charset="0"/>
            </a:rPr>
            <a:t>Matéria-Prima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19050</xdr:colOff>
      <xdr:row>38</xdr:row>
      <xdr:rowOff>142875</xdr:rowOff>
    </xdr:to>
    <xdr:sp macro="" textlink="">
      <xdr:nvSpPr>
        <xdr:cNvPr id="4" name="Retângulo de cantos arredondados 3"/>
        <xdr:cNvSpPr/>
      </xdr:nvSpPr>
      <xdr:spPr>
        <a:xfrm>
          <a:off x="609600" y="7219950"/>
          <a:ext cx="3495675" cy="333375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Candara" panose="020E0502030303020204" pitchFamily="34" charset="0"/>
            </a:rPr>
            <a:t>Gastos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47625</xdr:rowOff>
    </xdr:from>
    <xdr:to>
      <xdr:col>18</xdr:col>
      <xdr:colOff>476250</xdr:colOff>
      <xdr:row>6</xdr:row>
      <xdr:rowOff>76200</xdr:rowOff>
    </xdr:to>
    <xdr:sp macro="" textlink="">
      <xdr:nvSpPr>
        <xdr:cNvPr id="2" name="Retângulo de cantos arredondados 1"/>
        <xdr:cNvSpPr/>
      </xdr:nvSpPr>
      <xdr:spPr>
        <a:xfrm>
          <a:off x="533400" y="238125"/>
          <a:ext cx="10915650" cy="981075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 b="1">
              <a:latin typeface="Candara" panose="020E0502030303020204" pitchFamily="34" charset="0"/>
            </a:rPr>
            <a:t>RESULTADOS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S29"/>
  <sheetViews>
    <sheetView showGridLines="0" tabSelected="1" workbookViewId="0"/>
  </sheetViews>
  <sheetFormatPr defaultRowHeight="15" x14ac:dyDescent="0.25"/>
  <sheetData>
    <row r="9" spans="2:19" x14ac:dyDescent="0.25">
      <c r="B9" s="210" t="s">
        <v>145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</row>
    <row r="10" spans="2:19" x14ac:dyDescent="0.25">
      <c r="B10" s="210" t="s">
        <v>146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</row>
    <row r="11" spans="2:19" x14ac:dyDescent="0.25">
      <c r="B11" s="211" t="s">
        <v>147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08"/>
    </row>
    <row r="12" spans="2:19" x14ac:dyDescent="0.25"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08"/>
    </row>
    <row r="13" spans="2:19" x14ac:dyDescent="0.25">
      <c r="B13" s="211" t="s">
        <v>148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</row>
    <row r="14" spans="2:19" x14ac:dyDescent="0.25"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</row>
    <row r="15" spans="2:19" x14ac:dyDescent="0.25">
      <c r="B15" s="211" t="s">
        <v>149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</row>
    <row r="16" spans="2:19" x14ac:dyDescent="0.25"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</row>
    <row r="17" spans="2:18" x14ac:dyDescent="0.25"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</row>
    <row r="18" spans="2:18" x14ac:dyDescent="0.25"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</row>
    <row r="19" spans="2:18" x14ac:dyDescent="0.25"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</row>
    <row r="20" spans="2:18" x14ac:dyDescent="0.25"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</row>
    <row r="21" spans="2:18" x14ac:dyDescent="0.25"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</row>
    <row r="22" spans="2:18" x14ac:dyDescent="0.25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</row>
    <row r="23" spans="2:18" x14ac:dyDescent="0.25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</row>
    <row r="24" spans="2:18" x14ac:dyDescent="0.25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</row>
    <row r="25" spans="2:18" x14ac:dyDescent="0.25"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2:18" x14ac:dyDescent="0.25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</row>
    <row r="27" spans="2:18" x14ac:dyDescent="0.25"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</row>
    <row r="28" spans="2:18" x14ac:dyDescent="0.25"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</row>
    <row r="29" spans="2:18" x14ac:dyDescent="0.25"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</row>
  </sheetData>
  <mergeCells count="18">
    <mergeCell ref="B28:R28"/>
    <mergeCell ref="B29:R29"/>
    <mergeCell ref="B11:R12"/>
    <mergeCell ref="B13:R14"/>
    <mergeCell ref="B15:R16"/>
    <mergeCell ref="B22:R22"/>
    <mergeCell ref="B23:R23"/>
    <mergeCell ref="B24:R24"/>
    <mergeCell ref="B25:R25"/>
    <mergeCell ref="B26:R26"/>
    <mergeCell ref="B27:R27"/>
    <mergeCell ref="B10:R10"/>
    <mergeCell ref="B17:R17"/>
    <mergeCell ref="B18:R18"/>
    <mergeCell ref="B19:R19"/>
    <mergeCell ref="B20:R20"/>
    <mergeCell ref="B21:R21"/>
    <mergeCell ref="B9:R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07"/>
  <sheetViews>
    <sheetView showGridLines="0" workbookViewId="0">
      <selection activeCell="F25" sqref="F25"/>
    </sheetView>
  </sheetViews>
  <sheetFormatPr defaultRowHeight="15" x14ac:dyDescent="0.25"/>
  <cols>
    <col min="2" max="2" width="29" bestFit="1" customWidth="1"/>
    <col min="3" max="3" width="9.140625" style="1"/>
    <col min="4" max="4" width="14" bestFit="1" customWidth="1"/>
    <col min="5" max="5" width="2" customWidth="1"/>
    <col min="6" max="6" width="29" bestFit="1" customWidth="1"/>
    <col min="7" max="7" width="13.28515625" style="1" bestFit="1" customWidth="1"/>
    <col min="8" max="8" width="14" bestFit="1" customWidth="1"/>
    <col min="9" max="9" width="1.42578125" customWidth="1"/>
    <col min="10" max="10" width="27" bestFit="1" customWidth="1"/>
    <col min="11" max="11" width="10.7109375" style="1" bestFit="1" customWidth="1"/>
    <col min="12" max="12" width="14" bestFit="1" customWidth="1"/>
    <col min="13" max="13" width="27" bestFit="1" customWidth="1"/>
  </cols>
  <sheetData>
    <row r="6" spans="1:12" x14ac:dyDescent="0.25">
      <c r="A6" s="16"/>
    </row>
    <row r="7" spans="1:12" x14ac:dyDescent="0.25">
      <c r="A7" s="16"/>
    </row>
    <row r="8" spans="1:12" x14ac:dyDescent="0.25">
      <c r="A8" s="16"/>
    </row>
    <row r="9" spans="1:12" x14ac:dyDescent="0.25">
      <c r="A9" s="16"/>
    </row>
    <row r="10" spans="1:12" ht="15.75" thickBot="1" x14ac:dyDescent="0.3">
      <c r="A10" s="16"/>
    </row>
    <row r="11" spans="1:12" ht="15.75" thickBot="1" x14ac:dyDescent="0.3">
      <c r="A11" s="16"/>
      <c r="B11" s="173" t="s">
        <v>6</v>
      </c>
      <c r="C11" s="174"/>
      <c r="D11" s="135" t="s">
        <v>142</v>
      </c>
      <c r="F11" s="173" t="s">
        <v>14</v>
      </c>
      <c r="G11" s="174"/>
      <c r="H11" s="135" t="s">
        <v>142</v>
      </c>
      <c r="J11" s="173" t="s">
        <v>25</v>
      </c>
      <c r="K11" s="174"/>
      <c r="L11" s="135" t="s">
        <v>142</v>
      </c>
    </row>
    <row r="12" spans="1:12" x14ac:dyDescent="0.25">
      <c r="A12" s="16"/>
      <c r="B12" s="7" t="s">
        <v>47</v>
      </c>
      <c r="C12" s="8">
        <v>7.2</v>
      </c>
      <c r="D12" s="175">
        <v>3.32</v>
      </c>
      <c r="F12" s="7" t="s">
        <v>15</v>
      </c>
      <c r="G12" s="8">
        <v>7.2</v>
      </c>
      <c r="H12" s="175">
        <v>3.9</v>
      </c>
      <c r="J12" s="7" t="s">
        <v>19</v>
      </c>
      <c r="K12" s="8">
        <v>7.2</v>
      </c>
      <c r="L12" s="175">
        <v>3.8</v>
      </c>
    </row>
    <row r="13" spans="1:12" x14ac:dyDescent="0.25">
      <c r="A13" s="16"/>
      <c r="B13" s="5" t="s">
        <v>0</v>
      </c>
      <c r="C13" s="6">
        <v>2.0499999999999998</v>
      </c>
      <c r="D13" s="176"/>
      <c r="F13" s="5" t="s">
        <v>0</v>
      </c>
      <c r="G13" s="6">
        <v>2.85</v>
      </c>
      <c r="H13" s="176"/>
      <c r="J13" s="5" t="s">
        <v>17</v>
      </c>
      <c r="K13" s="6">
        <v>3.16</v>
      </c>
      <c r="L13" s="176"/>
    </row>
    <row r="14" spans="1:12" x14ac:dyDescent="0.25">
      <c r="A14" s="16"/>
      <c r="B14" s="3" t="s">
        <v>1</v>
      </c>
      <c r="C14" s="4">
        <v>0.8</v>
      </c>
      <c r="D14" s="176"/>
      <c r="F14" s="3" t="s">
        <v>16</v>
      </c>
      <c r="G14" s="4">
        <v>2.85</v>
      </c>
      <c r="H14" s="176"/>
      <c r="J14" s="3" t="s">
        <v>0</v>
      </c>
      <c r="K14" s="4">
        <v>2.5099999999999998</v>
      </c>
      <c r="L14" s="176"/>
    </row>
    <row r="15" spans="1:12" x14ac:dyDescent="0.25">
      <c r="B15" s="5" t="s">
        <v>2</v>
      </c>
      <c r="C15" s="6">
        <v>0.02</v>
      </c>
      <c r="D15" s="176"/>
      <c r="F15" s="5" t="s">
        <v>17</v>
      </c>
      <c r="G15" s="6">
        <v>3.06</v>
      </c>
      <c r="H15" s="176"/>
      <c r="J15" s="5" t="s">
        <v>20</v>
      </c>
      <c r="K15" s="6">
        <v>0.43</v>
      </c>
      <c r="L15" s="176"/>
    </row>
    <row r="16" spans="1:12" x14ac:dyDescent="0.25">
      <c r="B16" s="3" t="s">
        <v>3</v>
      </c>
      <c r="C16" s="4">
        <v>0.92</v>
      </c>
      <c r="D16" s="176"/>
      <c r="F16" s="3" t="s">
        <v>1</v>
      </c>
      <c r="G16" s="4">
        <v>0.8</v>
      </c>
      <c r="H16" s="176"/>
      <c r="J16" s="3" t="s">
        <v>1</v>
      </c>
      <c r="K16" s="4">
        <v>1.07</v>
      </c>
      <c r="L16" s="176"/>
    </row>
    <row r="17" spans="2:12" x14ac:dyDescent="0.25">
      <c r="B17" s="5" t="s">
        <v>4</v>
      </c>
      <c r="C17" s="6">
        <v>0.05</v>
      </c>
      <c r="D17" s="176"/>
      <c r="F17" s="5" t="s">
        <v>4</v>
      </c>
      <c r="G17" s="6">
        <v>0.05</v>
      </c>
      <c r="H17" s="176"/>
      <c r="J17" s="5" t="s">
        <v>16</v>
      </c>
      <c r="K17" s="6">
        <v>2.25</v>
      </c>
      <c r="L17" s="176"/>
    </row>
    <row r="18" spans="2:12" ht="15.75" thickBot="1" x14ac:dyDescent="0.3">
      <c r="B18" s="9" t="s">
        <v>5</v>
      </c>
      <c r="C18" s="10">
        <v>0.66</v>
      </c>
      <c r="D18" s="177"/>
      <c r="F18" s="9" t="s">
        <v>5</v>
      </c>
      <c r="G18" s="10">
        <v>0.36</v>
      </c>
      <c r="H18" s="177"/>
      <c r="J18" s="3" t="s">
        <v>4</v>
      </c>
      <c r="K18" s="4">
        <v>0.05</v>
      </c>
      <c r="L18" s="176"/>
    </row>
    <row r="19" spans="2:12" ht="15.75" thickBot="1" x14ac:dyDescent="0.3">
      <c r="D19" s="136"/>
      <c r="J19" s="9" t="s">
        <v>5</v>
      </c>
      <c r="K19" s="10">
        <v>0.6</v>
      </c>
      <c r="L19" s="177"/>
    </row>
    <row r="20" spans="2:12" ht="15.75" thickBot="1" x14ac:dyDescent="0.3">
      <c r="B20" s="2" t="s">
        <v>7</v>
      </c>
      <c r="C20" s="11">
        <f>4.32+2.52</f>
        <v>6.84</v>
      </c>
      <c r="D20" s="137">
        <v>3.6</v>
      </c>
      <c r="L20" s="136"/>
    </row>
    <row r="21" spans="2:12" ht="15.75" thickBot="1" x14ac:dyDescent="0.3">
      <c r="D21" s="136"/>
      <c r="J21" s="2" t="s">
        <v>26</v>
      </c>
      <c r="K21" s="11">
        <v>0.92</v>
      </c>
      <c r="L21" s="137">
        <v>3.88</v>
      </c>
    </row>
    <row r="22" spans="2:12" ht="15.75" thickBot="1" x14ac:dyDescent="0.3">
      <c r="B22" s="2" t="s">
        <v>8</v>
      </c>
      <c r="C22" s="11">
        <v>1.66</v>
      </c>
      <c r="D22" s="137">
        <v>3.42</v>
      </c>
      <c r="F22" s="17"/>
      <c r="G22" s="18"/>
      <c r="L22" s="136"/>
    </row>
    <row r="23" spans="2:12" ht="15.75" thickBot="1" x14ac:dyDescent="0.3">
      <c r="D23" s="136"/>
      <c r="F23" s="17"/>
      <c r="G23" s="18"/>
      <c r="J23" s="2" t="s">
        <v>27</v>
      </c>
      <c r="K23" s="11">
        <f>0.76+0.69</f>
        <v>1.45</v>
      </c>
      <c r="L23" s="137">
        <v>3.89</v>
      </c>
    </row>
    <row r="24" spans="2:12" ht="15.75" thickBot="1" x14ac:dyDescent="0.3">
      <c r="B24" s="2" t="s">
        <v>9</v>
      </c>
      <c r="C24" s="11">
        <v>1.91</v>
      </c>
      <c r="D24" s="137">
        <v>3.32</v>
      </c>
      <c r="F24" s="17"/>
      <c r="G24" s="18"/>
      <c r="L24" s="136"/>
    </row>
    <row r="25" spans="2:12" ht="15.75" thickBot="1" x14ac:dyDescent="0.3">
      <c r="D25" s="136"/>
      <c r="F25" s="17"/>
      <c r="G25" s="18"/>
      <c r="J25" s="2" t="s">
        <v>28</v>
      </c>
      <c r="K25" s="11">
        <v>4.62</v>
      </c>
      <c r="L25" s="137">
        <v>3.9</v>
      </c>
    </row>
    <row r="26" spans="2:12" ht="15.75" thickBot="1" x14ac:dyDescent="0.3">
      <c r="B26" s="2" t="s">
        <v>10</v>
      </c>
      <c r="C26" s="11">
        <f>(-C17+0.01)+0.79+0.09</f>
        <v>0.84</v>
      </c>
      <c r="D26" s="137">
        <v>3.9</v>
      </c>
      <c r="F26" s="19"/>
      <c r="G26" s="172"/>
    </row>
    <row r="27" spans="2:12" ht="15.75" thickBot="1" x14ac:dyDescent="0.3">
      <c r="D27" s="136"/>
      <c r="F27" s="19"/>
      <c r="G27" s="172"/>
    </row>
    <row r="28" spans="2:12" ht="15.75" thickBot="1" x14ac:dyDescent="0.3">
      <c r="B28" s="2" t="s">
        <v>11</v>
      </c>
      <c r="C28" s="11">
        <f>C26+6.28</f>
        <v>7.12</v>
      </c>
      <c r="D28" s="137">
        <v>4.2</v>
      </c>
      <c r="F28" s="17"/>
      <c r="G28" s="18"/>
    </row>
    <row r="29" spans="2:12" ht="15.75" thickBot="1" x14ac:dyDescent="0.3">
      <c r="D29" s="136"/>
      <c r="F29" s="17"/>
      <c r="G29" s="18"/>
    </row>
    <row r="30" spans="2:12" ht="15.75" thickBot="1" x14ac:dyDescent="0.3">
      <c r="B30" s="2" t="s">
        <v>12</v>
      </c>
      <c r="C30" s="11">
        <v>7.56</v>
      </c>
      <c r="D30" s="137">
        <v>3.6</v>
      </c>
    </row>
    <row r="31" spans="2:12" ht="15.75" thickBot="1" x14ac:dyDescent="0.3">
      <c r="D31" s="136"/>
    </row>
    <row r="32" spans="2:12" ht="15.75" thickBot="1" x14ac:dyDescent="0.3">
      <c r="B32" s="2" t="s">
        <v>13</v>
      </c>
      <c r="C32" s="11">
        <v>10.8</v>
      </c>
      <c r="D32" s="137">
        <v>3.32</v>
      </c>
    </row>
    <row r="33" spans="2:11" ht="15.75" thickBot="1" x14ac:dyDescent="0.3"/>
    <row r="34" spans="2:11" ht="15.75" thickBot="1" x14ac:dyDescent="0.3">
      <c r="B34" s="173" t="s">
        <v>29</v>
      </c>
      <c r="C34" s="174"/>
    </row>
    <row r="35" spans="2:11" ht="15.75" thickBot="1" x14ac:dyDescent="0.3">
      <c r="B35" s="14" t="s">
        <v>30</v>
      </c>
      <c r="C35" s="11">
        <v>0.08</v>
      </c>
    </row>
    <row r="41" spans="2:11" ht="15.75" thickBot="1" x14ac:dyDescent="0.3"/>
    <row r="42" spans="2:11" ht="16.5" thickBot="1" x14ac:dyDescent="0.3">
      <c r="B42" s="159" t="s">
        <v>80</v>
      </c>
      <c r="C42" s="160"/>
      <c r="F42" s="157" t="s">
        <v>122</v>
      </c>
      <c r="G42" s="158"/>
      <c r="H42" s="142"/>
      <c r="J42" s="155" t="s">
        <v>81</v>
      </c>
      <c r="K42" s="156"/>
    </row>
    <row r="43" spans="2:11" x14ac:dyDescent="0.25">
      <c r="B43" s="3" t="s">
        <v>37</v>
      </c>
      <c r="C43" s="4">
        <v>70</v>
      </c>
      <c r="F43" s="7" t="s">
        <v>23</v>
      </c>
      <c r="G43" s="145">
        <v>130</v>
      </c>
      <c r="H43" s="140"/>
      <c r="J43" s="3" t="s">
        <v>42</v>
      </c>
      <c r="K43" s="42">
        <v>5.8000000000000003E-2</v>
      </c>
    </row>
    <row r="44" spans="2:11" x14ac:dyDescent="0.25">
      <c r="B44" s="5" t="s">
        <v>82</v>
      </c>
      <c r="C44" s="6">
        <v>30</v>
      </c>
      <c r="F44" s="5" t="s">
        <v>31</v>
      </c>
      <c r="G44" s="144">
        <v>370</v>
      </c>
      <c r="H44" s="140"/>
      <c r="J44" s="5" t="s">
        <v>87</v>
      </c>
      <c r="K44" s="43">
        <v>1.8599999999999998E-2</v>
      </c>
    </row>
    <row r="45" spans="2:11" x14ac:dyDescent="0.25">
      <c r="B45" s="3" t="s">
        <v>84</v>
      </c>
      <c r="C45" s="4">
        <v>350</v>
      </c>
      <c r="F45" s="3" t="s">
        <v>36</v>
      </c>
      <c r="G45" s="143">
        <v>50</v>
      </c>
      <c r="H45" s="140"/>
      <c r="J45" s="3"/>
      <c r="K45" s="42"/>
    </row>
    <row r="46" spans="2:11" x14ac:dyDescent="0.25">
      <c r="B46" s="5"/>
      <c r="C46" s="6"/>
      <c r="F46" s="5" t="s">
        <v>85</v>
      </c>
      <c r="G46" s="144">
        <v>43.333333333333336</v>
      </c>
      <c r="H46" s="140"/>
      <c r="J46" s="5"/>
      <c r="K46" s="43"/>
    </row>
    <row r="47" spans="2:11" x14ac:dyDescent="0.25">
      <c r="B47" s="3"/>
      <c r="C47" s="4"/>
      <c r="F47" s="3" t="s">
        <v>34</v>
      </c>
      <c r="G47" s="143">
        <v>25</v>
      </c>
      <c r="H47" s="140"/>
      <c r="J47" s="3"/>
      <c r="K47" s="42"/>
    </row>
    <row r="48" spans="2:11" x14ac:dyDescent="0.25">
      <c r="B48" s="5"/>
      <c r="C48" s="6"/>
      <c r="F48" s="5" t="s">
        <v>38</v>
      </c>
      <c r="G48" s="144">
        <v>25</v>
      </c>
      <c r="H48" s="140"/>
      <c r="J48" s="5"/>
      <c r="K48" s="43"/>
    </row>
    <row r="49" spans="2:11" x14ac:dyDescent="0.25">
      <c r="B49" s="3"/>
      <c r="C49" s="4"/>
      <c r="F49" s="3" t="s">
        <v>39</v>
      </c>
      <c r="G49" s="143">
        <v>70</v>
      </c>
      <c r="H49" s="140"/>
      <c r="J49" s="3"/>
      <c r="K49" s="42"/>
    </row>
    <row r="50" spans="2:11" x14ac:dyDescent="0.25">
      <c r="B50" s="5"/>
      <c r="C50" s="6"/>
      <c r="F50" s="5" t="s">
        <v>33</v>
      </c>
      <c r="G50" s="144">
        <v>250</v>
      </c>
      <c r="H50" s="140"/>
      <c r="J50" s="5"/>
      <c r="K50" s="43"/>
    </row>
    <row r="51" spans="2:11" x14ac:dyDescent="0.25">
      <c r="B51" s="3"/>
      <c r="C51" s="4"/>
      <c r="F51" s="3" t="s">
        <v>35</v>
      </c>
      <c r="G51" s="143">
        <v>30</v>
      </c>
      <c r="H51" s="140"/>
      <c r="J51" s="3"/>
      <c r="K51" s="42"/>
    </row>
    <row r="52" spans="2:11" x14ac:dyDescent="0.25">
      <c r="B52" s="5"/>
      <c r="C52" s="6"/>
      <c r="F52" s="5" t="s">
        <v>86</v>
      </c>
      <c r="G52" s="144">
        <v>10</v>
      </c>
      <c r="H52" s="140"/>
      <c r="J52" s="5"/>
      <c r="K52" s="43"/>
    </row>
    <row r="53" spans="2:11" x14ac:dyDescent="0.25">
      <c r="B53" s="3"/>
      <c r="C53" s="4"/>
      <c r="F53" s="3" t="s">
        <v>88</v>
      </c>
      <c r="G53" s="143">
        <v>20</v>
      </c>
      <c r="H53" s="140"/>
      <c r="J53" s="3"/>
      <c r="K53" s="42"/>
    </row>
    <row r="54" spans="2:11" x14ac:dyDescent="0.25">
      <c r="B54" s="5"/>
      <c r="C54" s="6"/>
      <c r="F54" s="5" t="s">
        <v>90</v>
      </c>
      <c r="G54" s="144">
        <v>85</v>
      </c>
      <c r="H54" s="140"/>
      <c r="J54" s="5"/>
      <c r="K54" s="43"/>
    </row>
    <row r="55" spans="2:11" x14ac:dyDescent="0.25">
      <c r="B55" s="3"/>
      <c r="C55" s="4"/>
      <c r="F55" s="3" t="s">
        <v>92</v>
      </c>
      <c r="G55" s="143">
        <v>50</v>
      </c>
      <c r="H55" s="140"/>
      <c r="J55" s="3"/>
      <c r="K55" s="42"/>
    </row>
    <row r="56" spans="2:11" x14ac:dyDescent="0.25">
      <c r="B56" s="5"/>
      <c r="C56" s="6"/>
      <c r="F56" s="5" t="s">
        <v>46</v>
      </c>
      <c r="G56" s="144">
        <v>200</v>
      </c>
      <c r="H56" s="140"/>
      <c r="J56" s="5"/>
      <c r="K56" s="43"/>
    </row>
    <row r="57" spans="2:11" x14ac:dyDescent="0.25">
      <c r="B57" s="3"/>
      <c r="C57" s="4"/>
      <c r="F57" s="3" t="s">
        <v>32</v>
      </c>
      <c r="G57" s="143">
        <v>65.06</v>
      </c>
      <c r="H57" s="140"/>
      <c r="J57" s="3"/>
      <c r="K57" s="42"/>
    </row>
    <row r="58" spans="2:11" x14ac:dyDescent="0.25">
      <c r="B58" s="5"/>
      <c r="C58" s="6"/>
      <c r="F58" s="5" t="s">
        <v>83</v>
      </c>
      <c r="G58" s="144">
        <v>1150</v>
      </c>
      <c r="H58" s="140"/>
      <c r="J58" s="5"/>
      <c r="K58" s="43"/>
    </row>
    <row r="59" spans="2:11" x14ac:dyDescent="0.25">
      <c r="B59" s="3"/>
      <c r="C59" s="4"/>
      <c r="F59" s="3" t="s">
        <v>40</v>
      </c>
      <c r="G59" s="143">
        <v>282.60000000000002</v>
      </c>
      <c r="H59" s="140"/>
      <c r="J59" s="3"/>
      <c r="K59" s="42"/>
    </row>
    <row r="60" spans="2:11" x14ac:dyDescent="0.25">
      <c r="B60" s="5"/>
      <c r="C60" s="6"/>
      <c r="F60" s="5" t="s">
        <v>41</v>
      </c>
      <c r="G60" s="144">
        <v>40.5</v>
      </c>
      <c r="H60" s="140"/>
      <c r="J60" s="5"/>
      <c r="K60" s="43"/>
    </row>
    <row r="61" spans="2:11" x14ac:dyDescent="0.25">
      <c r="B61" s="3"/>
      <c r="C61" s="4"/>
      <c r="F61" s="3" t="s">
        <v>89</v>
      </c>
      <c r="G61" s="143">
        <v>2.8333333333333335</v>
      </c>
      <c r="H61" s="140"/>
      <c r="J61" s="3"/>
      <c r="K61" s="42"/>
    </row>
    <row r="62" spans="2:11" x14ac:dyDescent="0.25">
      <c r="B62" s="5"/>
      <c r="C62" s="6"/>
      <c r="F62" s="5" t="s">
        <v>91</v>
      </c>
      <c r="G62" s="144">
        <v>3.3333333333333335</v>
      </c>
      <c r="H62" s="140"/>
      <c r="J62" s="5"/>
      <c r="K62" s="43"/>
    </row>
    <row r="63" spans="2:11" x14ac:dyDescent="0.25">
      <c r="B63" s="3"/>
      <c r="C63" s="4"/>
      <c r="F63" s="3" t="s">
        <v>93</v>
      </c>
      <c r="G63" s="143">
        <v>10</v>
      </c>
      <c r="H63" s="140"/>
      <c r="J63" s="3"/>
      <c r="K63" s="42"/>
    </row>
    <row r="64" spans="2:11" x14ac:dyDescent="0.25">
      <c r="B64" s="5"/>
      <c r="C64" s="6"/>
      <c r="F64" s="5" t="s">
        <v>116</v>
      </c>
      <c r="G64" s="144">
        <v>2000</v>
      </c>
      <c r="H64" s="140"/>
      <c r="J64" s="5"/>
      <c r="K64" s="43"/>
    </row>
    <row r="65" spans="2:12" x14ac:dyDescent="0.25">
      <c r="B65" s="3"/>
      <c r="C65" s="4"/>
      <c r="F65" s="3"/>
      <c r="G65" s="143"/>
      <c r="H65" s="140"/>
      <c r="J65" s="3"/>
      <c r="K65" s="42"/>
    </row>
    <row r="66" spans="2:12" x14ac:dyDescent="0.25">
      <c r="B66" s="5"/>
      <c r="C66" s="6"/>
      <c r="F66" s="5"/>
      <c r="G66" s="144"/>
      <c r="H66" s="140"/>
      <c r="J66" s="5"/>
      <c r="K66" s="43"/>
    </row>
    <row r="67" spans="2:12" x14ac:dyDescent="0.25">
      <c r="B67" s="3"/>
      <c r="C67" s="4"/>
      <c r="F67" s="3"/>
      <c r="G67" s="143"/>
      <c r="H67" s="140"/>
      <c r="J67" s="3"/>
      <c r="K67" s="42"/>
    </row>
    <row r="68" spans="2:12" x14ac:dyDescent="0.25">
      <c r="B68" s="5"/>
      <c r="C68" s="6"/>
      <c r="F68" s="5"/>
      <c r="G68" s="144"/>
      <c r="H68" s="140"/>
      <c r="J68" s="5"/>
      <c r="K68" s="43"/>
    </row>
    <row r="69" spans="2:12" x14ac:dyDescent="0.25">
      <c r="B69" s="3"/>
      <c r="C69" s="4"/>
      <c r="F69" s="3"/>
      <c r="G69" s="143"/>
      <c r="H69" s="140"/>
      <c r="J69" s="3"/>
      <c r="K69" s="42"/>
    </row>
    <row r="70" spans="2:12" ht="15.75" thickBot="1" x14ac:dyDescent="0.3">
      <c r="B70" s="5"/>
      <c r="C70" s="6"/>
      <c r="F70" s="12"/>
      <c r="G70" s="146"/>
      <c r="H70" s="140"/>
      <c r="J70" s="5"/>
      <c r="K70" s="43"/>
    </row>
    <row r="71" spans="2:12" ht="15.75" thickBot="1" x14ac:dyDescent="0.3">
      <c r="B71" s="3"/>
      <c r="C71" s="4"/>
      <c r="F71" s="149" t="s">
        <v>111</v>
      </c>
      <c r="G71" s="150">
        <f>SUM(G43:H70)</f>
        <v>4912.66</v>
      </c>
      <c r="H71" s="141"/>
      <c r="J71" s="3"/>
      <c r="K71" s="42"/>
    </row>
    <row r="72" spans="2:12" ht="15.75" thickBot="1" x14ac:dyDescent="0.3">
      <c r="B72" s="5"/>
      <c r="C72" s="6"/>
      <c r="F72" s="139" t="s">
        <v>112</v>
      </c>
      <c r="G72" s="148">
        <f>G71*12</f>
        <v>58951.92</v>
      </c>
      <c r="H72" s="147"/>
      <c r="J72" s="5"/>
      <c r="K72" s="43"/>
    </row>
    <row r="73" spans="2:12" ht="15.75" thickBot="1" x14ac:dyDescent="0.3">
      <c r="B73" s="3"/>
      <c r="C73" s="4"/>
      <c r="G73"/>
      <c r="H73" s="17"/>
      <c r="J73" s="3"/>
      <c r="K73" s="42"/>
    </row>
    <row r="74" spans="2:12" ht="15.75" thickBot="1" x14ac:dyDescent="0.3">
      <c r="B74" s="139" t="s">
        <v>96</v>
      </c>
      <c r="C74" s="138">
        <f>SUM(C43:C73)</f>
        <v>450</v>
      </c>
      <c r="F74" s="2" t="s">
        <v>115</v>
      </c>
      <c r="G74" s="151">
        <v>1000</v>
      </c>
      <c r="H74" s="141"/>
      <c r="J74" s="139" t="s">
        <v>96</v>
      </c>
      <c r="K74" s="152">
        <f>SUM(K43:K73)</f>
        <v>7.6600000000000001E-2</v>
      </c>
    </row>
    <row r="75" spans="2:12" x14ac:dyDescent="0.25">
      <c r="H75" s="17"/>
    </row>
    <row r="76" spans="2:12" x14ac:dyDescent="0.25">
      <c r="F76" s="13" t="s">
        <v>24</v>
      </c>
    </row>
    <row r="77" spans="2:12" hidden="1" x14ac:dyDescent="0.25">
      <c r="B77" s="166" t="s">
        <v>49</v>
      </c>
      <c r="C77" s="167"/>
      <c r="D77" s="20" t="s">
        <v>76</v>
      </c>
      <c r="E77" s="100"/>
      <c r="F77" s="166" t="s">
        <v>49</v>
      </c>
      <c r="G77" s="167"/>
      <c r="H77" s="30" t="s">
        <v>76</v>
      </c>
      <c r="I77" s="30"/>
      <c r="J77" s="165" t="s">
        <v>49</v>
      </c>
      <c r="K77" s="165"/>
      <c r="L77" s="20" t="s">
        <v>76</v>
      </c>
    </row>
    <row r="78" spans="2:12" hidden="1" x14ac:dyDescent="0.25">
      <c r="B78" s="20" t="s">
        <v>43</v>
      </c>
      <c r="C78" s="28">
        <f>SUM(C12:C18)/3.32</f>
        <v>3.524096385542169</v>
      </c>
      <c r="D78" s="29">
        <v>3.32</v>
      </c>
      <c r="E78" s="29"/>
      <c r="F78" s="100" t="s">
        <v>45</v>
      </c>
      <c r="G78" s="28">
        <f>SUM(G12:G18)/3.9</f>
        <v>4.4025641025641029</v>
      </c>
      <c r="H78" s="31">
        <v>3.9</v>
      </c>
      <c r="I78" s="31"/>
      <c r="J78" s="20" t="s">
        <v>18</v>
      </c>
      <c r="K78" s="28">
        <f>SUM(K12:K19)/3.8</f>
        <v>4.5447368421052632</v>
      </c>
      <c r="L78" s="29">
        <v>3.8</v>
      </c>
    </row>
    <row r="79" spans="2:12" hidden="1" x14ac:dyDescent="0.25">
      <c r="B79" s="20" t="s">
        <v>50</v>
      </c>
      <c r="C79" s="28">
        <f>SUM(C12:C18,C20)/3.6</f>
        <v>5.1499999999999995</v>
      </c>
      <c r="D79" s="29">
        <v>3.6</v>
      </c>
      <c r="E79" s="129"/>
      <c r="J79" s="20" t="s">
        <v>21</v>
      </c>
      <c r="K79" s="28">
        <f>SUM(K12:K19,K21)/3.88</f>
        <v>4.6881443298969074</v>
      </c>
      <c r="L79" s="29">
        <v>3.88</v>
      </c>
    </row>
    <row r="80" spans="2:12" hidden="1" x14ac:dyDescent="0.25">
      <c r="B80" s="20" t="s">
        <v>44</v>
      </c>
      <c r="C80" s="28">
        <f>SUM(C12:C18,C22)/3.42</f>
        <v>3.9064327485380121</v>
      </c>
      <c r="D80" s="29">
        <v>3.42</v>
      </c>
      <c r="E80" s="129"/>
      <c r="J80" s="20" t="s">
        <v>56</v>
      </c>
      <c r="K80" s="28">
        <f>SUM(K12:K19,K23)/3.89</f>
        <v>4.8123393316195369</v>
      </c>
      <c r="L80" s="29">
        <v>3.89</v>
      </c>
    </row>
    <row r="81" spans="2:12" hidden="1" x14ac:dyDescent="0.25">
      <c r="B81" s="20" t="s">
        <v>51</v>
      </c>
      <c r="C81" s="28">
        <f>SUM(C12:C18,C24)/3.32</f>
        <v>4.0993975903614466</v>
      </c>
      <c r="D81" s="29">
        <v>3.32</v>
      </c>
      <c r="E81" s="129"/>
      <c r="J81" s="20" t="s">
        <v>22</v>
      </c>
      <c r="K81" s="28">
        <f>SUM(K12:K19,K25)/3.9</f>
        <v>5.6128205128205133</v>
      </c>
      <c r="L81" s="29">
        <v>3.9</v>
      </c>
    </row>
    <row r="82" spans="2:12" hidden="1" x14ac:dyDescent="0.25">
      <c r="B82" s="20" t="s">
        <v>52</v>
      </c>
      <c r="C82" s="28">
        <f>(SUM(C12:C18,C26)-0.04)/3.9</f>
        <v>3.2051282051282057</v>
      </c>
      <c r="D82" s="29">
        <v>3.9</v>
      </c>
      <c r="E82" s="129"/>
    </row>
    <row r="83" spans="2:12" hidden="1" x14ac:dyDescent="0.25">
      <c r="B83" s="20" t="s">
        <v>53</v>
      </c>
      <c r="C83" s="28">
        <f>SUM(C12:C18,C28)/4.2</f>
        <v>4.480952380952381</v>
      </c>
      <c r="D83" s="29">
        <v>4.2</v>
      </c>
      <c r="E83" s="129"/>
    </row>
    <row r="84" spans="2:12" hidden="1" x14ac:dyDescent="0.25">
      <c r="B84" s="20" t="s">
        <v>54</v>
      </c>
      <c r="C84" s="28">
        <f>SUM(C12:C18,C30)/3.6</f>
        <v>5.3500000000000005</v>
      </c>
      <c r="D84" s="29">
        <v>3.6</v>
      </c>
      <c r="E84" s="129"/>
    </row>
    <row r="85" spans="2:12" hidden="1" x14ac:dyDescent="0.25">
      <c r="B85" s="20" t="s">
        <v>55</v>
      </c>
      <c r="C85" s="28">
        <f>SUM(C12:C18,C32)/3.32</f>
        <v>6.7771084337349397</v>
      </c>
      <c r="D85" s="29">
        <v>3.32</v>
      </c>
      <c r="E85" s="129"/>
    </row>
    <row r="86" spans="2:12" hidden="1" x14ac:dyDescent="0.25"/>
    <row r="87" spans="2:12" ht="15.75" hidden="1" thickBot="1" x14ac:dyDescent="0.3"/>
    <row r="88" spans="2:12" ht="15.75" hidden="1" thickBot="1" x14ac:dyDescent="0.3">
      <c r="D88" s="15" t="s">
        <v>77</v>
      </c>
      <c r="E88" s="16"/>
      <c r="H88" s="15" t="s">
        <v>77</v>
      </c>
      <c r="I88" s="16"/>
      <c r="L88" s="15" t="s">
        <v>77</v>
      </c>
    </row>
    <row r="89" spans="2:12" ht="15.75" hidden="1" thickBot="1" x14ac:dyDescent="0.3">
      <c r="B89" s="168" t="str">
        <f t="shared" ref="B89:B96" si="0">B78</f>
        <v>Tradicional</v>
      </c>
      <c r="C89" s="169"/>
      <c r="D89" s="73">
        <f t="shared" ref="D89:D96" si="1">60/D78</f>
        <v>18.072289156626507</v>
      </c>
      <c r="E89" s="130"/>
      <c r="F89" s="170" t="str">
        <f>F78</f>
        <v>Mineiro</v>
      </c>
      <c r="G89" s="171"/>
      <c r="H89" s="73">
        <f>60/H78</f>
        <v>15.384615384615385</v>
      </c>
      <c r="I89" s="134"/>
      <c r="J89" s="168" t="str">
        <f>J78</f>
        <v>Caseiro</v>
      </c>
      <c r="K89" s="169"/>
      <c r="L89" s="73">
        <f>60/L78</f>
        <v>15.789473684210527</v>
      </c>
    </row>
    <row r="90" spans="2:12" ht="15.75" hidden="1" thickBot="1" x14ac:dyDescent="0.3">
      <c r="B90" s="163" t="str">
        <f t="shared" si="0"/>
        <v>Queijo</v>
      </c>
      <c r="C90" s="164"/>
      <c r="D90" s="73">
        <f>60/D79</f>
        <v>16.666666666666668</v>
      </c>
      <c r="E90" s="129"/>
      <c r="J90" s="163" t="str">
        <f>J79</f>
        <v>Ervas Finas</v>
      </c>
      <c r="K90" s="164"/>
      <c r="L90" s="73">
        <f>60/L79</f>
        <v>15.463917525773196</v>
      </c>
    </row>
    <row r="91" spans="2:12" ht="15.75" hidden="1" thickBot="1" x14ac:dyDescent="0.3">
      <c r="B91" s="163" t="str">
        <f t="shared" si="0"/>
        <v>Alho</v>
      </c>
      <c r="C91" s="164"/>
      <c r="D91" s="73">
        <f t="shared" si="1"/>
        <v>17.543859649122808</v>
      </c>
      <c r="E91" s="129"/>
      <c r="J91" s="163" t="str">
        <f>J80</f>
        <v>Picante+Ervas Finas</v>
      </c>
      <c r="K91" s="164"/>
      <c r="L91" s="73">
        <f>60/L80</f>
        <v>15.424164524421593</v>
      </c>
    </row>
    <row r="92" spans="2:12" ht="15.75" hidden="1" thickBot="1" x14ac:dyDescent="0.3">
      <c r="B92" s="163" t="str">
        <f t="shared" si="0"/>
        <v>Cebola e salsa</v>
      </c>
      <c r="C92" s="164"/>
      <c r="D92" s="73">
        <f t="shared" si="1"/>
        <v>18.072289156626507</v>
      </c>
      <c r="E92" s="129"/>
      <c r="J92" s="161" t="str">
        <f>J81</f>
        <v>Bacon</v>
      </c>
      <c r="K92" s="162"/>
      <c r="L92" s="73">
        <f>60/L81</f>
        <v>15.384615384615385</v>
      </c>
    </row>
    <row r="93" spans="2:12" ht="15.75" hidden="1" thickBot="1" x14ac:dyDescent="0.3">
      <c r="B93" s="163" t="str">
        <f t="shared" si="0"/>
        <v>Doce</v>
      </c>
      <c r="C93" s="164"/>
      <c r="D93" s="73">
        <f t="shared" si="1"/>
        <v>15.384615384615385</v>
      </c>
      <c r="E93" s="129"/>
    </row>
    <row r="94" spans="2:12" ht="15.75" hidden="1" thickBot="1" x14ac:dyDescent="0.3">
      <c r="B94" s="163" t="str">
        <f t="shared" si="0"/>
        <v>Chocolate</v>
      </c>
      <c r="C94" s="164"/>
      <c r="D94" s="73">
        <f t="shared" si="1"/>
        <v>14.285714285714285</v>
      </c>
      <c r="E94" s="129"/>
    </row>
    <row r="95" spans="2:12" ht="15.75" hidden="1" thickBot="1" x14ac:dyDescent="0.3">
      <c r="B95" s="163" t="str">
        <f t="shared" si="0"/>
        <v>Gergelim</v>
      </c>
      <c r="C95" s="164"/>
      <c r="D95" s="73">
        <f t="shared" si="1"/>
        <v>16.666666666666668</v>
      </c>
      <c r="E95" s="129"/>
    </row>
    <row r="96" spans="2:12" ht="15.75" hidden="1" thickBot="1" x14ac:dyDescent="0.3">
      <c r="B96" s="161" t="str">
        <f t="shared" si="0"/>
        <v>Batatinha</v>
      </c>
      <c r="C96" s="162"/>
      <c r="D96" s="73">
        <f t="shared" si="1"/>
        <v>18.072289156626507</v>
      </c>
      <c r="E96" s="129"/>
    </row>
    <row r="97" spans="2:12" hidden="1" x14ac:dyDescent="0.25">
      <c r="D97" s="74">
        <f>SUM(D89:D96,H89,L89:L92)</f>
        <v>212.21117662630141</v>
      </c>
      <c r="E97" s="131"/>
    </row>
    <row r="98" spans="2:12" ht="15.75" hidden="1" thickBot="1" x14ac:dyDescent="0.3"/>
    <row r="99" spans="2:12" ht="15.75" hidden="1" thickBot="1" x14ac:dyDescent="0.3">
      <c r="D99" s="15" t="s">
        <v>78</v>
      </c>
      <c r="E99" s="16"/>
      <c r="H99" s="15" t="s">
        <v>78</v>
      </c>
      <c r="I99" s="16"/>
      <c r="L99" s="35" t="s">
        <v>78</v>
      </c>
    </row>
    <row r="100" spans="2:12" ht="15.75" hidden="1" thickBot="1" x14ac:dyDescent="0.3">
      <c r="B100" s="168" t="str">
        <f t="shared" ref="B100:B107" si="2">B89</f>
        <v>Tradicional</v>
      </c>
      <c r="C100" s="169"/>
      <c r="D100" s="36">
        <f>D89/$D$97</f>
        <v>8.5161815904029214E-2</v>
      </c>
      <c r="E100" s="132"/>
      <c r="F100" s="170" t="str">
        <f>F89</f>
        <v>Mineiro</v>
      </c>
      <c r="G100" s="171"/>
      <c r="H100" s="38">
        <f>H89/$D$97</f>
        <v>7.2496725333686396E-2</v>
      </c>
      <c r="I100" s="132"/>
      <c r="J100" s="168" t="str">
        <f>J89</f>
        <v>Caseiro</v>
      </c>
      <c r="K100" s="169"/>
      <c r="L100" s="36">
        <f>L89/$D$97</f>
        <v>7.4404533895099212E-2</v>
      </c>
    </row>
    <row r="101" spans="2:12" ht="15.75" hidden="1" thickBot="1" x14ac:dyDescent="0.3">
      <c r="B101" s="163" t="str">
        <f t="shared" si="2"/>
        <v>Queijo</v>
      </c>
      <c r="C101" s="164"/>
      <c r="D101" s="36">
        <f t="shared" ref="D101:D106" si="3">D90/$D$97</f>
        <v>7.8538119111493609E-2</v>
      </c>
      <c r="E101" s="133"/>
      <c r="J101" s="163" t="str">
        <f>J90</f>
        <v>Ervas Finas</v>
      </c>
      <c r="K101" s="164"/>
      <c r="L101" s="39">
        <f>L90/$D$97</f>
        <v>7.2870419794169319E-2</v>
      </c>
    </row>
    <row r="102" spans="2:12" ht="15.75" hidden="1" thickBot="1" x14ac:dyDescent="0.3">
      <c r="B102" s="163" t="str">
        <f t="shared" si="2"/>
        <v>Alho</v>
      </c>
      <c r="C102" s="164"/>
      <c r="D102" s="36">
        <f t="shared" si="3"/>
        <v>8.2671704327888007E-2</v>
      </c>
      <c r="E102" s="133"/>
      <c r="J102" s="163" t="str">
        <f>J91</f>
        <v>Picante+Ervas Finas</v>
      </c>
      <c r="K102" s="164"/>
      <c r="L102" s="39">
        <f>L91/$D$97</f>
        <v>7.268309223685783E-2</v>
      </c>
    </row>
    <row r="103" spans="2:12" ht="15.75" hidden="1" thickBot="1" x14ac:dyDescent="0.3">
      <c r="B103" s="163" t="str">
        <f t="shared" si="2"/>
        <v>Cebola e salsa</v>
      </c>
      <c r="C103" s="164"/>
      <c r="D103" s="36">
        <f t="shared" si="3"/>
        <v>8.5161815904029214E-2</v>
      </c>
      <c r="E103" s="133"/>
      <c r="J103" s="161" t="str">
        <f>J92</f>
        <v>Bacon</v>
      </c>
      <c r="K103" s="162"/>
      <c r="L103" s="40">
        <f>L92/$D$97</f>
        <v>7.2496725333686396E-2</v>
      </c>
    </row>
    <row r="104" spans="2:12" ht="15.75" hidden="1" thickBot="1" x14ac:dyDescent="0.3">
      <c r="B104" s="163" t="str">
        <f t="shared" si="2"/>
        <v>Doce</v>
      </c>
      <c r="C104" s="164"/>
      <c r="D104" s="36">
        <f t="shared" si="3"/>
        <v>7.2496725333686396E-2</v>
      </c>
      <c r="E104" s="133"/>
    </row>
    <row r="105" spans="2:12" ht="15.75" hidden="1" thickBot="1" x14ac:dyDescent="0.3">
      <c r="B105" s="163" t="str">
        <f t="shared" si="2"/>
        <v>Chocolate</v>
      </c>
      <c r="C105" s="164"/>
      <c r="D105" s="36">
        <f t="shared" si="3"/>
        <v>6.7318387809851651E-2</v>
      </c>
      <c r="E105" s="133"/>
    </row>
    <row r="106" spans="2:12" ht="15.75" hidden="1" thickBot="1" x14ac:dyDescent="0.3">
      <c r="B106" s="163" t="str">
        <f t="shared" si="2"/>
        <v>Gergelim</v>
      </c>
      <c r="C106" s="164"/>
      <c r="D106" s="36">
        <f t="shared" si="3"/>
        <v>7.8538119111493609E-2</v>
      </c>
      <c r="E106" s="133"/>
    </row>
    <row r="107" spans="2:12" ht="15.75" hidden="1" thickBot="1" x14ac:dyDescent="0.3">
      <c r="B107" s="161" t="str">
        <f t="shared" si="2"/>
        <v>Batatinha</v>
      </c>
      <c r="C107" s="162"/>
      <c r="D107" s="37">
        <f>D96/$D$97</f>
        <v>8.5161815904029214E-2</v>
      </c>
      <c r="E107" s="133"/>
    </row>
  </sheetData>
  <mergeCells count="40">
    <mergeCell ref="B105:C105"/>
    <mergeCell ref="B106:C106"/>
    <mergeCell ref="B107:C107"/>
    <mergeCell ref="B102:C102"/>
    <mergeCell ref="J102:K102"/>
    <mergeCell ref="B103:C103"/>
    <mergeCell ref="J103:K103"/>
    <mergeCell ref="B104:C104"/>
    <mergeCell ref="B100:C100"/>
    <mergeCell ref="F100:G100"/>
    <mergeCell ref="J100:K100"/>
    <mergeCell ref="B101:C101"/>
    <mergeCell ref="J101:K101"/>
    <mergeCell ref="J11:K11"/>
    <mergeCell ref="B34:C34"/>
    <mergeCell ref="D12:D18"/>
    <mergeCell ref="H12:H18"/>
    <mergeCell ref="L12:L19"/>
    <mergeCell ref="F89:G89"/>
    <mergeCell ref="B89:C89"/>
    <mergeCell ref="B90:C90"/>
    <mergeCell ref="G26:G27"/>
    <mergeCell ref="B11:C11"/>
    <mergeCell ref="F11:G11"/>
    <mergeCell ref="J42:K42"/>
    <mergeCell ref="F42:G42"/>
    <mergeCell ref="B42:C42"/>
    <mergeCell ref="B96:C96"/>
    <mergeCell ref="J91:K91"/>
    <mergeCell ref="J92:K92"/>
    <mergeCell ref="B91:C91"/>
    <mergeCell ref="B92:C92"/>
    <mergeCell ref="B93:C93"/>
    <mergeCell ref="B94:C94"/>
    <mergeCell ref="B95:C95"/>
    <mergeCell ref="J77:K77"/>
    <mergeCell ref="F77:G77"/>
    <mergeCell ref="B77:C77"/>
    <mergeCell ref="J89:K89"/>
    <mergeCell ref="J90:K9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U19"/>
  <sheetViews>
    <sheetView showGridLines="0" zoomScale="90" zoomScaleNormal="90" workbookViewId="0">
      <selection activeCell="C15" sqref="C15"/>
    </sheetView>
  </sheetViews>
  <sheetFormatPr defaultRowHeight="15" x14ac:dyDescent="0.25"/>
  <cols>
    <col min="2" max="2" width="22.7109375" bestFit="1" customWidth="1"/>
  </cols>
  <sheetData>
    <row r="9" spans="2:21" ht="15.75" thickBot="1" x14ac:dyDescent="0.3"/>
    <row r="10" spans="2:21" ht="15.75" thickBot="1" x14ac:dyDescent="0.3">
      <c r="B10" s="186" t="s">
        <v>143</v>
      </c>
      <c r="C10" s="187"/>
      <c r="D10" s="188"/>
    </row>
    <row r="11" spans="2:21" x14ac:dyDescent="0.25">
      <c r="B11" s="153" t="s">
        <v>113</v>
      </c>
      <c r="C11" s="178">
        <f>Cálculos!C42:D42</f>
        <v>5912.66</v>
      </c>
      <c r="D11" s="179"/>
    </row>
    <row r="12" spans="2:21" ht="15.75" thickBot="1" x14ac:dyDescent="0.3">
      <c r="B12" s="154" t="s">
        <v>114</v>
      </c>
      <c r="C12" s="180">
        <f>Cálculos!C43:D43</f>
        <v>70951.92</v>
      </c>
      <c r="D12" s="181"/>
    </row>
    <row r="13" spans="2:21" ht="15.75" thickBot="1" x14ac:dyDescent="0.3"/>
    <row r="14" spans="2:21" ht="60" x14ac:dyDescent="0.25">
      <c r="B14" s="182" t="s">
        <v>117</v>
      </c>
      <c r="C14" s="183"/>
      <c r="D14" s="66" t="s">
        <v>74</v>
      </c>
      <c r="E14" s="47" t="s">
        <v>73</v>
      </c>
      <c r="F14" s="47" t="s">
        <v>48</v>
      </c>
      <c r="G14" s="47" t="s">
        <v>57</v>
      </c>
      <c r="H14" s="47" t="s">
        <v>58</v>
      </c>
      <c r="I14" s="47" t="s">
        <v>59</v>
      </c>
      <c r="J14" s="47" t="s">
        <v>60</v>
      </c>
      <c r="K14" s="47" t="s">
        <v>61</v>
      </c>
      <c r="L14" s="47" t="s">
        <v>62</v>
      </c>
      <c r="M14" s="47" t="s">
        <v>63</v>
      </c>
      <c r="N14" s="47" t="s">
        <v>64</v>
      </c>
      <c r="O14" s="47" t="s">
        <v>65</v>
      </c>
      <c r="P14" s="47" t="s">
        <v>66</v>
      </c>
      <c r="Q14" s="47" t="s">
        <v>67</v>
      </c>
      <c r="R14" s="47" t="s">
        <v>68</v>
      </c>
      <c r="S14" s="47" t="s">
        <v>69</v>
      </c>
      <c r="T14" s="47" t="s">
        <v>70</v>
      </c>
      <c r="U14" s="48" t="s">
        <v>71</v>
      </c>
    </row>
    <row r="15" spans="2:21" x14ac:dyDescent="0.25">
      <c r="B15" s="99" t="s">
        <v>118</v>
      </c>
      <c r="C15" s="52">
        <f>Cálculos!C46</f>
        <v>3220.6448164756266</v>
      </c>
      <c r="D15" s="92">
        <f>Cálculos!D46</f>
        <v>54.964634688246711</v>
      </c>
      <c r="E15" s="29">
        <f>Cálculos!E46</f>
        <v>54.964634688246711</v>
      </c>
      <c r="F15" s="29">
        <f>Cálculos!F46</f>
        <v>566.25945190077971</v>
      </c>
      <c r="G15" s="29">
        <f>Cálculos!G46</f>
        <v>393.05899532688329</v>
      </c>
      <c r="H15" s="29">
        <f>Cálculos!H46</f>
        <v>93.316164358180913</v>
      </c>
      <c r="I15" s="29">
        <f>Cálculos!I46</f>
        <v>612.21059344079299</v>
      </c>
      <c r="J15" s="29">
        <f>Cálculos!J46</f>
        <v>120.17990864311177</v>
      </c>
      <c r="K15" s="29">
        <f>Cálculos!K46</f>
        <v>108.1619177788006</v>
      </c>
      <c r="L15" s="29">
        <f>Cálculos!L46</f>
        <v>59.383013682478769</v>
      </c>
      <c r="M15" s="29">
        <f>Cálculos!M46</f>
        <v>59.029543362940203</v>
      </c>
      <c r="N15" s="29">
        <f>Cálculos!N46</f>
        <v>29.338036521700818</v>
      </c>
      <c r="O15" s="29">
        <f>Cálculos!O46</f>
        <v>195.8225570243645</v>
      </c>
      <c r="P15" s="29">
        <f>Cálculos!P46</f>
        <v>40.295616427396304</v>
      </c>
      <c r="Q15" s="29">
        <f>Cálculos!Q46</f>
        <v>10.604109586156923</v>
      </c>
      <c r="R15" s="29">
        <f>Cálculos!R46</f>
        <v>3.1812328758470771</v>
      </c>
      <c r="S15" s="29">
        <f>Cálculos!S46</f>
        <v>733.0974427229819</v>
      </c>
      <c r="T15" s="29">
        <f>Cálculos!T46</f>
        <v>69.280182629558553</v>
      </c>
      <c r="U15" s="52">
        <f>Cálculos!U46</f>
        <v>17.496780817158921</v>
      </c>
    </row>
    <row r="16" spans="2:21" ht="15.75" thickBot="1" x14ac:dyDescent="0.3">
      <c r="B16" s="99" t="s">
        <v>119</v>
      </c>
      <c r="C16" s="52">
        <f>Cálculos!C47</f>
        <v>38647.737797707516</v>
      </c>
      <c r="D16" s="94">
        <f>Cálculos!D47</f>
        <v>659.57561625896051</v>
      </c>
      <c r="E16" s="95">
        <f>Cálculos!E47</f>
        <v>659.57561625896051</v>
      </c>
      <c r="F16" s="95">
        <f>Cálculos!F47</f>
        <v>6795.1134228093561</v>
      </c>
      <c r="G16" s="95">
        <f>Cálculos!G47</f>
        <v>4716.707943922599</v>
      </c>
      <c r="H16" s="95">
        <f>Cálculos!H47</f>
        <v>1119.793972298171</v>
      </c>
      <c r="I16" s="95">
        <f>Cálculos!I47</f>
        <v>7346.527121289515</v>
      </c>
      <c r="J16" s="95">
        <f>Cálculos!J47</f>
        <v>1442.1589037173412</v>
      </c>
      <c r="K16" s="95">
        <f>Cálculos!K47</f>
        <v>1297.9430133456071</v>
      </c>
      <c r="L16" s="95">
        <f>Cálculos!L47</f>
        <v>712.5961641897452</v>
      </c>
      <c r="M16" s="95">
        <f>Cálculos!M47</f>
        <v>708.35452035528238</v>
      </c>
      <c r="N16" s="95">
        <f>Cálculos!N47</f>
        <v>352.05643826040978</v>
      </c>
      <c r="O16" s="95">
        <f>Cálculos!O47</f>
        <v>2349.8706842923739</v>
      </c>
      <c r="P16" s="95">
        <f>Cálculos!P47</f>
        <v>483.54739712875556</v>
      </c>
      <c r="Q16" s="95">
        <f>Cálculos!Q47</f>
        <v>127.24931503388306</v>
      </c>
      <c r="R16" s="95">
        <f>Cálculos!R47</f>
        <v>38.174794510164922</v>
      </c>
      <c r="S16" s="95">
        <f>Cálculos!S47</f>
        <v>8797.1693126757818</v>
      </c>
      <c r="T16" s="95">
        <f>Cálculos!T47</f>
        <v>831.36219155470258</v>
      </c>
      <c r="U16" s="96">
        <f>Cálculos!U47</f>
        <v>209.96136980590703</v>
      </c>
    </row>
    <row r="17" spans="2:21" ht="60" x14ac:dyDescent="0.25">
      <c r="B17" s="184" t="s">
        <v>120</v>
      </c>
      <c r="C17" s="185"/>
      <c r="D17" s="24" t="s">
        <v>74</v>
      </c>
      <c r="E17" s="47" t="s">
        <v>73</v>
      </c>
      <c r="F17" s="47" t="s">
        <v>48</v>
      </c>
      <c r="G17" s="47" t="s">
        <v>57</v>
      </c>
      <c r="H17" s="47" t="s">
        <v>58</v>
      </c>
      <c r="I17" s="47" t="s">
        <v>59</v>
      </c>
      <c r="J17" s="47" t="s">
        <v>60</v>
      </c>
      <c r="K17" s="47" t="s">
        <v>61</v>
      </c>
      <c r="L17" s="47" t="s">
        <v>62</v>
      </c>
      <c r="M17" s="47" t="s">
        <v>63</v>
      </c>
      <c r="N17" s="47" t="s">
        <v>64</v>
      </c>
      <c r="O17" s="47" t="s">
        <v>65</v>
      </c>
      <c r="P17" s="47" t="s">
        <v>66</v>
      </c>
      <c r="Q17" s="47" t="s">
        <v>67</v>
      </c>
      <c r="R17" s="47" t="s">
        <v>68</v>
      </c>
      <c r="S17" s="47" t="s">
        <v>69</v>
      </c>
      <c r="T17" s="47" t="s">
        <v>70</v>
      </c>
      <c r="U17" s="48" t="s">
        <v>71</v>
      </c>
    </row>
    <row r="18" spans="2:21" x14ac:dyDescent="0.25">
      <c r="B18" s="99" t="s">
        <v>118</v>
      </c>
      <c r="C18" s="52">
        <f>Cálculos!C49</f>
        <v>3876.2254624954257</v>
      </c>
      <c r="D18" s="51">
        <f>Cálculos!D49</f>
        <v>66.152999991004634</v>
      </c>
      <c r="E18" s="29">
        <f>Cálculos!E49</f>
        <v>66.152999991004634</v>
      </c>
      <c r="F18" s="29">
        <f>Cálculos!F49</f>
        <v>681.52479733498024</v>
      </c>
      <c r="G18" s="29">
        <f>Cálculos!G49</f>
        <v>473.06839864949939</v>
      </c>
      <c r="H18" s="29">
        <f>Cálculos!H49</f>
        <v>112.31120255707539</v>
      </c>
      <c r="I18" s="29">
        <f>Cálculos!I49</f>
        <v>736.82955616990375</v>
      </c>
      <c r="J18" s="29">
        <f>Cálculos!J49</f>
        <v>144.64321541441527</v>
      </c>
      <c r="K18" s="29">
        <f>Cálculos!K49</f>
        <v>130.17889387297373</v>
      </c>
      <c r="L18" s="29">
        <f>Cálculos!L49</f>
        <v>71.470765263593435</v>
      </c>
      <c r="M18" s="29">
        <f>Cálculos!M49</f>
        <v>71.045344041786322</v>
      </c>
      <c r="N18" s="29">
        <f>Cálculos!N49</f>
        <v>35.309961409989612</v>
      </c>
      <c r="O18" s="29">
        <f>Cálculos!O49</f>
        <v>235.68335688113547</v>
      </c>
      <c r="P18" s="29">
        <f>Cálculos!P49</f>
        <v>48.498019286009821</v>
      </c>
      <c r="Q18" s="29">
        <f>Cálculos!Q49</f>
        <v>12.762636654213113</v>
      </c>
      <c r="R18" s="29">
        <f>Cálculos!R49</f>
        <v>3.8287909962639342</v>
      </c>
      <c r="S18" s="29">
        <f>Cálculos!S49</f>
        <v>882.3236140279331</v>
      </c>
      <c r="T18" s="29">
        <f>Cálculos!T49</f>
        <v>83.382559474192334</v>
      </c>
      <c r="U18" s="52">
        <f>Cálculos!U49</f>
        <v>21.058350479451637</v>
      </c>
    </row>
    <row r="19" spans="2:21" ht="15.75" thickBot="1" x14ac:dyDescent="0.3">
      <c r="B19" s="98" t="s">
        <v>119</v>
      </c>
      <c r="C19" s="93">
        <f>Cálculos!C50</f>
        <v>46514.705549945109</v>
      </c>
      <c r="D19" s="69">
        <f>Cálculos!D50</f>
        <v>793.8359998920555</v>
      </c>
      <c r="E19" s="70">
        <f>Cálculos!E50</f>
        <v>793.8359998920555</v>
      </c>
      <c r="F19" s="70">
        <f>Cálculos!F50</f>
        <v>8178.2975680197633</v>
      </c>
      <c r="G19" s="70">
        <f>Cálculos!G50</f>
        <v>5676.8207837939926</v>
      </c>
      <c r="H19" s="70">
        <f>Cálculos!H50</f>
        <v>1347.7344306849047</v>
      </c>
      <c r="I19" s="70">
        <f>Cálculos!I50</f>
        <v>8841.954674038845</v>
      </c>
      <c r="J19" s="70">
        <f>Cálculos!J50</f>
        <v>1735.7185849729831</v>
      </c>
      <c r="K19" s="70">
        <f>Cálculos!K50</f>
        <v>1562.146726475685</v>
      </c>
      <c r="L19" s="70">
        <f>Cálculos!L50</f>
        <v>857.64918316312117</v>
      </c>
      <c r="M19" s="70">
        <f>Cálculos!M50</f>
        <v>852.54412850143592</v>
      </c>
      <c r="N19" s="70">
        <f>Cálculos!N50</f>
        <v>423.71953691987534</v>
      </c>
      <c r="O19" s="70">
        <f>Cálculos!O50</f>
        <v>2828.2002825736258</v>
      </c>
      <c r="P19" s="70">
        <f>Cálculos!P50</f>
        <v>581.97623143211786</v>
      </c>
      <c r="Q19" s="70">
        <f>Cálculos!Q50</f>
        <v>153.15163985055736</v>
      </c>
      <c r="R19" s="70">
        <f>Cálculos!R50</f>
        <v>45.945491955167206</v>
      </c>
      <c r="S19" s="70">
        <f>Cálculos!S50</f>
        <v>10587.883368335197</v>
      </c>
      <c r="T19" s="70">
        <f>Cálculos!T50</f>
        <v>1000.5907136903079</v>
      </c>
      <c r="U19" s="71">
        <f>Cálculos!U50</f>
        <v>252.70020575341962</v>
      </c>
    </row>
  </sheetData>
  <mergeCells count="5">
    <mergeCell ref="C11:D11"/>
    <mergeCell ref="C12:D12"/>
    <mergeCell ref="B14:C14"/>
    <mergeCell ref="B17:C17"/>
    <mergeCell ref="B10:D10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showGridLines="0" zoomScale="85" zoomScaleNormal="85" workbookViewId="0">
      <selection activeCell="C27" sqref="C27"/>
    </sheetView>
  </sheetViews>
  <sheetFormatPr defaultRowHeight="15" x14ac:dyDescent="0.25"/>
  <cols>
    <col min="2" max="2" width="38" bestFit="1" customWidth="1"/>
    <col min="3" max="3" width="11" customWidth="1"/>
    <col min="4" max="6" width="9.85546875" customWidth="1"/>
    <col min="7" max="7" width="11.42578125" customWidth="1"/>
    <col min="8" max="8" width="11.5703125" bestFit="1" customWidth="1"/>
    <col min="9" max="21" width="9.85546875" customWidth="1"/>
  </cols>
  <sheetData>
    <row r="1" spans="1:21" ht="15.75" thickBot="1" x14ac:dyDescent="0.3">
      <c r="E1">
        <v>2</v>
      </c>
      <c r="F1">
        <v>3</v>
      </c>
      <c r="H1">
        <v>1</v>
      </c>
      <c r="R1">
        <v>4</v>
      </c>
    </row>
    <row r="2" spans="1:21" ht="45.75" thickBot="1" x14ac:dyDescent="0.3">
      <c r="C2" s="56" t="s">
        <v>74</v>
      </c>
      <c r="D2" s="57" t="s">
        <v>73</v>
      </c>
      <c r="E2" s="57" t="s">
        <v>48</v>
      </c>
      <c r="F2" s="57" t="s">
        <v>57</v>
      </c>
      <c r="G2" s="117" t="s">
        <v>58</v>
      </c>
      <c r="H2" s="57" t="s">
        <v>59</v>
      </c>
      <c r="I2" s="57" t="s">
        <v>60</v>
      </c>
      <c r="J2" s="57" t="s">
        <v>61</v>
      </c>
      <c r="K2" s="57" t="s">
        <v>62</v>
      </c>
      <c r="L2" s="57" t="s">
        <v>63</v>
      </c>
      <c r="M2" s="57" t="s">
        <v>64</v>
      </c>
      <c r="N2" s="57" t="s">
        <v>65</v>
      </c>
      <c r="O2" s="57" t="s">
        <v>66</v>
      </c>
      <c r="P2" s="57" t="s">
        <v>67</v>
      </c>
      <c r="Q2" s="57" t="s">
        <v>68</v>
      </c>
      <c r="R2" s="57" t="s">
        <v>69</v>
      </c>
      <c r="S2" s="57" t="s">
        <v>70</v>
      </c>
      <c r="T2" s="58" t="s">
        <v>71</v>
      </c>
    </row>
    <row r="3" spans="1:21" x14ac:dyDescent="0.25">
      <c r="B3" s="59" t="s">
        <v>103</v>
      </c>
      <c r="C3" s="24">
        <v>2.25</v>
      </c>
      <c r="D3" s="47">
        <v>2.25</v>
      </c>
      <c r="E3" s="47">
        <v>2</v>
      </c>
      <c r="F3" s="47">
        <v>2.25</v>
      </c>
      <c r="G3" s="118">
        <v>1.5</v>
      </c>
      <c r="H3" s="47">
        <v>2.25</v>
      </c>
      <c r="I3" s="47">
        <v>2.25</v>
      </c>
      <c r="J3" s="47">
        <v>2.25</v>
      </c>
      <c r="K3" s="47">
        <v>2.25</v>
      </c>
      <c r="L3" s="47">
        <v>2.25</v>
      </c>
      <c r="M3" s="47">
        <v>2.25</v>
      </c>
      <c r="N3" s="47">
        <v>2.25</v>
      </c>
      <c r="O3" s="47">
        <v>2.25</v>
      </c>
      <c r="P3" s="47">
        <v>2.25</v>
      </c>
      <c r="Q3" s="47">
        <v>2.25</v>
      </c>
      <c r="R3" s="47">
        <v>1.1000000000000001</v>
      </c>
      <c r="S3" s="47">
        <v>3</v>
      </c>
      <c r="T3" s="48">
        <v>26</v>
      </c>
    </row>
    <row r="4" spans="1:21" x14ac:dyDescent="0.25">
      <c r="B4" s="60" t="s">
        <v>105</v>
      </c>
      <c r="C4" s="75">
        <f>Preencher!D96</f>
        <v>18.072289156626507</v>
      </c>
      <c r="D4" s="45">
        <f>Preencher!H89</f>
        <v>15.384615384615385</v>
      </c>
      <c r="E4" s="45">
        <f>Preencher!D89</f>
        <v>18.072289156626507</v>
      </c>
      <c r="F4" s="45">
        <f>Preencher!D89</f>
        <v>18.072289156626507</v>
      </c>
      <c r="G4" s="119">
        <f>Preencher!D89</f>
        <v>18.072289156626507</v>
      </c>
      <c r="H4" s="45">
        <f>Preencher!L89</f>
        <v>15.789473684210527</v>
      </c>
      <c r="I4" s="45">
        <f>Preencher!L90</f>
        <v>15.463917525773196</v>
      </c>
      <c r="J4" s="45">
        <f>Preencher!L91</f>
        <v>15.424164524421593</v>
      </c>
      <c r="K4" s="45">
        <f>Preencher!L92</f>
        <v>15.384615384615385</v>
      </c>
      <c r="L4" s="45">
        <f>Preencher!D93</f>
        <v>15.384615384615385</v>
      </c>
      <c r="M4" s="45">
        <f>Preencher!D94</f>
        <v>14.285714285714285</v>
      </c>
      <c r="N4" s="45">
        <f>Preencher!D90</f>
        <v>16.666666666666668</v>
      </c>
      <c r="O4" s="45">
        <f>Preencher!D92</f>
        <v>18.072289156626507</v>
      </c>
      <c r="P4" s="45">
        <f>Preencher!D91</f>
        <v>17.543859649122808</v>
      </c>
      <c r="Q4" s="45">
        <f>Preencher!D95</f>
        <v>16.666666666666668</v>
      </c>
      <c r="R4" s="45">
        <f>AVERAGE(Preencher!D89:D96,Preencher!H89,Preencher!L89:L92)</f>
        <v>16.323936663561646</v>
      </c>
      <c r="S4" s="45">
        <f>Preencher!D89</f>
        <v>18.072289156626507</v>
      </c>
      <c r="T4" s="76">
        <f>AVERAGE(Preencher!D89:D96,Preencher!H89,Preencher!L89:L92)</f>
        <v>16.323936663561646</v>
      </c>
    </row>
    <row r="5" spans="1:21" x14ac:dyDescent="0.25">
      <c r="B5" s="60" t="s">
        <v>98</v>
      </c>
      <c r="C5" s="26">
        <v>60</v>
      </c>
      <c r="D5" s="41">
        <v>60</v>
      </c>
      <c r="E5" s="41">
        <v>60</v>
      </c>
      <c r="F5" s="41">
        <v>80</v>
      </c>
      <c r="G5" s="120">
        <v>40</v>
      </c>
      <c r="H5" s="41">
        <v>80</v>
      </c>
      <c r="I5" s="41">
        <v>80</v>
      </c>
      <c r="J5" s="41">
        <v>80</v>
      </c>
      <c r="K5" s="41">
        <v>80</v>
      </c>
      <c r="L5" s="41">
        <v>60</v>
      </c>
      <c r="M5" s="41">
        <v>60</v>
      </c>
      <c r="N5" s="41">
        <v>60</v>
      </c>
      <c r="O5" s="41">
        <v>60</v>
      </c>
      <c r="P5" s="41">
        <v>60</v>
      </c>
      <c r="Q5" s="41">
        <v>60</v>
      </c>
      <c r="R5" s="41">
        <v>40</v>
      </c>
      <c r="S5" s="41">
        <v>120</v>
      </c>
      <c r="T5" s="49">
        <v>1000</v>
      </c>
    </row>
    <row r="6" spans="1:21" x14ac:dyDescent="0.25">
      <c r="B6" s="60" t="s">
        <v>123</v>
      </c>
      <c r="C6" s="75">
        <f>(C4/1000)*C5</f>
        <v>1.0843373493975903</v>
      </c>
      <c r="D6" s="45">
        <f t="shared" ref="D6:T6" si="0">(D4/1000)*D5</f>
        <v>0.92307692307692313</v>
      </c>
      <c r="E6" s="45">
        <f t="shared" si="0"/>
        <v>1.0843373493975903</v>
      </c>
      <c r="F6" s="45">
        <f t="shared" si="0"/>
        <v>1.4457831325301205</v>
      </c>
      <c r="G6" s="119">
        <f t="shared" si="0"/>
        <v>0.72289156626506024</v>
      </c>
      <c r="H6" s="45">
        <f t="shared" si="0"/>
        <v>1.263157894736842</v>
      </c>
      <c r="I6" s="45">
        <f t="shared" si="0"/>
        <v>1.2371134020618557</v>
      </c>
      <c r="J6" s="45">
        <f t="shared" si="0"/>
        <v>1.2339331619537275</v>
      </c>
      <c r="K6" s="45">
        <f t="shared" si="0"/>
        <v>1.2307692307692308</v>
      </c>
      <c r="L6" s="45">
        <f t="shared" si="0"/>
        <v>0.92307692307692313</v>
      </c>
      <c r="M6" s="45">
        <f t="shared" si="0"/>
        <v>0.8571428571428571</v>
      </c>
      <c r="N6" s="45">
        <f t="shared" si="0"/>
        <v>1</v>
      </c>
      <c r="O6" s="45">
        <f t="shared" si="0"/>
        <v>1.0843373493975903</v>
      </c>
      <c r="P6" s="45">
        <f t="shared" si="0"/>
        <v>1.0526315789473686</v>
      </c>
      <c r="Q6" s="45">
        <f t="shared" si="0"/>
        <v>1</v>
      </c>
      <c r="R6" s="45">
        <f t="shared" si="0"/>
        <v>0.65295746654246589</v>
      </c>
      <c r="S6" s="45">
        <f t="shared" si="0"/>
        <v>2.1686746987951806</v>
      </c>
      <c r="T6" s="76">
        <f t="shared" si="0"/>
        <v>16.323936663561646</v>
      </c>
    </row>
    <row r="7" spans="1:21" x14ac:dyDescent="0.25">
      <c r="B7" s="60" t="s">
        <v>72</v>
      </c>
      <c r="C7" s="50">
        <f>(Preencher!C85/1000)*C5</f>
        <v>0.40662650602409639</v>
      </c>
      <c r="D7" s="21">
        <f>(Preencher!G78/1000)*D5</f>
        <v>0.26415384615384613</v>
      </c>
      <c r="E7" s="21">
        <f>(Preencher!C78/1000)*E5</f>
        <v>0.21144578313253012</v>
      </c>
      <c r="F7" s="21">
        <f>(Preencher!C78/1000)*F5</f>
        <v>0.28192771084337354</v>
      </c>
      <c r="G7" s="121">
        <f>(Preencher!C78/1000)*G5</f>
        <v>0.14096385542168677</v>
      </c>
      <c r="H7" s="21">
        <f>(Preencher!K78/1000)*H5</f>
        <v>0.363578947368421</v>
      </c>
      <c r="I7" s="21">
        <f>(Preencher!K79/1000)*I5</f>
        <v>0.37505154639175259</v>
      </c>
      <c r="J7" s="21">
        <f>(Preencher!K80/1000)*J5</f>
        <v>0.38498714652956295</v>
      </c>
      <c r="K7" s="21">
        <f>(Preencher!K81/1000)*K5</f>
        <v>0.44902564102564108</v>
      </c>
      <c r="L7" s="21">
        <f>(Preencher!C82/1000)*L5</f>
        <v>0.19230769230769235</v>
      </c>
      <c r="M7" s="21">
        <f>(Preencher!C83/1000)*M5</f>
        <v>0.26885714285714285</v>
      </c>
      <c r="N7" s="21">
        <f>(Preencher!C79/1000)*N5</f>
        <v>0.30899999999999994</v>
      </c>
      <c r="O7" s="21">
        <f>(Preencher!C81/1000)*O5</f>
        <v>0.24596385542168681</v>
      </c>
      <c r="P7" s="21">
        <f>(Preencher!C80/1000)*P5</f>
        <v>0.23438596491228075</v>
      </c>
      <c r="Q7" s="21">
        <f>(Preencher!C84/1000)*Q5</f>
        <v>0.32100000000000006</v>
      </c>
      <c r="R7" s="21">
        <f>(AVERAGE(Preencher!C12:C18,Preencher!C20,Preencher!C22,Preencher!C24,Preencher!C26,Preencher!C28,Preencher!C30,Preencher!C32,Preencher!G12:G18,Preencher!K12:K19,Preencher!K21,Preencher!K23,Preencher!K25)/1000)*R5</f>
        <v>0.11232500000000001</v>
      </c>
      <c r="S7" s="21">
        <f>(Preencher!H81/1000)*S5</f>
        <v>0</v>
      </c>
      <c r="T7" s="23">
        <f>AVERAGE(Preencher!C12:C18,Preencher!C20,Preencher!C22,Preencher!C24,Preencher!C26,Preencher!C28,Preencher!C30,Preencher!C32,Preencher!G12:G18,Preencher!K12:K19,Preencher!K21,Preencher!K23,Preencher!K25)</f>
        <v>2.8081250000000004</v>
      </c>
    </row>
    <row r="8" spans="1:21" x14ac:dyDescent="0.25">
      <c r="B8" s="60" t="s">
        <v>75</v>
      </c>
      <c r="C8" s="50">
        <f>Preencher!$C$35</f>
        <v>0.08</v>
      </c>
      <c r="D8" s="21">
        <f>Preencher!$C$35</f>
        <v>0.08</v>
      </c>
      <c r="E8" s="21">
        <f>Preencher!$C$35</f>
        <v>0.08</v>
      </c>
      <c r="F8" s="21">
        <f>Preencher!$C$35</f>
        <v>0.08</v>
      </c>
      <c r="G8" s="121">
        <f>Preencher!$C$35</f>
        <v>0.08</v>
      </c>
      <c r="H8" s="21">
        <f>Preencher!$C$35</f>
        <v>0.08</v>
      </c>
      <c r="I8" s="21">
        <f>Preencher!$C$35</f>
        <v>0.08</v>
      </c>
      <c r="J8" s="21">
        <f>Preencher!$C$35</f>
        <v>0.08</v>
      </c>
      <c r="K8" s="21">
        <f>Preencher!$C$35</f>
        <v>0.08</v>
      </c>
      <c r="L8" s="21">
        <f>Preencher!$C$35</f>
        <v>0.08</v>
      </c>
      <c r="M8" s="21">
        <f>Preencher!$C$35</f>
        <v>0.08</v>
      </c>
      <c r="N8" s="21">
        <f>Preencher!$C$35</f>
        <v>0.08</v>
      </c>
      <c r="O8" s="21">
        <f>Preencher!$C$35</f>
        <v>0.08</v>
      </c>
      <c r="P8" s="21">
        <f>Preencher!$C$35</f>
        <v>0.08</v>
      </c>
      <c r="Q8" s="21">
        <f>Preencher!$C$35</f>
        <v>0.08</v>
      </c>
      <c r="R8" s="21">
        <f>Preencher!$C$35</f>
        <v>0.08</v>
      </c>
      <c r="S8" s="21">
        <f>Preencher!$C$35</f>
        <v>0.08</v>
      </c>
      <c r="T8" s="23">
        <v>0</v>
      </c>
    </row>
    <row r="9" spans="1:21" ht="15.75" thickBot="1" x14ac:dyDescent="0.3">
      <c r="B9" s="61" t="s">
        <v>99</v>
      </c>
      <c r="C9" s="50">
        <f>SUM(C7:C8)</f>
        <v>0.48662650602409641</v>
      </c>
      <c r="D9" s="21">
        <f t="shared" ref="D9:T9" si="1">SUM(D7:D8)</f>
        <v>0.34415384615384614</v>
      </c>
      <c r="E9" s="21">
        <f t="shared" si="1"/>
        <v>0.29144578313253011</v>
      </c>
      <c r="F9" s="21">
        <f t="shared" si="1"/>
        <v>0.36192771084337355</v>
      </c>
      <c r="G9" s="121">
        <f t="shared" si="1"/>
        <v>0.22096385542168678</v>
      </c>
      <c r="H9" s="21">
        <f t="shared" si="1"/>
        <v>0.44357894736842102</v>
      </c>
      <c r="I9" s="21">
        <f t="shared" si="1"/>
        <v>0.4550515463917526</v>
      </c>
      <c r="J9" s="21">
        <f t="shared" si="1"/>
        <v>0.46498714652956297</v>
      </c>
      <c r="K9" s="21">
        <f t="shared" si="1"/>
        <v>0.52902564102564109</v>
      </c>
      <c r="L9" s="21">
        <f t="shared" si="1"/>
        <v>0.27230769230769236</v>
      </c>
      <c r="M9" s="21">
        <f t="shared" si="1"/>
        <v>0.34885714285714287</v>
      </c>
      <c r="N9" s="21">
        <f t="shared" si="1"/>
        <v>0.38899999999999996</v>
      </c>
      <c r="O9" s="21">
        <f t="shared" si="1"/>
        <v>0.32596385542168682</v>
      </c>
      <c r="P9" s="21">
        <f t="shared" si="1"/>
        <v>0.31438596491228077</v>
      </c>
      <c r="Q9" s="21">
        <f t="shared" si="1"/>
        <v>0.40100000000000008</v>
      </c>
      <c r="R9" s="21">
        <f t="shared" si="1"/>
        <v>0.19232500000000002</v>
      </c>
      <c r="S9" s="21">
        <f t="shared" si="1"/>
        <v>0.08</v>
      </c>
      <c r="T9" s="23">
        <f t="shared" si="1"/>
        <v>2.8081250000000004</v>
      </c>
    </row>
    <row r="10" spans="1:21" x14ac:dyDescent="0.25">
      <c r="A10" s="193" t="s">
        <v>100</v>
      </c>
      <c r="B10" s="63" t="s">
        <v>76</v>
      </c>
      <c r="C10" s="26">
        <v>84</v>
      </c>
      <c r="D10" s="41">
        <v>84</v>
      </c>
      <c r="E10" s="41">
        <v>610</v>
      </c>
      <c r="F10" s="41">
        <v>363</v>
      </c>
      <c r="G10" s="120">
        <v>231</v>
      </c>
      <c r="H10" s="41">
        <v>584</v>
      </c>
      <c r="I10" s="41">
        <v>124</v>
      </c>
      <c r="J10" s="41">
        <v>92</v>
      </c>
      <c r="K10" s="41">
        <v>90</v>
      </c>
      <c r="L10" s="41">
        <v>61</v>
      </c>
      <c r="M10" s="41">
        <v>0</v>
      </c>
      <c r="N10" s="41">
        <v>162</v>
      </c>
      <c r="O10" s="41">
        <v>45</v>
      </c>
      <c r="P10" s="41">
        <v>0</v>
      </c>
      <c r="Q10" s="41">
        <v>0</v>
      </c>
      <c r="R10" s="41">
        <v>627</v>
      </c>
      <c r="S10" s="41">
        <v>89</v>
      </c>
      <c r="T10" s="49">
        <v>15</v>
      </c>
    </row>
    <row r="11" spans="1:21" ht="15.75" thickBot="1" x14ac:dyDescent="0.3">
      <c r="A11" s="194"/>
      <c r="B11" s="61" t="s">
        <v>79</v>
      </c>
      <c r="C11" s="26">
        <v>64.5</v>
      </c>
      <c r="D11" s="41">
        <v>64.5</v>
      </c>
      <c r="E11" s="41">
        <v>572</v>
      </c>
      <c r="F11" s="41">
        <v>360</v>
      </c>
      <c r="G11" s="120">
        <v>203</v>
      </c>
      <c r="H11" s="41">
        <v>515</v>
      </c>
      <c r="I11" s="41">
        <v>109</v>
      </c>
      <c r="J11" s="41">
        <v>54</v>
      </c>
      <c r="K11" s="41">
        <v>83</v>
      </c>
      <c r="L11" s="41">
        <v>58</v>
      </c>
      <c r="M11" s="41">
        <v>0</v>
      </c>
      <c r="N11" s="41">
        <v>135</v>
      </c>
      <c r="O11" s="41">
        <v>36</v>
      </c>
      <c r="P11" s="41">
        <v>0</v>
      </c>
      <c r="Q11" s="41">
        <v>0</v>
      </c>
      <c r="R11" s="41">
        <v>549</v>
      </c>
      <c r="S11" s="41">
        <v>63</v>
      </c>
      <c r="T11" s="49">
        <v>15</v>
      </c>
    </row>
    <row r="12" spans="1:21" x14ac:dyDescent="0.25">
      <c r="A12" s="193" t="s">
        <v>101</v>
      </c>
      <c r="B12" s="59" t="s">
        <v>76</v>
      </c>
      <c r="C12" s="26">
        <v>44</v>
      </c>
      <c r="D12" s="41">
        <v>44</v>
      </c>
      <c r="E12" s="41">
        <v>401</v>
      </c>
      <c r="F12" s="41">
        <v>384</v>
      </c>
      <c r="G12" s="120">
        <v>0</v>
      </c>
      <c r="H12" s="41">
        <v>698</v>
      </c>
      <c r="I12" s="41">
        <v>126</v>
      </c>
      <c r="J12" s="41">
        <v>140</v>
      </c>
      <c r="K12" s="41">
        <v>22</v>
      </c>
      <c r="L12" s="41">
        <v>57</v>
      </c>
      <c r="M12" s="41">
        <v>63</v>
      </c>
      <c r="N12" s="41">
        <v>230</v>
      </c>
      <c r="O12" s="41">
        <v>45</v>
      </c>
      <c r="P12" s="41">
        <v>6</v>
      </c>
      <c r="Q12" s="41">
        <v>0</v>
      </c>
      <c r="R12" s="41">
        <v>615</v>
      </c>
      <c r="S12" s="41">
        <v>99</v>
      </c>
      <c r="T12" s="49">
        <v>11</v>
      </c>
    </row>
    <row r="13" spans="1:21" ht="15.75" thickBot="1" x14ac:dyDescent="0.3">
      <c r="A13" s="194"/>
      <c r="B13" s="61" t="s">
        <v>79</v>
      </c>
      <c r="C13" s="26">
        <v>29</v>
      </c>
      <c r="D13" s="41">
        <v>29</v>
      </c>
      <c r="E13" s="41">
        <v>352</v>
      </c>
      <c r="F13" s="41">
        <v>357</v>
      </c>
      <c r="G13" s="120">
        <v>0</v>
      </c>
      <c r="H13" s="41">
        <v>617</v>
      </c>
      <c r="I13" s="41">
        <v>107</v>
      </c>
      <c r="J13" s="41">
        <v>113</v>
      </c>
      <c r="K13" s="41">
        <v>18</v>
      </c>
      <c r="L13" s="41">
        <v>52</v>
      </c>
      <c r="M13" s="41">
        <v>40</v>
      </c>
      <c r="N13" s="41">
        <v>193</v>
      </c>
      <c r="O13" s="41">
        <v>44</v>
      </c>
      <c r="P13" s="41">
        <v>6</v>
      </c>
      <c r="Q13" s="41">
        <v>0</v>
      </c>
      <c r="R13" s="41">
        <v>569</v>
      </c>
      <c r="S13" s="41">
        <v>64</v>
      </c>
      <c r="T13" s="49">
        <v>11</v>
      </c>
    </row>
    <row r="14" spans="1:21" x14ac:dyDescent="0.25">
      <c r="A14" s="193" t="s">
        <v>102</v>
      </c>
      <c r="B14" s="59" t="s">
        <v>76</v>
      </c>
      <c r="C14" s="26">
        <v>99.5</v>
      </c>
      <c r="D14" s="41">
        <v>99.5</v>
      </c>
      <c r="E14" s="41">
        <v>707</v>
      </c>
      <c r="F14" s="41">
        <v>398</v>
      </c>
      <c r="G14" s="120">
        <v>70</v>
      </c>
      <c r="H14" s="41">
        <v>678</v>
      </c>
      <c r="I14" s="41">
        <v>163</v>
      </c>
      <c r="J14" s="41">
        <v>174</v>
      </c>
      <c r="K14" s="41">
        <v>93</v>
      </c>
      <c r="L14" s="41">
        <v>99</v>
      </c>
      <c r="M14" s="41">
        <v>75</v>
      </c>
      <c r="N14" s="41">
        <v>262</v>
      </c>
      <c r="O14" s="41">
        <v>38</v>
      </c>
      <c r="P14" s="41">
        <v>25</v>
      </c>
      <c r="Q14" s="41">
        <v>12</v>
      </c>
      <c r="R14" s="41">
        <v>1172</v>
      </c>
      <c r="S14" s="41">
        <v>94</v>
      </c>
      <c r="T14" s="49">
        <v>23.5</v>
      </c>
    </row>
    <row r="15" spans="1:21" ht="15.75" thickBot="1" x14ac:dyDescent="0.3">
      <c r="A15" s="194"/>
      <c r="B15" s="61" t="s">
        <v>79</v>
      </c>
      <c r="C15" s="26">
        <v>62</v>
      </c>
      <c r="D15" s="41">
        <v>62</v>
      </c>
      <c r="E15" s="41">
        <v>678</v>
      </c>
      <c r="F15" s="41">
        <v>395</v>
      </c>
      <c r="G15" s="120">
        <v>61</v>
      </c>
      <c r="H15" s="41">
        <v>600</v>
      </c>
      <c r="I15" s="41">
        <v>124</v>
      </c>
      <c r="J15" s="41">
        <v>139</v>
      </c>
      <c r="K15" s="41">
        <v>67</v>
      </c>
      <c r="L15" s="41">
        <v>57</v>
      </c>
      <c r="M15" s="41">
        <v>43</v>
      </c>
      <c r="N15" s="41">
        <v>226</v>
      </c>
      <c r="O15" s="41">
        <v>34</v>
      </c>
      <c r="P15" s="41">
        <v>24</v>
      </c>
      <c r="Q15" s="41">
        <v>9</v>
      </c>
      <c r="R15" s="41">
        <v>956</v>
      </c>
      <c r="S15" s="41">
        <v>69</v>
      </c>
      <c r="T15" s="49">
        <v>23.5</v>
      </c>
    </row>
    <row r="16" spans="1:21" x14ac:dyDescent="0.25">
      <c r="A16" s="193" t="s">
        <v>108</v>
      </c>
      <c r="B16" s="59" t="s">
        <v>76</v>
      </c>
      <c r="C16" s="51">
        <f>SUM(C10,C12,C14)</f>
        <v>227.5</v>
      </c>
      <c r="D16" s="29">
        <f t="shared" ref="D16:T16" si="2">SUM(D10,D12,D14)</f>
        <v>227.5</v>
      </c>
      <c r="E16" s="29">
        <f t="shared" si="2"/>
        <v>1718</v>
      </c>
      <c r="F16" s="29">
        <f t="shared" si="2"/>
        <v>1145</v>
      </c>
      <c r="G16" s="122">
        <f t="shared" si="2"/>
        <v>301</v>
      </c>
      <c r="H16" s="29">
        <f t="shared" si="2"/>
        <v>1960</v>
      </c>
      <c r="I16" s="29">
        <f t="shared" si="2"/>
        <v>413</v>
      </c>
      <c r="J16" s="29">
        <f t="shared" si="2"/>
        <v>406</v>
      </c>
      <c r="K16" s="29">
        <f t="shared" si="2"/>
        <v>205</v>
      </c>
      <c r="L16" s="29">
        <f t="shared" si="2"/>
        <v>217</v>
      </c>
      <c r="M16" s="29">
        <f t="shared" si="2"/>
        <v>138</v>
      </c>
      <c r="N16" s="29">
        <f t="shared" si="2"/>
        <v>654</v>
      </c>
      <c r="O16" s="29">
        <f t="shared" si="2"/>
        <v>128</v>
      </c>
      <c r="P16" s="29">
        <f t="shared" si="2"/>
        <v>31</v>
      </c>
      <c r="Q16" s="29">
        <f t="shared" si="2"/>
        <v>12</v>
      </c>
      <c r="R16" s="29">
        <f t="shared" si="2"/>
        <v>2414</v>
      </c>
      <c r="S16" s="29">
        <f t="shared" si="2"/>
        <v>282</v>
      </c>
      <c r="T16" s="52">
        <f t="shared" si="2"/>
        <v>49.5</v>
      </c>
      <c r="U16" s="46"/>
    </row>
    <row r="17" spans="1:21" ht="15.75" thickBot="1" x14ac:dyDescent="0.3">
      <c r="A17" s="194"/>
      <c r="B17" s="61" t="s">
        <v>79</v>
      </c>
      <c r="C17" s="51">
        <f>SUM(C11,C13,C15)</f>
        <v>155.5</v>
      </c>
      <c r="D17" s="29">
        <f t="shared" ref="D17:T17" si="3">SUM(D11,D13,D15)</f>
        <v>155.5</v>
      </c>
      <c r="E17" s="29">
        <f t="shared" si="3"/>
        <v>1602</v>
      </c>
      <c r="F17" s="29">
        <f t="shared" si="3"/>
        <v>1112</v>
      </c>
      <c r="G17" s="122">
        <f t="shared" si="3"/>
        <v>264</v>
      </c>
      <c r="H17" s="29">
        <f t="shared" si="3"/>
        <v>1732</v>
      </c>
      <c r="I17" s="29">
        <f t="shared" si="3"/>
        <v>340</v>
      </c>
      <c r="J17" s="29">
        <f t="shared" si="3"/>
        <v>306</v>
      </c>
      <c r="K17" s="29">
        <f t="shared" si="3"/>
        <v>168</v>
      </c>
      <c r="L17" s="29">
        <f t="shared" si="3"/>
        <v>167</v>
      </c>
      <c r="M17" s="29">
        <f t="shared" si="3"/>
        <v>83</v>
      </c>
      <c r="N17" s="29">
        <f t="shared" si="3"/>
        <v>554</v>
      </c>
      <c r="O17" s="29">
        <f t="shared" si="3"/>
        <v>114</v>
      </c>
      <c r="P17" s="29">
        <f t="shared" si="3"/>
        <v>30</v>
      </c>
      <c r="Q17" s="29">
        <f t="shared" si="3"/>
        <v>9</v>
      </c>
      <c r="R17" s="29">
        <f t="shared" si="3"/>
        <v>2074</v>
      </c>
      <c r="S17" s="29">
        <f t="shared" si="3"/>
        <v>196</v>
      </c>
      <c r="T17" s="52">
        <f t="shared" si="3"/>
        <v>49.5</v>
      </c>
      <c r="U17" s="46"/>
    </row>
    <row r="18" spans="1:21" x14ac:dyDescent="0.25">
      <c r="A18" s="193" t="s">
        <v>78</v>
      </c>
      <c r="B18" s="59" t="s">
        <v>76</v>
      </c>
      <c r="C18" s="53">
        <f>C16/SUM($C$16:$T$16)</f>
        <v>2.1608016336610154E-2</v>
      </c>
      <c r="D18" s="44">
        <f t="shared" ref="D18:T18" si="4">D16/SUM($C$16:$T$16)</f>
        <v>2.1608016336610154E-2</v>
      </c>
      <c r="E18" s="44">
        <f>E16/SUM($C$16:$T$16)</f>
        <v>0.16317614095075272</v>
      </c>
      <c r="F18" s="44">
        <f t="shared" si="4"/>
        <v>0.10875243386997198</v>
      </c>
      <c r="G18" s="123">
        <f t="shared" si="4"/>
        <v>2.8589067768438049E-2</v>
      </c>
      <c r="H18" s="44">
        <f t="shared" si="4"/>
        <v>0.18616137151541054</v>
      </c>
      <c r="I18" s="44">
        <f t="shared" si="4"/>
        <v>3.9226860426461507E-2</v>
      </c>
      <c r="J18" s="44">
        <f t="shared" si="4"/>
        <v>3.8561998385335042E-2</v>
      </c>
      <c r="K18" s="44">
        <f t="shared" si="4"/>
        <v>1.9470959775846512E-2</v>
      </c>
      <c r="L18" s="44">
        <f t="shared" si="4"/>
        <v>2.0610723274920455E-2</v>
      </c>
      <c r="M18" s="44">
        <f t="shared" si="4"/>
        <v>1.3107280239350335E-2</v>
      </c>
      <c r="N18" s="44">
        <f t="shared" si="4"/>
        <v>6.2117110699529847E-2</v>
      </c>
      <c r="O18" s="44">
        <f t="shared" si="4"/>
        <v>1.2157477323455384E-2</v>
      </c>
      <c r="P18" s="44">
        <f t="shared" si="4"/>
        <v>2.9443890392743506E-3</v>
      </c>
      <c r="Q18" s="44">
        <f t="shared" si="4"/>
        <v>1.1397634990739421E-3</v>
      </c>
      <c r="R18" s="44">
        <f t="shared" si="4"/>
        <v>0.22928242389704137</v>
      </c>
      <c r="S18" s="44">
        <f t="shared" si="4"/>
        <v>2.6784442228237639E-2</v>
      </c>
      <c r="T18" s="39">
        <f t="shared" si="4"/>
        <v>4.7015244336800115E-3</v>
      </c>
    </row>
    <row r="19" spans="1:21" ht="15.75" thickBot="1" x14ac:dyDescent="0.3">
      <c r="A19" s="194"/>
      <c r="B19" s="61" t="s">
        <v>79</v>
      </c>
      <c r="C19" s="54">
        <f>C17/SUM($C$17:$T$17)</f>
        <v>1.7066344729188387E-2</v>
      </c>
      <c r="D19" s="55">
        <f t="shared" ref="D19:T19" si="5">D17/SUM($C$17:$T$17)</f>
        <v>1.7066344729188387E-2</v>
      </c>
      <c r="E19" s="55">
        <f t="shared" si="5"/>
        <v>0.17582176370520772</v>
      </c>
      <c r="F19" s="55">
        <f t="shared" si="5"/>
        <v>0.12204357131098063</v>
      </c>
      <c r="G19" s="124">
        <f t="shared" si="5"/>
        <v>2.8974373045052956E-2</v>
      </c>
      <c r="H19" s="55">
        <f t="shared" si="5"/>
        <v>0.1900894474016353</v>
      </c>
      <c r="I19" s="55">
        <f t="shared" si="5"/>
        <v>3.731548043681062E-2</v>
      </c>
      <c r="J19" s="55">
        <f t="shared" si="5"/>
        <v>3.3583932393129561E-2</v>
      </c>
      <c r="K19" s="55">
        <f t="shared" si="5"/>
        <v>1.8438237392306427E-2</v>
      </c>
      <c r="L19" s="55">
        <f t="shared" si="5"/>
        <v>1.8328485979256983E-2</v>
      </c>
      <c r="M19" s="55">
        <f t="shared" si="5"/>
        <v>9.1093672831037698E-3</v>
      </c>
      <c r="N19" s="55">
        <f t="shared" si="5"/>
        <v>6.080228282939143E-2</v>
      </c>
      <c r="O19" s="55">
        <f t="shared" si="5"/>
        <v>1.2511661087636503E-2</v>
      </c>
      <c r="P19" s="55">
        <f t="shared" si="5"/>
        <v>3.2925423914832905E-3</v>
      </c>
      <c r="Q19" s="55">
        <f t="shared" si="5"/>
        <v>9.877627174449872E-4</v>
      </c>
      <c r="R19" s="55">
        <f t="shared" si="5"/>
        <v>0.2276244306645448</v>
      </c>
      <c r="S19" s="55">
        <f t="shared" si="5"/>
        <v>2.1511276957690829E-2</v>
      </c>
      <c r="T19" s="40">
        <f t="shared" si="5"/>
        <v>5.432694945947429E-3</v>
      </c>
    </row>
    <row r="20" spans="1:21" x14ac:dyDescent="0.25">
      <c r="G20" s="125"/>
    </row>
    <row r="21" spans="1:21" ht="15.75" thickBot="1" x14ac:dyDescent="0.3">
      <c r="G21" s="125"/>
    </row>
    <row r="22" spans="1:21" x14ac:dyDescent="0.25">
      <c r="B22" s="64" t="s">
        <v>94</v>
      </c>
      <c r="C22" s="65">
        <f>C9</f>
        <v>0.48662650602409641</v>
      </c>
      <c r="D22" s="25">
        <f t="shared" ref="D22:T22" si="6">D9</f>
        <v>0.34415384615384614</v>
      </c>
      <c r="E22" s="25">
        <f t="shared" si="6"/>
        <v>0.29144578313253011</v>
      </c>
      <c r="F22" s="25">
        <f t="shared" si="6"/>
        <v>0.36192771084337355</v>
      </c>
      <c r="G22" s="126">
        <f t="shared" si="6"/>
        <v>0.22096385542168678</v>
      </c>
      <c r="H22" s="25">
        <f t="shared" si="6"/>
        <v>0.44357894736842102</v>
      </c>
      <c r="I22" s="25">
        <f t="shared" si="6"/>
        <v>0.4550515463917526</v>
      </c>
      <c r="J22" s="25">
        <f t="shared" si="6"/>
        <v>0.46498714652956297</v>
      </c>
      <c r="K22" s="25">
        <f t="shared" si="6"/>
        <v>0.52902564102564109</v>
      </c>
      <c r="L22" s="25">
        <f t="shared" si="6"/>
        <v>0.27230769230769236</v>
      </c>
      <c r="M22" s="25">
        <f t="shared" si="6"/>
        <v>0.34885714285714287</v>
      </c>
      <c r="N22" s="25">
        <f t="shared" si="6"/>
        <v>0.38899999999999996</v>
      </c>
      <c r="O22" s="25">
        <f t="shared" si="6"/>
        <v>0.32596385542168682</v>
      </c>
      <c r="P22" s="25">
        <f t="shared" si="6"/>
        <v>0.31438596491228077</v>
      </c>
      <c r="Q22" s="25">
        <f t="shared" si="6"/>
        <v>0.40100000000000008</v>
      </c>
      <c r="R22" s="25">
        <f t="shared" si="6"/>
        <v>0.19232500000000002</v>
      </c>
      <c r="S22" s="25">
        <f t="shared" si="6"/>
        <v>0.08</v>
      </c>
      <c r="T22" s="22">
        <f t="shared" si="6"/>
        <v>2.8081250000000004</v>
      </c>
    </row>
    <row r="23" spans="1:21" x14ac:dyDescent="0.25">
      <c r="B23" s="60" t="s">
        <v>123</v>
      </c>
      <c r="C23" s="51">
        <f>C6</f>
        <v>1.0843373493975903</v>
      </c>
      <c r="D23" s="29">
        <f t="shared" ref="D23:T23" si="7">D6</f>
        <v>0.92307692307692313</v>
      </c>
      <c r="E23" s="29">
        <f t="shared" si="7"/>
        <v>1.0843373493975903</v>
      </c>
      <c r="F23" s="29">
        <f t="shared" si="7"/>
        <v>1.4457831325301205</v>
      </c>
      <c r="G23" s="122">
        <f t="shared" si="7"/>
        <v>0.72289156626506024</v>
      </c>
      <c r="H23" s="29">
        <f t="shared" si="7"/>
        <v>1.263157894736842</v>
      </c>
      <c r="I23" s="29">
        <f t="shared" si="7"/>
        <v>1.2371134020618557</v>
      </c>
      <c r="J23" s="29">
        <f t="shared" si="7"/>
        <v>1.2339331619537275</v>
      </c>
      <c r="K23" s="29">
        <f t="shared" si="7"/>
        <v>1.2307692307692308</v>
      </c>
      <c r="L23" s="29">
        <f t="shared" si="7"/>
        <v>0.92307692307692313</v>
      </c>
      <c r="M23" s="29">
        <f t="shared" si="7"/>
        <v>0.8571428571428571</v>
      </c>
      <c r="N23" s="29">
        <f t="shared" si="7"/>
        <v>1</v>
      </c>
      <c r="O23" s="29">
        <f t="shared" si="7"/>
        <v>1.0843373493975903</v>
      </c>
      <c r="P23" s="29">
        <f t="shared" si="7"/>
        <v>1.0526315789473686</v>
      </c>
      <c r="Q23" s="29">
        <f t="shared" si="7"/>
        <v>1</v>
      </c>
      <c r="R23" s="29">
        <f t="shared" si="7"/>
        <v>0.65295746654246589</v>
      </c>
      <c r="S23" s="29">
        <f t="shared" si="7"/>
        <v>2.1686746987951806</v>
      </c>
      <c r="T23" s="52">
        <f t="shared" si="7"/>
        <v>16.323936663561646</v>
      </c>
    </row>
    <row r="24" spans="1:21" x14ac:dyDescent="0.25">
      <c r="B24" s="60" t="s">
        <v>106</v>
      </c>
      <c r="C24" s="51">
        <f>C23*C16</f>
        <v>246.68674698795181</v>
      </c>
      <c r="D24" s="29">
        <f t="shared" ref="D24:T24" si="8">D23*D16</f>
        <v>210</v>
      </c>
      <c r="E24" s="29">
        <f t="shared" si="8"/>
        <v>1862.8915662650602</v>
      </c>
      <c r="F24" s="29">
        <f t="shared" si="8"/>
        <v>1655.4216867469879</v>
      </c>
      <c r="G24" s="122">
        <f t="shared" si="8"/>
        <v>217.59036144578315</v>
      </c>
      <c r="H24" s="29">
        <f t="shared" si="8"/>
        <v>2475.7894736842104</v>
      </c>
      <c r="I24" s="29">
        <f t="shared" si="8"/>
        <v>510.92783505154642</v>
      </c>
      <c r="J24" s="29">
        <f t="shared" si="8"/>
        <v>500.97686375321337</v>
      </c>
      <c r="K24" s="29">
        <f t="shared" si="8"/>
        <v>252.30769230769232</v>
      </c>
      <c r="L24" s="29">
        <f t="shared" si="8"/>
        <v>200.30769230769232</v>
      </c>
      <c r="M24" s="29">
        <f t="shared" si="8"/>
        <v>118.28571428571428</v>
      </c>
      <c r="N24" s="29">
        <f t="shared" si="8"/>
        <v>654</v>
      </c>
      <c r="O24" s="29">
        <f t="shared" si="8"/>
        <v>138.79518072289156</v>
      </c>
      <c r="P24" s="29">
        <f t="shared" si="8"/>
        <v>32.631578947368425</v>
      </c>
      <c r="Q24" s="29">
        <f t="shared" si="8"/>
        <v>12</v>
      </c>
      <c r="R24" s="29">
        <f t="shared" si="8"/>
        <v>1576.2393242335127</v>
      </c>
      <c r="S24" s="29">
        <f t="shared" si="8"/>
        <v>611.56626506024088</v>
      </c>
      <c r="T24" s="52">
        <f t="shared" si="8"/>
        <v>808.0348648463015</v>
      </c>
    </row>
    <row r="25" spans="1:21" x14ac:dyDescent="0.25">
      <c r="B25" s="60" t="s">
        <v>95</v>
      </c>
      <c r="C25" s="50">
        <f>(Preencher!$C$74/SUM($C$24:$T$24))*C23</f>
        <v>4.0378477488481272E-2</v>
      </c>
      <c r="D25" s="21">
        <f>(Preencher!$C$74/SUM($C$24:$T$24))*D23</f>
        <v>3.4373473144040469E-2</v>
      </c>
      <c r="E25" s="21">
        <f>(Preencher!$C$74/SUM($C$24:$T$24))*E23</f>
        <v>4.0378477488481272E-2</v>
      </c>
      <c r="F25" s="21">
        <f>(Preencher!$C$74/SUM($C$24:$T$24))*F23</f>
        <v>5.3837969984641694E-2</v>
      </c>
      <c r="G25" s="121">
        <f>(Preencher!$C$74/SUM($C$24:$T$24))*G23</f>
        <v>2.6918984992320847E-2</v>
      </c>
      <c r="H25" s="21">
        <f>(Preencher!$C$74/SUM($C$24:$T$24))*H23</f>
        <v>4.7037384302371164E-2</v>
      </c>
      <c r="I25" s="21">
        <f>(Preencher!$C$74/SUM($C$24:$T$24))*I23</f>
        <v>4.6067541327064546E-2</v>
      </c>
      <c r="J25" s="21">
        <f>(Preencher!$C$74/SUM($C$24:$T$24))*J23</f>
        <v>4.5949115770953841E-2</v>
      </c>
      <c r="K25" s="21">
        <f>(Preencher!$C$74/SUM($C$24:$T$24))*K23</f>
        <v>4.5831297525387296E-2</v>
      </c>
      <c r="L25" s="21">
        <f>(Preencher!$C$74/SUM($C$24:$T$24))*L23</f>
        <v>3.4373473144040469E-2</v>
      </c>
      <c r="M25" s="21">
        <f>(Preencher!$C$74/SUM($C$24:$T$24))*M23</f>
        <v>3.1918225062323287E-2</v>
      </c>
      <c r="N25" s="21">
        <f>(Preencher!$C$74/SUM($C$24:$T$24))*N23</f>
        <v>3.7237929239377174E-2</v>
      </c>
      <c r="O25" s="21">
        <f>(Preencher!$C$74/SUM($C$24:$T$24))*O23</f>
        <v>4.0378477488481272E-2</v>
      </c>
      <c r="P25" s="21">
        <f>(Preencher!$C$74/SUM($C$24:$T$24))*P23</f>
        <v>3.9197820251975976E-2</v>
      </c>
      <c r="Q25" s="21">
        <f>(Preencher!$C$74/SUM($C$24:$T$24))*Q23</f>
        <v>3.7237929239377174E-2</v>
      </c>
      <c r="R25" s="21">
        <f>(Preencher!$C$74/SUM($C$24:$T$24))*R23</f>
        <v>2.4314783935431333E-2</v>
      </c>
      <c r="S25" s="21">
        <f>(Preencher!$C$74/SUM($C$24:$T$24))*S23</f>
        <v>8.0756954976962544E-2</v>
      </c>
      <c r="T25" s="23">
        <f>(Preencher!$C$74/SUM($C$24:$T$24))*T23</f>
        <v>0.60786959838578325</v>
      </c>
    </row>
    <row r="26" spans="1:21" ht="15.75" thickBot="1" x14ac:dyDescent="0.3">
      <c r="B26" s="62" t="s">
        <v>107</v>
      </c>
      <c r="C26" s="77">
        <f>C3*Preencher!$K$74</f>
        <v>0.17235</v>
      </c>
      <c r="D26" s="67">
        <f>D3*Preencher!$K$74</f>
        <v>0.17235</v>
      </c>
      <c r="E26" s="67">
        <f>E3*Preencher!$K$74</f>
        <v>0.1532</v>
      </c>
      <c r="F26" s="67">
        <f>F3*Preencher!$K$74</f>
        <v>0.17235</v>
      </c>
      <c r="G26" s="127">
        <f>G3*Preencher!$K$74</f>
        <v>0.1149</v>
      </c>
      <c r="H26" s="67">
        <f>H3*Preencher!$K$74</f>
        <v>0.17235</v>
      </c>
      <c r="I26" s="67">
        <f>I3*Preencher!$K$74</f>
        <v>0.17235</v>
      </c>
      <c r="J26" s="67">
        <f>J3*Preencher!$K$74</f>
        <v>0.17235</v>
      </c>
      <c r="K26" s="67">
        <f>K3*Preencher!$K$74</f>
        <v>0.17235</v>
      </c>
      <c r="L26" s="67">
        <f>L3*Preencher!$K$74</f>
        <v>0.17235</v>
      </c>
      <c r="M26" s="67">
        <f>M3*Preencher!$K$74</f>
        <v>0.17235</v>
      </c>
      <c r="N26" s="67">
        <f>N3*Preencher!$K$74</f>
        <v>0.17235</v>
      </c>
      <c r="O26" s="67">
        <f>O3*Preencher!$K$74</f>
        <v>0.17235</v>
      </c>
      <c r="P26" s="67">
        <f>P3*Preencher!$K$74</f>
        <v>0.17235</v>
      </c>
      <c r="Q26" s="67">
        <f>Q3*Preencher!$K$74</f>
        <v>0.17235</v>
      </c>
      <c r="R26" s="67">
        <f>R3*Preencher!$K$74</f>
        <v>8.4260000000000002E-2</v>
      </c>
      <c r="S26" s="67">
        <f>S3*Preencher!$K$74</f>
        <v>0.2298</v>
      </c>
      <c r="T26" s="68">
        <f>T3*Preencher!$K$74</f>
        <v>1.9916</v>
      </c>
    </row>
    <row r="27" spans="1:21" ht="15.75" thickBot="1" x14ac:dyDescent="0.3">
      <c r="B27" s="83" t="s">
        <v>104</v>
      </c>
      <c r="C27" s="84">
        <f>SUM(C22,C25,C26)</f>
        <v>0.69935498351257763</v>
      </c>
      <c r="D27" s="81">
        <f t="shared" ref="D27:T27" si="9">SUM(D22,D25,D26)</f>
        <v>0.55087731929788664</v>
      </c>
      <c r="E27" s="81">
        <f t="shared" si="9"/>
        <v>0.48502426062101139</v>
      </c>
      <c r="F27" s="81">
        <f t="shared" si="9"/>
        <v>0.58811568082801524</v>
      </c>
      <c r="G27" s="128">
        <f t="shared" si="9"/>
        <v>0.36278284041400766</v>
      </c>
      <c r="H27" s="81">
        <f t="shared" si="9"/>
        <v>0.66296633167079211</v>
      </c>
      <c r="I27" s="81">
        <f t="shared" si="9"/>
        <v>0.67346908771881719</v>
      </c>
      <c r="J27" s="81">
        <f t="shared" si="9"/>
        <v>0.68328626230051681</v>
      </c>
      <c r="K27" s="81">
        <f t="shared" si="9"/>
        <v>0.74720693855102838</v>
      </c>
      <c r="L27" s="81">
        <f t="shared" si="9"/>
        <v>0.47903116545173285</v>
      </c>
      <c r="M27" s="81">
        <f t="shared" si="9"/>
        <v>0.55312536791946609</v>
      </c>
      <c r="N27" s="81">
        <f t="shared" si="9"/>
        <v>0.5985879292393772</v>
      </c>
      <c r="O27" s="81">
        <f t="shared" si="9"/>
        <v>0.53869233291016805</v>
      </c>
      <c r="P27" s="81">
        <f t="shared" si="9"/>
        <v>0.52593378516425671</v>
      </c>
      <c r="Q27" s="81">
        <f t="shared" si="9"/>
        <v>0.61058792923937721</v>
      </c>
      <c r="R27" s="81">
        <f>SUM(R22,R25,R26)</f>
        <v>0.30089978393543138</v>
      </c>
      <c r="S27" s="81">
        <f t="shared" si="9"/>
        <v>0.39055695497696252</v>
      </c>
      <c r="T27" s="82">
        <f t="shared" si="9"/>
        <v>5.4075945983857832</v>
      </c>
    </row>
    <row r="28" spans="1:21" ht="15.75" thickBot="1" x14ac:dyDescent="0.3">
      <c r="B28" s="80" t="s">
        <v>97</v>
      </c>
      <c r="C28" s="81">
        <f>C3-C27</f>
        <v>1.5506450164874224</v>
      </c>
      <c r="D28" s="81">
        <f t="shared" ref="D28:T28" si="10">D3-D27</f>
        <v>1.6991226807021134</v>
      </c>
      <c r="E28" s="81">
        <f>E3-E27</f>
        <v>1.5149757393789887</v>
      </c>
      <c r="F28" s="81">
        <f t="shared" si="10"/>
        <v>1.6618843191719848</v>
      </c>
      <c r="G28" s="128">
        <f t="shared" si="10"/>
        <v>1.1372171595859923</v>
      </c>
      <c r="H28" s="81">
        <f t="shared" si="10"/>
        <v>1.5870336683292079</v>
      </c>
      <c r="I28" s="81">
        <f t="shared" si="10"/>
        <v>1.5765309122811828</v>
      </c>
      <c r="J28" s="81">
        <f t="shared" si="10"/>
        <v>1.5667137376994833</v>
      </c>
      <c r="K28" s="81">
        <f t="shared" si="10"/>
        <v>1.5027930614489717</v>
      </c>
      <c r="L28" s="81">
        <f t="shared" si="10"/>
        <v>1.7709688345482673</v>
      </c>
      <c r="M28" s="81">
        <f t="shared" si="10"/>
        <v>1.6968746320805339</v>
      </c>
      <c r="N28" s="81">
        <f t="shared" si="10"/>
        <v>1.6514120707606228</v>
      </c>
      <c r="O28" s="81">
        <f t="shared" si="10"/>
        <v>1.711307667089832</v>
      </c>
      <c r="P28" s="81">
        <f t="shared" si="10"/>
        <v>1.7240662148357433</v>
      </c>
      <c r="Q28" s="81">
        <f t="shared" si="10"/>
        <v>1.6394120707606228</v>
      </c>
      <c r="R28" s="81">
        <f t="shared" si="10"/>
        <v>0.79910021606456871</v>
      </c>
      <c r="S28" s="81">
        <f t="shared" si="10"/>
        <v>2.6094430450230375</v>
      </c>
      <c r="T28" s="82">
        <f t="shared" si="10"/>
        <v>20.592405401614215</v>
      </c>
    </row>
    <row r="30" spans="1:21" ht="15.75" thickBot="1" x14ac:dyDescent="0.3"/>
    <row r="31" spans="1:21" x14ac:dyDescent="0.25">
      <c r="B31" s="32" t="s">
        <v>109</v>
      </c>
      <c r="C31" s="72">
        <f>C19</f>
        <v>1.7066344729188387E-2</v>
      </c>
      <c r="D31" s="72">
        <f t="shared" ref="D31:T31" si="11">D19</f>
        <v>1.7066344729188387E-2</v>
      </c>
      <c r="E31" s="72">
        <f t="shared" si="11"/>
        <v>0.17582176370520772</v>
      </c>
      <c r="F31" s="72">
        <f t="shared" si="11"/>
        <v>0.12204357131098063</v>
      </c>
      <c r="G31" s="72">
        <f t="shared" si="11"/>
        <v>2.8974373045052956E-2</v>
      </c>
      <c r="H31" s="72">
        <f t="shared" si="11"/>
        <v>0.1900894474016353</v>
      </c>
      <c r="I31" s="72">
        <f t="shared" si="11"/>
        <v>3.731548043681062E-2</v>
      </c>
      <c r="J31" s="72">
        <f t="shared" si="11"/>
        <v>3.3583932393129561E-2</v>
      </c>
      <c r="K31" s="72">
        <f t="shared" si="11"/>
        <v>1.8438237392306427E-2</v>
      </c>
      <c r="L31" s="72">
        <f t="shared" si="11"/>
        <v>1.8328485979256983E-2</v>
      </c>
      <c r="M31" s="72">
        <f t="shared" si="11"/>
        <v>9.1093672831037698E-3</v>
      </c>
      <c r="N31" s="72">
        <f t="shared" si="11"/>
        <v>6.080228282939143E-2</v>
      </c>
      <c r="O31" s="72">
        <f t="shared" si="11"/>
        <v>1.2511661087636503E-2</v>
      </c>
      <c r="P31" s="72">
        <f t="shared" si="11"/>
        <v>3.2925423914832905E-3</v>
      </c>
      <c r="Q31" s="72">
        <f t="shared" si="11"/>
        <v>9.877627174449872E-4</v>
      </c>
      <c r="R31" s="72">
        <f t="shared" si="11"/>
        <v>0.2276244306645448</v>
      </c>
      <c r="S31" s="72">
        <f t="shared" si="11"/>
        <v>2.1511276957690829E-2</v>
      </c>
      <c r="T31" s="36">
        <f t="shared" si="11"/>
        <v>5.432694945947429E-3</v>
      </c>
    </row>
    <row r="32" spans="1:21" ht="15.75" thickBot="1" x14ac:dyDescent="0.3">
      <c r="B32" s="91" t="s">
        <v>110</v>
      </c>
      <c r="C32" s="67">
        <f>C28*C31</f>
        <v>2.646384240397236E-2</v>
      </c>
      <c r="D32" s="27">
        <f t="shared" ref="D32:T32" si="12">D28*D31</f>
        <v>2.8997813406044955E-2</v>
      </c>
      <c r="E32" s="27">
        <f t="shared" si="12"/>
        <v>0.26636570646821489</v>
      </c>
      <c r="F32" s="27">
        <f t="shared" si="12"/>
        <v>0.20282229741746663</v>
      </c>
      <c r="G32" s="27">
        <f t="shared" si="12"/>
        <v>3.295015421508006E-2</v>
      </c>
      <c r="H32" s="27">
        <f t="shared" si="12"/>
        <v>0.30167835302048929</v>
      </c>
      <c r="I32" s="27">
        <f t="shared" si="12"/>
        <v>5.8829008415255679E-2</v>
      </c>
      <c r="J32" s="27">
        <f t="shared" si="12"/>
        <v>5.2616408246286765E-2</v>
      </c>
      <c r="K32" s="27">
        <f t="shared" si="12"/>
        <v>2.7708855218507081E-2</v>
      </c>
      <c r="L32" s="27">
        <f t="shared" si="12"/>
        <v>3.2459177453718999E-2</v>
      </c>
      <c r="M32" s="27">
        <f t="shared" si="12"/>
        <v>1.5457454257003162E-2</v>
      </c>
      <c r="N32" s="27">
        <f t="shared" si="12"/>
        <v>0.10040962379425836</v>
      </c>
      <c r="O32" s="27">
        <f t="shared" si="12"/>
        <v>2.1411301547301854E-2</v>
      </c>
      <c r="P32" s="27">
        <f t="shared" si="12"/>
        <v>5.6765610980708224E-3</v>
      </c>
      <c r="Q32" s="27">
        <f t="shared" si="12"/>
        <v>1.6193501220266263E-3</v>
      </c>
      <c r="R32" s="27">
        <f t="shared" si="12"/>
        <v>0.18189473172561219</v>
      </c>
      <c r="S32" s="27">
        <f t="shared" si="12"/>
        <v>5.6132452046810659E-2</v>
      </c>
      <c r="T32" s="90">
        <f t="shared" si="12"/>
        <v>0.11187225675025009</v>
      </c>
    </row>
    <row r="33" spans="2:21" ht="15.75" thickBot="1" x14ac:dyDescent="0.3">
      <c r="B33" s="78" t="s">
        <v>121</v>
      </c>
      <c r="C33" s="79">
        <f>SUM(C32:T32)</f>
        <v>1.5253653476063707</v>
      </c>
    </row>
    <row r="36" spans="2:21" ht="16.5" thickBot="1" x14ac:dyDescent="0.3">
      <c r="B36" s="195" t="s">
        <v>122</v>
      </c>
      <c r="C36" s="196"/>
      <c r="D36" s="197"/>
    </row>
    <row r="37" spans="2:21" x14ac:dyDescent="0.25">
      <c r="B37" s="85" t="s">
        <v>111</v>
      </c>
      <c r="C37" s="191">
        <f>Preencher!G71</f>
        <v>4912.66</v>
      </c>
      <c r="D37" s="192"/>
    </row>
    <row r="38" spans="2:21" x14ac:dyDescent="0.25">
      <c r="B38" s="86" t="s">
        <v>112</v>
      </c>
      <c r="C38" s="189">
        <f>Preencher!G72</f>
        <v>58951.92</v>
      </c>
      <c r="D38" s="190"/>
    </row>
    <row r="39" spans="2:21" ht="15.75" thickBot="1" x14ac:dyDescent="0.3"/>
    <row r="40" spans="2:21" ht="14.25" customHeight="1" x14ac:dyDescent="0.25">
      <c r="B40" s="89" t="s">
        <v>115</v>
      </c>
      <c r="C40" s="198">
        <v>1000</v>
      </c>
      <c r="D40" s="199"/>
    </row>
    <row r="42" spans="2:21" x14ac:dyDescent="0.25">
      <c r="B42" s="87" t="s">
        <v>113</v>
      </c>
      <c r="C42" s="200">
        <f>Preencher!G71+Preencher!G74</f>
        <v>5912.66</v>
      </c>
      <c r="D42" s="201"/>
    </row>
    <row r="43" spans="2:21" x14ac:dyDescent="0.25">
      <c r="B43" s="88" t="s">
        <v>114</v>
      </c>
      <c r="C43" s="202">
        <f>(Preencher!G74*12)+Preencher!G72</f>
        <v>70951.92</v>
      </c>
      <c r="D43" s="203"/>
    </row>
    <row r="44" spans="2:21" ht="15.75" thickBot="1" x14ac:dyDescent="0.3"/>
    <row r="45" spans="2:21" ht="45" x14ac:dyDescent="0.25">
      <c r="B45" s="182" t="s">
        <v>117</v>
      </c>
      <c r="C45" s="183"/>
      <c r="D45" s="66" t="s">
        <v>74</v>
      </c>
      <c r="E45" s="47" t="s">
        <v>73</v>
      </c>
      <c r="F45" s="47" t="s">
        <v>48</v>
      </c>
      <c r="G45" s="47" t="s">
        <v>57</v>
      </c>
      <c r="H45" s="47" t="s">
        <v>58</v>
      </c>
      <c r="I45" s="47" t="s">
        <v>59</v>
      </c>
      <c r="J45" s="47" t="s">
        <v>60</v>
      </c>
      <c r="K45" s="47" t="s">
        <v>61</v>
      </c>
      <c r="L45" s="47" t="s">
        <v>62</v>
      </c>
      <c r="M45" s="47" t="s">
        <v>63</v>
      </c>
      <c r="N45" s="47" t="s">
        <v>64</v>
      </c>
      <c r="O45" s="47" t="s">
        <v>65</v>
      </c>
      <c r="P45" s="47" t="s">
        <v>66</v>
      </c>
      <c r="Q45" s="47" t="s">
        <v>67</v>
      </c>
      <c r="R45" s="47" t="s">
        <v>68</v>
      </c>
      <c r="S45" s="47" t="s">
        <v>69</v>
      </c>
      <c r="T45" s="47" t="s">
        <v>70</v>
      </c>
      <c r="U45" s="48" t="s">
        <v>71</v>
      </c>
    </row>
    <row r="46" spans="2:21" ht="15" customHeight="1" x14ac:dyDescent="0.25">
      <c r="B46" s="33" t="s">
        <v>118</v>
      </c>
      <c r="C46" s="52">
        <f>C37/C33</f>
        <v>3220.6448164756266</v>
      </c>
      <c r="D46" s="92">
        <f>$C46*C$31</f>
        <v>54.964634688246711</v>
      </c>
      <c r="E46" s="29">
        <f>$C46*D$31</f>
        <v>54.964634688246711</v>
      </c>
      <c r="F46" s="29">
        <f>$C46*E$31</f>
        <v>566.25945190077971</v>
      </c>
      <c r="G46" s="29">
        <f t="shared" ref="G46:U46" si="13">$C46*F$31</f>
        <v>393.05899532688329</v>
      </c>
      <c r="H46" s="29">
        <f t="shared" si="13"/>
        <v>93.316164358180913</v>
      </c>
      <c r="I46" s="29">
        <f t="shared" si="13"/>
        <v>612.21059344079299</v>
      </c>
      <c r="J46" s="29">
        <f t="shared" si="13"/>
        <v>120.17990864311177</v>
      </c>
      <c r="K46" s="29">
        <f t="shared" si="13"/>
        <v>108.1619177788006</v>
      </c>
      <c r="L46" s="29">
        <f t="shared" si="13"/>
        <v>59.383013682478769</v>
      </c>
      <c r="M46" s="29">
        <f t="shared" si="13"/>
        <v>59.029543362940203</v>
      </c>
      <c r="N46" s="29">
        <f t="shared" si="13"/>
        <v>29.338036521700818</v>
      </c>
      <c r="O46" s="29">
        <f t="shared" si="13"/>
        <v>195.8225570243645</v>
      </c>
      <c r="P46" s="29">
        <f t="shared" si="13"/>
        <v>40.295616427396304</v>
      </c>
      <c r="Q46" s="29">
        <f t="shared" si="13"/>
        <v>10.604109586156923</v>
      </c>
      <c r="R46" s="29">
        <f t="shared" si="13"/>
        <v>3.1812328758470771</v>
      </c>
      <c r="S46" s="29">
        <f t="shared" si="13"/>
        <v>733.0974427229819</v>
      </c>
      <c r="T46" s="29">
        <f t="shared" si="13"/>
        <v>69.280182629558553</v>
      </c>
      <c r="U46" s="52">
        <f t="shared" si="13"/>
        <v>17.496780817158921</v>
      </c>
    </row>
    <row r="47" spans="2:21" ht="15.75" thickBot="1" x14ac:dyDescent="0.3">
      <c r="B47" s="33" t="s">
        <v>119</v>
      </c>
      <c r="C47" s="52">
        <f>C38/C33</f>
        <v>38647.737797707516</v>
      </c>
      <c r="D47" s="94">
        <f>$C47*C$31</f>
        <v>659.57561625896051</v>
      </c>
      <c r="E47" s="95">
        <f t="shared" ref="E47:U47" si="14">$C47*D$31</f>
        <v>659.57561625896051</v>
      </c>
      <c r="F47" s="95">
        <f>$C47*E$31</f>
        <v>6795.1134228093561</v>
      </c>
      <c r="G47" s="95">
        <f t="shared" si="14"/>
        <v>4716.707943922599</v>
      </c>
      <c r="H47" s="95">
        <f t="shared" si="14"/>
        <v>1119.793972298171</v>
      </c>
      <c r="I47" s="95">
        <f t="shared" si="14"/>
        <v>7346.527121289515</v>
      </c>
      <c r="J47" s="95">
        <f t="shared" si="14"/>
        <v>1442.1589037173412</v>
      </c>
      <c r="K47" s="95">
        <f t="shared" si="14"/>
        <v>1297.9430133456071</v>
      </c>
      <c r="L47" s="95">
        <f t="shared" si="14"/>
        <v>712.5961641897452</v>
      </c>
      <c r="M47" s="95">
        <f t="shared" si="14"/>
        <v>708.35452035528238</v>
      </c>
      <c r="N47" s="95">
        <f t="shared" si="14"/>
        <v>352.05643826040978</v>
      </c>
      <c r="O47" s="95">
        <f t="shared" si="14"/>
        <v>2349.8706842923739</v>
      </c>
      <c r="P47" s="95">
        <f t="shared" si="14"/>
        <v>483.54739712875556</v>
      </c>
      <c r="Q47" s="95">
        <f t="shared" si="14"/>
        <v>127.24931503388306</v>
      </c>
      <c r="R47" s="95">
        <f t="shared" si="14"/>
        <v>38.174794510164922</v>
      </c>
      <c r="S47" s="95">
        <f t="shared" si="14"/>
        <v>8797.1693126757818</v>
      </c>
      <c r="T47" s="95">
        <f t="shared" si="14"/>
        <v>831.36219155470258</v>
      </c>
      <c r="U47" s="96">
        <f t="shared" si="14"/>
        <v>209.96136980590703</v>
      </c>
    </row>
    <row r="48" spans="2:21" ht="45" x14ac:dyDescent="0.25">
      <c r="B48" s="184" t="s">
        <v>120</v>
      </c>
      <c r="C48" s="185"/>
      <c r="D48" s="24" t="s">
        <v>74</v>
      </c>
      <c r="E48" s="47" t="s">
        <v>73</v>
      </c>
      <c r="F48" s="47" t="s">
        <v>48</v>
      </c>
      <c r="G48" s="47" t="s">
        <v>57</v>
      </c>
      <c r="H48" s="47" t="s">
        <v>58</v>
      </c>
      <c r="I48" s="47" t="s">
        <v>59</v>
      </c>
      <c r="J48" s="47" t="s">
        <v>60</v>
      </c>
      <c r="K48" s="47" t="s">
        <v>61</v>
      </c>
      <c r="L48" s="47" t="s">
        <v>62</v>
      </c>
      <c r="M48" s="47" t="s">
        <v>63</v>
      </c>
      <c r="N48" s="47" t="s">
        <v>64</v>
      </c>
      <c r="O48" s="47" t="s">
        <v>65</v>
      </c>
      <c r="P48" s="47" t="s">
        <v>66</v>
      </c>
      <c r="Q48" s="47" t="s">
        <v>67</v>
      </c>
      <c r="R48" s="47" t="s">
        <v>68</v>
      </c>
      <c r="S48" s="47" t="s">
        <v>69</v>
      </c>
      <c r="T48" s="47" t="s">
        <v>70</v>
      </c>
      <c r="U48" s="48" t="s">
        <v>71</v>
      </c>
    </row>
    <row r="49" spans="2:21" x14ac:dyDescent="0.25">
      <c r="B49" s="33" t="s">
        <v>118</v>
      </c>
      <c r="C49" s="31">
        <f>C42/C33</f>
        <v>3876.2254624954257</v>
      </c>
      <c r="D49" s="51">
        <f>$C49*C$31</f>
        <v>66.152999991004634</v>
      </c>
      <c r="E49" s="29">
        <f t="shared" ref="E49:U49" si="15">$C49*D$31</f>
        <v>66.152999991004634</v>
      </c>
      <c r="F49" s="29">
        <f>$C49*E$31</f>
        <v>681.52479733498024</v>
      </c>
      <c r="G49" s="29">
        <f t="shared" si="15"/>
        <v>473.06839864949939</v>
      </c>
      <c r="H49" s="29">
        <f t="shared" si="15"/>
        <v>112.31120255707539</v>
      </c>
      <c r="I49" s="29">
        <f t="shared" si="15"/>
        <v>736.82955616990375</v>
      </c>
      <c r="J49" s="29">
        <f t="shared" si="15"/>
        <v>144.64321541441527</v>
      </c>
      <c r="K49" s="29">
        <f t="shared" si="15"/>
        <v>130.17889387297373</v>
      </c>
      <c r="L49" s="29">
        <f t="shared" si="15"/>
        <v>71.470765263593435</v>
      </c>
      <c r="M49" s="29">
        <f t="shared" si="15"/>
        <v>71.045344041786322</v>
      </c>
      <c r="N49" s="29">
        <f t="shared" si="15"/>
        <v>35.309961409989612</v>
      </c>
      <c r="O49" s="29">
        <f t="shared" si="15"/>
        <v>235.68335688113547</v>
      </c>
      <c r="P49" s="29">
        <f t="shared" si="15"/>
        <v>48.498019286009821</v>
      </c>
      <c r="Q49" s="29">
        <f t="shared" si="15"/>
        <v>12.762636654213113</v>
      </c>
      <c r="R49" s="29">
        <f t="shared" si="15"/>
        <v>3.8287909962639342</v>
      </c>
      <c r="S49" s="29">
        <f t="shared" si="15"/>
        <v>882.3236140279331</v>
      </c>
      <c r="T49" s="29">
        <f t="shared" si="15"/>
        <v>83.382559474192334</v>
      </c>
      <c r="U49" s="52">
        <f t="shared" si="15"/>
        <v>21.058350479451637</v>
      </c>
    </row>
    <row r="50" spans="2:21" ht="15.75" thickBot="1" x14ac:dyDescent="0.3">
      <c r="B50" s="34" t="s">
        <v>119</v>
      </c>
      <c r="C50" s="93">
        <f>C43/C33</f>
        <v>46514.705549945109</v>
      </c>
      <c r="D50" s="69">
        <f>$C50*C$31</f>
        <v>793.8359998920555</v>
      </c>
      <c r="E50" s="70">
        <f t="shared" ref="E50:U50" si="16">$C50*D$31</f>
        <v>793.8359998920555</v>
      </c>
      <c r="F50" s="70">
        <f t="shared" si="16"/>
        <v>8178.2975680197633</v>
      </c>
      <c r="G50" s="70">
        <f t="shared" si="16"/>
        <v>5676.8207837939926</v>
      </c>
      <c r="H50" s="70">
        <f t="shared" si="16"/>
        <v>1347.7344306849047</v>
      </c>
      <c r="I50" s="70">
        <f t="shared" si="16"/>
        <v>8841.954674038845</v>
      </c>
      <c r="J50" s="70">
        <f t="shared" si="16"/>
        <v>1735.7185849729831</v>
      </c>
      <c r="K50" s="70">
        <f t="shared" si="16"/>
        <v>1562.146726475685</v>
      </c>
      <c r="L50" s="70">
        <f t="shared" si="16"/>
        <v>857.64918316312117</v>
      </c>
      <c r="M50" s="70">
        <f t="shared" si="16"/>
        <v>852.54412850143592</v>
      </c>
      <c r="N50" s="70">
        <f t="shared" si="16"/>
        <v>423.71953691987534</v>
      </c>
      <c r="O50" s="70">
        <f t="shared" si="16"/>
        <v>2828.2002825736258</v>
      </c>
      <c r="P50" s="70">
        <f t="shared" si="16"/>
        <v>581.97623143211786</v>
      </c>
      <c r="Q50" s="70">
        <f t="shared" si="16"/>
        <v>153.15163985055736</v>
      </c>
      <c r="R50" s="70">
        <f t="shared" si="16"/>
        <v>45.945491955167206</v>
      </c>
      <c r="S50" s="70">
        <f t="shared" si="16"/>
        <v>10587.883368335197</v>
      </c>
      <c r="T50" s="70">
        <f t="shared" si="16"/>
        <v>1000.5907136903079</v>
      </c>
      <c r="U50" s="71">
        <f t="shared" si="16"/>
        <v>252.70020575341962</v>
      </c>
    </row>
  </sheetData>
  <mergeCells count="13">
    <mergeCell ref="C40:D40"/>
    <mergeCell ref="B45:C45"/>
    <mergeCell ref="B48:C48"/>
    <mergeCell ref="C42:D42"/>
    <mergeCell ref="C43:D43"/>
    <mergeCell ref="C38:D38"/>
    <mergeCell ref="C37:D37"/>
    <mergeCell ref="A10:A11"/>
    <mergeCell ref="A12:A13"/>
    <mergeCell ref="A14:A15"/>
    <mergeCell ref="A16:A17"/>
    <mergeCell ref="A18:A19"/>
    <mergeCell ref="B36:D3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"/>
  <sheetViews>
    <sheetView showGridLines="0" workbookViewId="0">
      <selection activeCell="C25" sqref="C25"/>
    </sheetView>
  </sheetViews>
  <sheetFormatPr defaultRowHeight="15" x14ac:dyDescent="0.25"/>
  <cols>
    <col min="1" max="1" width="18.28515625" bestFit="1" customWidth="1"/>
    <col min="2" max="2" width="10.5703125" bestFit="1" customWidth="1"/>
    <col min="3" max="3" width="37.5703125" bestFit="1" customWidth="1"/>
    <col min="4" max="4" width="12.140625" bestFit="1" customWidth="1"/>
    <col min="5" max="5" width="12" bestFit="1" customWidth="1"/>
    <col min="6" max="6" width="12.140625" bestFit="1" customWidth="1"/>
    <col min="7" max="19" width="12" bestFit="1" customWidth="1"/>
    <col min="20" max="20" width="10" bestFit="1" customWidth="1"/>
    <col min="21" max="22" width="9.28515625" bestFit="1" customWidth="1"/>
  </cols>
  <sheetData>
    <row r="2" spans="2:4" ht="15.75" thickBot="1" x14ac:dyDescent="0.3"/>
    <row r="3" spans="2:4" x14ac:dyDescent="0.25">
      <c r="B3" s="204" t="s">
        <v>144</v>
      </c>
      <c r="C3" s="101" t="s">
        <v>124</v>
      </c>
      <c r="D3" s="107">
        <f>SUM(B24:V24)</f>
        <v>6510.5833333333339</v>
      </c>
    </row>
    <row r="4" spans="2:4" x14ac:dyDescent="0.25">
      <c r="B4" s="205"/>
      <c r="C4" s="102" t="s">
        <v>125</v>
      </c>
      <c r="D4" s="108"/>
    </row>
    <row r="5" spans="2:4" x14ac:dyDescent="0.25">
      <c r="B5" s="205"/>
      <c r="C5" s="103" t="s">
        <v>126</v>
      </c>
      <c r="D5" s="108">
        <f>(0.0587*D3)+(0.0186*D3)</f>
        <v>503.26809166666675</v>
      </c>
    </row>
    <row r="6" spans="2:4" x14ac:dyDescent="0.25">
      <c r="B6" s="205"/>
      <c r="C6" s="104" t="s">
        <v>127</v>
      </c>
      <c r="D6" s="109">
        <f>D3-D5</f>
        <v>6007.3152416666671</v>
      </c>
    </row>
    <row r="7" spans="2:4" x14ac:dyDescent="0.25">
      <c r="B7" s="205"/>
      <c r="C7" s="103" t="s">
        <v>128</v>
      </c>
      <c r="D7" s="108">
        <f>SUMPRODUCT(B26:S26,B27:S27)</f>
        <v>1883.2285262374337</v>
      </c>
    </row>
    <row r="8" spans="2:4" x14ac:dyDescent="0.25">
      <c r="B8" s="205"/>
      <c r="C8" s="104" t="s">
        <v>129</v>
      </c>
      <c r="D8" s="109">
        <f>D6-D7</f>
        <v>4124.0867154292337</v>
      </c>
    </row>
    <row r="9" spans="2:4" x14ac:dyDescent="0.25">
      <c r="B9" s="205"/>
      <c r="C9" s="103" t="s">
        <v>130</v>
      </c>
      <c r="D9" s="108"/>
    </row>
    <row r="10" spans="2:4" x14ac:dyDescent="0.25">
      <c r="B10" s="205"/>
      <c r="C10" s="103" t="s">
        <v>104</v>
      </c>
      <c r="D10" s="108"/>
    </row>
    <row r="11" spans="2:4" x14ac:dyDescent="0.25">
      <c r="B11" s="205"/>
      <c r="C11" s="105" t="s">
        <v>131</v>
      </c>
      <c r="D11" s="108">
        <f>Cálculos!C37</f>
        <v>4912.66</v>
      </c>
    </row>
    <row r="12" spans="2:4" x14ac:dyDescent="0.25">
      <c r="B12" s="205"/>
      <c r="C12" s="104" t="s">
        <v>132</v>
      </c>
      <c r="D12" s="109">
        <f t="shared" ref="D12" si="0">D8-D11</f>
        <v>-788.57328457076619</v>
      </c>
    </row>
    <row r="13" spans="2:4" x14ac:dyDescent="0.25">
      <c r="B13" s="205"/>
      <c r="C13" s="103" t="s">
        <v>133</v>
      </c>
      <c r="D13" s="108"/>
    </row>
    <row r="14" spans="2:4" x14ac:dyDescent="0.25">
      <c r="B14" s="205"/>
      <c r="C14" s="103" t="s">
        <v>134</v>
      </c>
      <c r="D14" s="108"/>
    </row>
    <row r="15" spans="2:4" x14ac:dyDescent="0.25">
      <c r="B15" s="205"/>
      <c r="C15" s="104" t="s">
        <v>135</v>
      </c>
      <c r="D15" s="109">
        <f>D12+D13+D14</f>
        <v>-788.57328457076619</v>
      </c>
    </row>
    <row r="16" spans="2:4" x14ac:dyDescent="0.25">
      <c r="B16" s="205"/>
      <c r="C16" s="103" t="s">
        <v>136</v>
      </c>
      <c r="D16" s="108"/>
    </row>
    <row r="17" spans="1:22" x14ac:dyDescent="0.25">
      <c r="B17" s="205"/>
      <c r="C17" s="103" t="s">
        <v>137</v>
      </c>
      <c r="D17" s="108"/>
    </row>
    <row r="18" spans="1:22" x14ac:dyDescent="0.25">
      <c r="B18" s="205"/>
      <c r="C18" s="103" t="s">
        <v>138</v>
      </c>
      <c r="D18" s="108"/>
    </row>
    <row r="19" spans="1:22" ht="15.75" thickBot="1" x14ac:dyDescent="0.3">
      <c r="B19" s="206"/>
      <c r="C19" s="106" t="s">
        <v>139</v>
      </c>
      <c r="D19" s="110">
        <f>D15+D16+D17+D18</f>
        <v>-788.57328457076619</v>
      </c>
    </row>
    <row r="20" spans="1:22" ht="15.75" thickBot="1" x14ac:dyDescent="0.3"/>
    <row r="21" spans="1:22" x14ac:dyDescent="0.25">
      <c r="A21" s="24" t="s">
        <v>140</v>
      </c>
      <c r="B21" s="114">
        <v>290.25</v>
      </c>
      <c r="C21" s="114">
        <v>1144</v>
      </c>
      <c r="D21" s="114">
        <v>810</v>
      </c>
      <c r="E21" s="114">
        <v>304.5</v>
      </c>
      <c r="F21" s="114">
        <v>1158.75</v>
      </c>
      <c r="G21" s="114">
        <v>245.25</v>
      </c>
      <c r="H21" s="114">
        <v>121.5</v>
      </c>
      <c r="I21" s="114">
        <v>186.75</v>
      </c>
      <c r="J21" s="114">
        <v>130.5</v>
      </c>
      <c r="K21" s="114">
        <v>-6.75</v>
      </c>
      <c r="L21" s="114">
        <v>303.75</v>
      </c>
      <c r="M21" s="114">
        <v>81</v>
      </c>
      <c r="N21" s="114">
        <v>0</v>
      </c>
      <c r="O21" s="114">
        <v>0</v>
      </c>
      <c r="P21" s="114">
        <v>603</v>
      </c>
      <c r="Q21" s="114">
        <v>189</v>
      </c>
      <c r="R21" s="114">
        <v>390</v>
      </c>
      <c r="S21" s="115">
        <v>257.5</v>
      </c>
      <c r="T21" s="111"/>
      <c r="U21" s="111"/>
      <c r="V21" s="111"/>
    </row>
    <row r="22" spans="1:22" x14ac:dyDescent="0.25">
      <c r="A22" s="26" t="s">
        <v>140</v>
      </c>
      <c r="B22" s="113">
        <v>130.5</v>
      </c>
      <c r="C22" s="113">
        <v>704</v>
      </c>
      <c r="D22" s="113">
        <v>803.25</v>
      </c>
      <c r="E22" s="113">
        <v>-6</v>
      </c>
      <c r="F22" s="113">
        <v>1388.25</v>
      </c>
      <c r="G22" s="113">
        <v>240.75</v>
      </c>
      <c r="H22" s="113">
        <v>254.25</v>
      </c>
      <c r="I22" s="113">
        <v>40.5</v>
      </c>
      <c r="J22" s="113">
        <v>90</v>
      </c>
      <c r="K22" s="113">
        <v>90</v>
      </c>
      <c r="L22" s="113">
        <v>434.25</v>
      </c>
      <c r="M22" s="113">
        <v>99</v>
      </c>
      <c r="N22" s="113">
        <v>13.5</v>
      </c>
      <c r="O22" s="113">
        <v>0</v>
      </c>
      <c r="P22" s="113">
        <v>625.9</v>
      </c>
      <c r="Q22" s="113">
        <v>192</v>
      </c>
      <c r="R22" s="113">
        <v>286</v>
      </c>
      <c r="S22" s="116">
        <v>162.5</v>
      </c>
      <c r="T22" s="111"/>
      <c r="U22" s="111"/>
      <c r="V22" s="111"/>
    </row>
    <row r="23" spans="1:22" x14ac:dyDescent="0.25">
      <c r="A23" s="26" t="s">
        <v>140</v>
      </c>
      <c r="B23" s="113">
        <v>279</v>
      </c>
      <c r="C23" s="113">
        <v>1356</v>
      </c>
      <c r="D23" s="113">
        <v>888.75</v>
      </c>
      <c r="E23" s="113">
        <v>91.5</v>
      </c>
      <c r="F23" s="113">
        <v>1350</v>
      </c>
      <c r="G23" s="113">
        <v>279</v>
      </c>
      <c r="H23" s="113">
        <v>312.75</v>
      </c>
      <c r="I23" s="113">
        <v>150.75</v>
      </c>
      <c r="J23" s="113">
        <v>128.25</v>
      </c>
      <c r="K23" s="113">
        <v>96.75</v>
      </c>
      <c r="L23" s="113">
        <v>508.5</v>
      </c>
      <c r="M23" s="113">
        <v>76.5</v>
      </c>
      <c r="N23" s="113">
        <v>54</v>
      </c>
      <c r="O23" s="113">
        <v>20.25</v>
      </c>
      <c r="P23" s="113">
        <v>1051.5999999999999</v>
      </c>
      <c r="Q23" s="113">
        <v>207</v>
      </c>
      <c r="R23" s="113">
        <v>611</v>
      </c>
      <c r="S23" s="116">
        <v>312.5</v>
      </c>
      <c r="T23" s="111"/>
      <c r="U23" s="111"/>
      <c r="V23" s="111"/>
    </row>
    <row r="24" spans="1:22" ht="15.75" thickBot="1" x14ac:dyDescent="0.3">
      <c r="A24" s="97"/>
      <c r="B24" s="27">
        <f>AVERAGE(B21:B23)</f>
        <v>233.25</v>
      </c>
      <c r="C24" s="27">
        <f t="shared" ref="C24:S24" si="1">AVERAGE(C21:C23)</f>
        <v>1068</v>
      </c>
      <c r="D24" s="27">
        <f t="shared" si="1"/>
        <v>834</v>
      </c>
      <c r="E24" s="27">
        <f t="shared" si="1"/>
        <v>130</v>
      </c>
      <c r="F24" s="27">
        <f t="shared" si="1"/>
        <v>1299</v>
      </c>
      <c r="G24" s="27">
        <f t="shared" si="1"/>
        <v>255</v>
      </c>
      <c r="H24" s="27">
        <f t="shared" si="1"/>
        <v>229.5</v>
      </c>
      <c r="I24" s="27">
        <f t="shared" si="1"/>
        <v>126</v>
      </c>
      <c r="J24" s="27">
        <f t="shared" si="1"/>
        <v>116.25</v>
      </c>
      <c r="K24" s="27">
        <f t="shared" si="1"/>
        <v>60</v>
      </c>
      <c r="L24" s="27">
        <f t="shared" si="1"/>
        <v>415.5</v>
      </c>
      <c r="M24" s="27">
        <f t="shared" si="1"/>
        <v>85.5</v>
      </c>
      <c r="N24" s="27">
        <f t="shared" si="1"/>
        <v>22.5</v>
      </c>
      <c r="O24" s="27">
        <f t="shared" si="1"/>
        <v>6.75</v>
      </c>
      <c r="P24" s="27">
        <f t="shared" si="1"/>
        <v>760.16666666666663</v>
      </c>
      <c r="Q24" s="27">
        <f t="shared" si="1"/>
        <v>196</v>
      </c>
      <c r="R24" s="27">
        <f t="shared" si="1"/>
        <v>429</v>
      </c>
      <c r="S24" s="90">
        <f t="shared" si="1"/>
        <v>244.16666666666666</v>
      </c>
      <c r="T24" s="112"/>
      <c r="U24" s="112"/>
      <c r="V24" s="112"/>
    </row>
    <row r="26" spans="1:22" x14ac:dyDescent="0.25">
      <c r="A26" t="s">
        <v>104</v>
      </c>
      <c r="B26">
        <v>0.70167036181579867</v>
      </c>
      <c r="C26">
        <v>0.55308259005857718</v>
      </c>
      <c r="D26">
        <v>0.48716463892423234</v>
      </c>
      <c r="E26">
        <v>0.59067785189897648</v>
      </c>
      <c r="F26">
        <v>0.19595000000000001</v>
      </c>
      <c r="G26">
        <v>0.66540380744857941</v>
      </c>
      <c r="H26">
        <v>0.67588878049087675</v>
      </c>
      <c r="I26">
        <v>0.6857037836258616</v>
      </c>
      <c r="J26">
        <v>0.74962229956528259</v>
      </c>
      <c r="K26">
        <v>0.48123643621242346</v>
      </c>
      <c r="L26">
        <v>0.55528561934010745</v>
      </c>
      <c r="M26">
        <v>0.6008457225634587</v>
      </c>
      <c r="N26">
        <v>0.54100771121338909</v>
      </c>
      <c r="O26">
        <v>0.52822751497907938</v>
      </c>
      <c r="P26">
        <v>0.61284572256345882</v>
      </c>
      <c r="Q26">
        <v>0.30211561893449573</v>
      </c>
      <c r="R26">
        <v>0.39413771158340444</v>
      </c>
      <c r="S26">
        <v>5.4369404733623927</v>
      </c>
    </row>
    <row r="27" spans="1:22" x14ac:dyDescent="0.25">
      <c r="A27" t="s">
        <v>141</v>
      </c>
      <c r="B27">
        <f>AVERAGE(Cálculos!C10,Cálculos!C12,Cálculos!C14)</f>
        <v>75.833333333333329</v>
      </c>
      <c r="C27">
        <f>AVERAGE(Cálculos!D10,Cálculos!D12,Cálculos!D14)</f>
        <v>75.833333333333329</v>
      </c>
      <c r="D27">
        <f>AVERAGE(Cálculos!E10,Cálculos!E12,Cálculos!E14)</f>
        <v>572.66666666666663</v>
      </c>
      <c r="E27">
        <f>AVERAGE(Cálculos!F10,Cálculos!F12,Cálculos!F14)</f>
        <v>381.66666666666669</v>
      </c>
      <c r="F27">
        <f>AVERAGE(Cálculos!G10,Cálculos!G12,Cálculos!G14)</f>
        <v>100.33333333333333</v>
      </c>
      <c r="G27">
        <f>AVERAGE(Cálculos!H10,Cálculos!H12,Cálculos!H14)</f>
        <v>653.33333333333337</v>
      </c>
      <c r="H27">
        <f>AVERAGE(Cálculos!I10,Cálculos!I12,Cálculos!I14)</f>
        <v>137.66666666666666</v>
      </c>
      <c r="I27">
        <f>AVERAGE(Cálculos!J10,Cálculos!J12,Cálculos!J14)</f>
        <v>135.33333333333334</v>
      </c>
      <c r="J27">
        <f>AVERAGE(Cálculos!K10,Cálculos!K12,Cálculos!K14)</f>
        <v>68.333333333333329</v>
      </c>
      <c r="K27">
        <f>AVERAGE(Cálculos!L10,Cálculos!L12,Cálculos!L14)</f>
        <v>72.333333333333329</v>
      </c>
      <c r="L27">
        <f>AVERAGE(Cálculos!M10,Cálculos!M12,Cálculos!M14)</f>
        <v>46</v>
      </c>
      <c r="M27">
        <f>AVERAGE(Cálculos!N10,Cálculos!N12,Cálculos!N14)</f>
        <v>218</v>
      </c>
      <c r="N27">
        <f>AVERAGE(Cálculos!O10,Cálculos!O12,Cálculos!O14)</f>
        <v>42.666666666666664</v>
      </c>
      <c r="O27">
        <f>AVERAGE(Cálculos!P10,Cálculos!P12,Cálculos!P14)</f>
        <v>10.333333333333334</v>
      </c>
      <c r="P27">
        <f>AVERAGE(Cálculos!Q10,Cálculos!Q12,Cálculos!Q14)</f>
        <v>4</v>
      </c>
      <c r="Q27">
        <f>AVERAGE(Cálculos!R10,Cálculos!R12,Cálculos!R14)</f>
        <v>804.66666666666663</v>
      </c>
      <c r="R27">
        <f>AVERAGE(Cálculos!S10,Cálculos!S12,Cálculos!S14)</f>
        <v>94</v>
      </c>
      <c r="S27">
        <f>AVERAGE(Cálculos!T10,Cálculos!T12,Cálculos!T14)</f>
        <v>16.5</v>
      </c>
    </row>
  </sheetData>
  <mergeCells count="1">
    <mergeCell ref="B3:B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Observações</vt:lpstr>
      <vt:lpstr>Preencher</vt:lpstr>
      <vt:lpstr>Resultados</vt:lpstr>
      <vt:lpstr>Cálculos</vt:lpstr>
      <vt:lpstr>DRE Atual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Moura</dc:creator>
  <cp:lastModifiedBy>Gustavo Moura</cp:lastModifiedBy>
  <dcterms:created xsi:type="dcterms:W3CDTF">2015-04-20T18:28:48Z</dcterms:created>
  <dcterms:modified xsi:type="dcterms:W3CDTF">2015-07-01T22:15:07Z</dcterms:modified>
</cp:coreProperties>
</file>