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eno\Downloads\"/>
    </mc:Choice>
  </mc:AlternateContent>
  <bookViews>
    <workbookView xWindow="0" yWindow="0" windowWidth="20490" windowHeight="7755"/>
  </bookViews>
  <sheets>
    <sheet name="Cálculo do LEC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9" l="1"/>
  <c r="N57" i="9" l="1"/>
  <c r="N58" i="9" s="1"/>
  <c r="K57" i="9"/>
  <c r="K58" i="9" s="1"/>
  <c r="L49" i="9"/>
  <c r="O51" i="9"/>
  <c r="O50" i="9"/>
  <c r="N49" i="9"/>
  <c r="N50" i="9" s="1"/>
  <c r="O48" i="9"/>
  <c r="N47" i="9"/>
  <c r="N48" i="9" s="1"/>
  <c r="L48" i="9"/>
  <c r="K47" i="9"/>
  <c r="K48" i="9" s="1"/>
  <c r="O36" i="9"/>
  <c r="O35" i="9"/>
  <c r="N34" i="9"/>
  <c r="N35" i="9" s="1"/>
  <c r="L34" i="9"/>
  <c r="O33" i="9"/>
  <c r="N32" i="9"/>
  <c r="N33" i="9" s="1"/>
  <c r="O31" i="9"/>
  <c r="N30" i="9"/>
  <c r="N31" i="9" s="1"/>
  <c r="N21" i="9"/>
  <c r="N22" i="9"/>
  <c r="N19" i="9"/>
  <c r="N20" i="9" s="1"/>
  <c r="K19" i="9"/>
  <c r="K20" i="9"/>
  <c r="K17" i="9"/>
  <c r="K18" i="9" s="1"/>
  <c r="K16" i="9"/>
  <c r="K15" i="9"/>
  <c r="K13" i="9"/>
  <c r="K14" i="9" s="1"/>
  <c r="K12" i="9"/>
  <c r="K11" i="9"/>
  <c r="K9" i="9"/>
  <c r="K10" i="9" s="1"/>
  <c r="N17" i="9"/>
  <c r="N18" i="9" s="1"/>
  <c r="N16" i="9"/>
  <c r="N15" i="9"/>
  <c r="N13" i="9"/>
  <c r="N14" i="9" s="1"/>
  <c r="N12" i="9"/>
  <c r="N11" i="9"/>
  <c r="N9" i="9"/>
  <c r="N10" i="9" s="1"/>
  <c r="E30" i="9"/>
  <c r="E31" i="9"/>
  <c r="D31" i="9"/>
  <c r="D30" i="9"/>
  <c r="C22" i="9"/>
  <c r="C23" i="9" s="1"/>
  <c r="C15" i="9"/>
  <c r="C13" i="9"/>
  <c r="C17" i="9"/>
  <c r="C18" i="9" s="1"/>
  <c r="D21" i="9"/>
  <c r="E21" i="9"/>
  <c r="B21" i="9"/>
  <c r="B17" i="9"/>
  <c r="B18" i="9" s="1"/>
  <c r="B19" i="9" s="1"/>
  <c r="D15" i="9"/>
  <c r="D17" i="9" s="1"/>
  <c r="D18" i="9" s="1"/>
  <c r="D19" i="9" s="1"/>
  <c r="E15" i="9"/>
  <c r="E17" i="9" s="1"/>
  <c r="E18" i="9" s="1"/>
  <c r="E19" i="9" s="1"/>
  <c r="B15" i="9"/>
  <c r="E8" i="9"/>
  <c r="E10" i="9" s="1"/>
  <c r="D8" i="9"/>
  <c r="D9" i="9" s="1"/>
  <c r="B8" i="9"/>
  <c r="B9" i="9" s="1"/>
  <c r="B30" i="9" s="1"/>
  <c r="E22" i="9"/>
  <c r="D22" i="9"/>
  <c r="B22" i="9"/>
  <c r="B23" i="9" s="1"/>
  <c r="H5" i="9" l="1"/>
  <c r="H7" i="9" s="1"/>
  <c r="H8" i="9" s="1"/>
  <c r="H13" i="9"/>
  <c r="H14" i="9" s="1"/>
  <c r="I4" i="9"/>
  <c r="E23" i="9"/>
  <c r="I44" i="9" s="1"/>
  <c r="B29" i="9"/>
  <c r="L4" i="9"/>
  <c r="B25" i="9"/>
  <c r="D23" i="9"/>
  <c r="B26" i="9"/>
  <c r="C19" i="9"/>
  <c r="E9" i="9"/>
  <c r="B10" i="9"/>
  <c r="D10" i="9"/>
  <c r="H6" i="9" l="1"/>
  <c r="H16" i="9" s="1"/>
  <c r="B27" i="9"/>
  <c r="B31" i="9"/>
  <c r="H9" i="9"/>
  <c r="H10" i="9" s="1"/>
  <c r="C31" i="9"/>
  <c r="C30" i="9"/>
  <c r="I48" i="9"/>
  <c r="I46" i="9"/>
  <c r="N46" i="9"/>
  <c r="O54" i="9"/>
  <c r="L54" i="9"/>
  <c r="C29" i="9"/>
  <c r="I54" i="9"/>
  <c r="H55" i="9"/>
  <c r="H11" i="9"/>
  <c r="H12" i="9" s="1"/>
  <c r="H15" i="9"/>
  <c r="N29" i="9"/>
  <c r="H17" i="9"/>
  <c r="H45" i="9"/>
  <c r="O4" i="9"/>
  <c r="O6" i="9" s="1"/>
  <c r="O10" i="9" s="1"/>
  <c r="O14" i="9" s="1"/>
  <c r="O18" i="9" s="1"/>
  <c r="O22" i="9" s="1"/>
  <c r="O23" i="9" s="1"/>
  <c r="E29" i="9"/>
  <c r="D26" i="9"/>
  <c r="E27" i="9"/>
  <c r="O44" i="9"/>
  <c r="O46" i="9" s="1"/>
  <c r="E25" i="9"/>
  <c r="L44" i="9"/>
  <c r="L8" i="9"/>
  <c r="L12" i="9" s="1"/>
  <c r="L16" i="9" s="1"/>
  <c r="L20" i="9" s="1"/>
  <c r="L21" i="9" s="1"/>
  <c r="L6" i="9"/>
  <c r="L10" i="9" s="1"/>
  <c r="L14" i="9" s="1"/>
  <c r="L18" i="9" s="1"/>
  <c r="N7" i="9"/>
  <c r="N8" i="9" s="1"/>
  <c r="N6" i="9"/>
  <c r="E26" i="9"/>
  <c r="K6" i="9"/>
  <c r="K7" i="9"/>
  <c r="K8" i="9" s="1"/>
  <c r="O27" i="9"/>
  <c r="O29" i="9" s="1"/>
  <c r="D27" i="9"/>
  <c r="H28" i="9"/>
  <c r="D25" i="9"/>
  <c r="D29" i="9"/>
  <c r="L27" i="9"/>
  <c r="I27" i="9"/>
  <c r="I6" i="9"/>
  <c r="I10" i="9" s="1"/>
  <c r="I14" i="9" s="1"/>
  <c r="I18" i="9" s="1"/>
  <c r="I19" i="9" s="1"/>
  <c r="I8" i="9"/>
  <c r="I12" i="9" s="1"/>
  <c r="I16" i="9" s="1"/>
  <c r="H18" i="9"/>
  <c r="C26" i="9"/>
  <c r="C27" i="9"/>
  <c r="C25" i="9"/>
  <c r="O8" i="9" l="1"/>
  <c r="O12" i="9" s="1"/>
  <c r="O16" i="9" s="1"/>
  <c r="O20" i="9" s="1"/>
  <c r="L56" i="9"/>
  <c r="L58" i="9"/>
  <c r="L59" i="9" s="1"/>
  <c r="O56" i="9"/>
  <c r="O58" i="9"/>
  <c r="O59" i="9" s="1"/>
  <c r="H56" i="9"/>
  <c r="H57" i="9"/>
  <c r="H58" i="9" s="1"/>
  <c r="N56" i="9"/>
  <c r="K46" i="9"/>
  <c r="I56" i="9"/>
  <c r="I58" i="9"/>
  <c r="K29" i="9"/>
  <c r="K30" i="9"/>
  <c r="K31" i="9" s="1"/>
  <c r="K32" i="9"/>
  <c r="K33" i="9" s="1"/>
  <c r="H47" i="9"/>
  <c r="H48" i="9" s="1"/>
  <c r="I49" i="9" s="1"/>
  <c r="H46" i="9"/>
  <c r="L31" i="9"/>
  <c r="L29" i="9"/>
  <c r="L33" i="9" s="1"/>
  <c r="I31" i="9"/>
  <c r="I29" i="9"/>
  <c r="I33" i="9" s="1"/>
  <c r="H29" i="9"/>
  <c r="H30" i="9"/>
  <c r="H31" i="9" s="1"/>
  <c r="H32" i="9"/>
  <c r="H33" i="9" s="1"/>
  <c r="L46" i="9"/>
  <c r="K56" i="9"/>
  <c r="I34" i="9" l="1"/>
  <c r="I59" i="9"/>
</calcChain>
</file>

<file path=xl/sharedStrings.xml><?xml version="1.0" encoding="utf-8"?>
<sst xmlns="http://schemas.openxmlformats.org/spreadsheetml/2006/main" count="86" uniqueCount="35">
  <si>
    <t>Valor Hora</t>
  </si>
  <si>
    <t>Preço Gasolina</t>
  </si>
  <si>
    <t>Distancia(ida e volta) km</t>
  </si>
  <si>
    <t>X</t>
  </si>
  <si>
    <t>Y</t>
  </si>
  <si>
    <t>Gordura vegetal hidrogenada</t>
  </si>
  <si>
    <t>Kg</t>
  </si>
  <si>
    <t>Composto lácteo</t>
  </si>
  <si>
    <t>Tempero</t>
  </si>
  <si>
    <t>Lote de Compra Atual</t>
  </si>
  <si>
    <t>Unidade</t>
  </si>
  <si>
    <t>Duração do lote (Dias)</t>
  </si>
  <si>
    <t>Preço de Compra</t>
  </si>
  <si>
    <t>Preço Unitário</t>
  </si>
  <si>
    <t>Demanda Anual Atual</t>
  </si>
  <si>
    <t xml:space="preserve">Demanda Anual (+20%) </t>
  </si>
  <si>
    <t>Demanda Anual (+60%)</t>
  </si>
  <si>
    <t>Dados dos Produtos</t>
  </si>
  <si>
    <t>Custo do pedido</t>
  </si>
  <si>
    <t>L/Km</t>
  </si>
  <si>
    <t>(Litro/Km)*distância</t>
  </si>
  <si>
    <t>(2) Valor de deslocamento</t>
  </si>
  <si>
    <t>Custo do Pedido (1+2)</t>
  </si>
  <si>
    <t>Custo de Oportunidade</t>
  </si>
  <si>
    <t>(1) Valor Meia Hora</t>
  </si>
  <si>
    <t>Custo do estoque</t>
  </si>
  <si>
    <t>Custo do Estoque</t>
  </si>
  <si>
    <t>Lote Econômico de Compra</t>
  </si>
  <si>
    <t>Demanda Cenários</t>
  </si>
  <si>
    <t>Cenário 1 (Atual)</t>
  </si>
  <si>
    <t>Cenário 2 (Pingadeira)</t>
  </si>
  <si>
    <t>Cenário 3 (Pingadeira + Forno)</t>
  </si>
  <si>
    <t>Ciclo de Reposição (Dias)</t>
  </si>
  <si>
    <t>GVH</t>
  </si>
  <si>
    <t>GVH - Fornecedor Orlandia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</si>
</sst>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.0_-;\-* #,##0.0_-;_-* &quot;-&quot;??_-;_-@_-"/>
    <numFmt numFmtId="166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2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4" borderId="0" xfId="0" applyNumberFormat="1" applyFill="1" applyBorder="1"/>
    <xf numFmtId="0" fontId="0" fillId="0" borderId="0" xfId="0" applyNumberFormat="1" applyBorder="1"/>
    <xf numFmtId="164" fontId="3" fillId="3" borderId="0" xfId="0" applyNumberFormat="1" applyFont="1" applyFill="1" applyBorder="1"/>
    <xf numFmtId="164" fontId="5" fillId="0" borderId="0" xfId="2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5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0" fillId="0" borderId="4" xfId="0" applyBorder="1" applyAlignment="1">
      <alignment horizontal="left" indent="1"/>
    </xf>
    <xf numFmtId="164" fontId="0" fillId="0" borderId="5" xfId="0" applyNumberFormat="1" applyBorder="1"/>
    <xf numFmtId="0" fontId="0" fillId="4" borderId="4" xfId="0" applyFill="1" applyBorder="1"/>
    <xf numFmtId="164" fontId="0" fillId="4" borderId="5" xfId="0" applyNumberFormat="1" applyFill="1" applyBorder="1"/>
    <xf numFmtId="0" fontId="0" fillId="0" borderId="5" xfId="0" applyBorder="1"/>
    <xf numFmtId="0" fontId="0" fillId="0" borderId="5" xfId="0" applyNumberFormat="1" applyBorder="1"/>
    <xf numFmtId="0" fontId="3" fillId="3" borderId="4" xfId="0" applyFont="1" applyFill="1" applyBorder="1"/>
    <xf numFmtId="164" fontId="3" fillId="3" borderId="5" xfId="0" applyNumberFormat="1" applyFont="1" applyFill="1" applyBorder="1"/>
    <xf numFmtId="9" fontId="0" fillId="0" borderId="0" xfId="3" applyFont="1" applyBorder="1"/>
    <xf numFmtId="9" fontId="0" fillId="0" borderId="5" xfId="3" applyFont="1" applyBorder="1"/>
    <xf numFmtId="0" fontId="5" fillId="0" borderId="4" xfId="0" applyFont="1" applyBorder="1" applyAlignment="1">
      <alignment horizontal="left" wrapText="1" indent="1"/>
    </xf>
    <xf numFmtId="44" fontId="5" fillId="0" borderId="5" xfId="2" applyNumberFormat="1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43" fontId="3" fillId="0" borderId="0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4" fontId="3" fillId="3" borderId="0" xfId="0" applyNumberFormat="1" applyFont="1" applyFill="1" applyBorder="1"/>
    <xf numFmtId="44" fontId="3" fillId="3" borderId="5" xfId="0" applyNumberFormat="1" applyFont="1" applyFill="1" applyBorder="1"/>
    <xf numFmtId="0" fontId="3" fillId="0" borderId="0" xfId="0" applyFont="1" applyFill="1" applyBorder="1" applyAlignment="1"/>
    <xf numFmtId="0" fontId="0" fillId="0" borderId="0" xfId="0" applyFill="1"/>
    <xf numFmtId="0" fontId="4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2" fillId="0" borderId="0" xfId="1" applyFont="1" applyBorder="1" applyAlignment="1">
      <alignment horizontal="center"/>
    </xf>
    <xf numFmtId="43" fontId="4" fillId="0" borderId="0" xfId="1" applyFont="1"/>
    <xf numFmtId="43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0" fillId="0" borderId="0" xfId="1" applyNumberFormat="1" applyFont="1" applyBorder="1"/>
    <xf numFmtId="165" fontId="0" fillId="0" borderId="0" xfId="1" applyNumberFormat="1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Gordura Vegetal - Cenário</a:t>
            </a:r>
            <a:r>
              <a:rPr lang="pt-BR" baseline="0"/>
              <a:t> 4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LEC'!$H$54:$H$59</c:f>
              <c:numCache>
                <c:formatCode>_(* #,##0.00_);_(* \(#,##0.00\);_(* "-"??_);_(@_)</c:formatCode>
                <c:ptCount val="6"/>
                <c:pt idx="0" formatCode="General">
                  <c:v>0</c:v>
                </c:pt>
                <c:pt idx="1">
                  <c:v>175.66923981785146</c:v>
                </c:pt>
                <c:pt idx="2">
                  <c:v>175.66933981785147</c:v>
                </c:pt>
                <c:pt idx="3">
                  <c:v>351.33847963570292</c:v>
                </c:pt>
                <c:pt idx="4">
                  <c:v>351.3385796357029</c:v>
                </c:pt>
                <c:pt idx="5" formatCode="General">
                  <c:v>360</c:v>
                </c:pt>
              </c:numCache>
            </c:numRef>
          </c:xVal>
          <c:yVal>
            <c:numRef>
              <c:f>'Cálculo do LEC'!$I$54:$I$59</c:f>
              <c:numCache>
                <c:formatCode>_(* #,##0.00_);_(* \(#,##0.00\);_(* "-"??_);_(@_)</c:formatCode>
                <c:ptCount val="6"/>
                <c:pt idx="0">
                  <c:v>421.60617556284348</c:v>
                </c:pt>
                <c:pt idx="1">
                  <c:v>0</c:v>
                </c:pt>
                <c:pt idx="2">
                  <c:v>421.60617556284348</c:v>
                </c:pt>
                <c:pt idx="3">
                  <c:v>0</c:v>
                </c:pt>
                <c:pt idx="4">
                  <c:v>421.60617556284348</c:v>
                </c:pt>
                <c:pt idx="5">
                  <c:v>400.81876668853045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0021232"/>
        <c:axId val="-1190014704"/>
      </c:scatterChart>
      <c:valAx>
        <c:axId val="-119002123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90014704"/>
        <c:crosses val="autoZero"/>
        <c:crossBetween val="midCat"/>
        <c:majorUnit val="30"/>
      </c:valAx>
      <c:valAx>
        <c:axId val="-119001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 em Estoque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90021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Gordura Vegetal - Cenário 1 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LEC'!$H$4:$H$19</c:f>
              <c:numCache>
                <c:formatCode>_(* #,##0.00_);_(* \(#,##0.00\);_(* "-"??_);_(@_)</c:formatCode>
                <c:ptCount val="16"/>
                <c:pt idx="0" formatCode="General">
                  <c:v>0</c:v>
                </c:pt>
                <c:pt idx="1">
                  <c:v>48.522289593676298</c:v>
                </c:pt>
                <c:pt idx="2">
                  <c:v>48.522389593676301</c:v>
                </c:pt>
                <c:pt idx="3">
                  <c:v>97.044579187352596</c:v>
                </c:pt>
                <c:pt idx="4">
                  <c:v>97.0446791873526</c:v>
                </c:pt>
                <c:pt idx="5">
                  <c:v>145.56686878102889</c:v>
                </c:pt>
                <c:pt idx="6">
                  <c:v>145.56696878102889</c:v>
                </c:pt>
                <c:pt idx="7">
                  <c:v>194.08915837470519</c:v>
                </c:pt>
                <c:pt idx="8">
                  <c:v>194.0892583747052</c:v>
                </c:pt>
                <c:pt idx="9">
                  <c:v>242.6114479683815</c:v>
                </c:pt>
                <c:pt idx="10">
                  <c:v>242.6115479683815</c:v>
                </c:pt>
                <c:pt idx="11">
                  <c:v>291.13373756205777</c:v>
                </c:pt>
                <c:pt idx="12">
                  <c:v>291.13433756205779</c:v>
                </c:pt>
                <c:pt idx="13">
                  <c:v>339.65602715573408</c:v>
                </c:pt>
                <c:pt idx="14">
                  <c:v>339.65612715573405</c:v>
                </c:pt>
                <c:pt idx="15" formatCode="General">
                  <c:v>360</c:v>
                </c:pt>
              </c:numCache>
            </c:numRef>
          </c:xVal>
          <c:yVal>
            <c:numRef>
              <c:f>'Cálculo do LEC'!$I$4:$I$19</c:f>
              <c:numCache>
                <c:formatCode>_(* #,##0.00_);_(* \(#,##0.00\);_(* "-"??_);_(@_)</c:formatCode>
                <c:ptCount val="16"/>
                <c:pt idx="0">
                  <c:v>116.45349502482311</c:v>
                </c:pt>
                <c:pt idx="1">
                  <c:v>0</c:v>
                </c:pt>
                <c:pt idx="2">
                  <c:v>116.45349502482311</c:v>
                </c:pt>
                <c:pt idx="3">
                  <c:v>0</c:v>
                </c:pt>
                <c:pt idx="4">
                  <c:v>116.45349502482311</c:v>
                </c:pt>
                <c:pt idx="5">
                  <c:v>0</c:v>
                </c:pt>
                <c:pt idx="6">
                  <c:v>116.45349502482311</c:v>
                </c:pt>
                <c:pt idx="7">
                  <c:v>0</c:v>
                </c:pt>
                <c:pt idx="8">
                  <c:v>116.45349502482311</c:v>
                </c:pt>
                <c:pt idx="9">
                  <c:v>0</c:v>
                </c:pt>
                <c:pt idx="10">
                  <c:v>116.45349502482311</c:v>
                </c:pt>
                <c:pt idx="11">
                  <c:v>0</c:v>
                </c:pt>
                <c:pt idx="12">
                  <c:v>116.45349502482311</c:v>
                </c:pt>
                <c:pt idx="13">
                  <c:v>0</c:v>
                </c:pt>
                <c:pt idx="14">
                  <c:v>116.45349502482311</c:v>
                </c:pt>
                <c:pt idx="15">
                  <c:v>67.627960198584901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0911824"/>
        <c:axId val="-1180915088"/>
      </c:scatterChart>
      <c:valAx>
        <c:axId val="-1180911824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Título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15088"/>
        <c:crosses val="autoZero"/>
        <c:crossBetween val="midCat"/>
        <c:majorUnit val="30"/>
      </c:valAx>
      <c:valAx>
        <c:axId val="-11809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1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Gordura Vegetal - Cenário  2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LEC'!$K$4:$K$21</c:f>
              <c:numCache>
                <c:formatCode>_(* #,##0.00_);_(* \(#,##0.00\);_(* "-"??_);_(@_)</c:formatCode>
                <c:ptCount val="18"/>
                <c:pt idx="0" formatCode="General">
                  <c:v>0</c:v>
                </c:pt>
                <c:pt idx="1">
                  <c:v>44.294587587091151</c:v>
                </c:pt>
                <c:pt idx="2">
                  <c:v>44.294687587091154</c:v>
                </c:pt>
                <c:pt idx="3">
                  <c:v>88.589175174182301</c:v>
                </c:pt>
                <c:pt idx="4">
                  <c:v>88.589275174182305</c:v>
                </c:pt>
                <c:pt idx="5">
                  <c:v>132.88376276127346</c:v>
                </c:pt>
                <c:pt idx="6">
                  <c:v>132.88386276127346</c:v>
                </c:pt>
                <c:pt idx="7">
                  <c:v>177.1783503483646</c:v>
                </c:pt>
                <c:pt idx="8">
                  <c:v>177.17845034836461</c:v>
                </c:pt>
                <c:pt idx="9">
                  <c:v>221.47293793545575</c:v>
                </c:pt>
                <c:pt idx="10">
                  <c:v>221.47303793545575</c:v>
                </c:pt>
                <c:pt idx="11">
                  <c:v>265.76752552254692</c:v>
                </c:pt>
                <c:pt idx="12">
                  <c:v>265.76812552254694</c:v>
                </c:pt>
                <c:pt idx="13">
                  <c:v>310.06211310963806</c:v>
                </c:pt>
                <c:pt idx="14">
                  <c:v>310.06221310963804</c:v>
                </c:pt>
                <c:pt idx="15">
                  <c:v>354.35670069672921</c:v>
                </c:pt>
                <c:pt idx="16">
                  <c:v>354.35680069672918</c:v>
                </c:pt>
                <c:pt idx="17" formatCode="General">
                  <c:v>360</c:v>
                </c:pt>
              </c:numCache>
            </c:numRef>
          </c:xVal>
          <c:yVal>
            <c:numRef>
              <c:f>'Cálculo do LEC'!$L$4:$L$21</c:f>
              <c:numCache>
                <c:formatCode>_(* #,##0.00_);_(* \(#,##0.00\);_(* "-"??_);_(@_)</c:formatCode>
                <c:ptCount val="18"/>
                <c:pt idx="0">
                  <c:v>127.5684122508225</c:v>
                </c:pt>
                <c:pt idx="1">
                  <c:v>0</c:v>
                </c:pt>
                <c:pt idx="2">
                  <c:v>127.5684122508225</c:v>
                </c:pt>
                <c:pt idx="3">
                  <c:v>0</c:v>
                </c:pt>
                <c:pt idx="4">
                  <c:v>127.5684122508225</c:v>
                </c:pt>
                <c:pt idx="5">
                  <c:v>0</c:v>
                </c:pt>
                <c:pt idx="6">
                  <c:v>127.5684122508225</c:v>
                </c:pt>
                <c:pt idx="7">
                  <c:v>0</c:v>
                </c:pt>
                <c:pt idx="8">
                  <c:v>127.5684122508225</c:v>
                </c:pt>
                <c:pt idx="9">
                  <c:v>0</c:v>
                </c:pt>
                <c:pt idx="10">
                  <c:v>127.5684122508225</c:v>
                </c:pt>
                <c:pt idx="11">
                  <c:v>0</c:v>
                </c:pt>
                <c:pt idx="12">
                  <c:v>127.5684122508225</c:v>
                </c:pt>
                <c:pt idx="13">
                  <c:v>0</c:v>
                </c:pt>
                <c:pt idx="14">
                  <c:v>127.5684122508225</c:v>
                </c:pt>
                <c:pt idx="15">
                  <c:v>0</c:v>
                </c:pt>
                <c:pt idx="16">
                  <c:v>127.5684122508225</c:v>
                </c:pt>
                <c:pt idx="17">
                  <c:v>111.31571025740261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0910192"/>
        <c:axId val="-1180909104"/>
      </c:scatterChart>
      <c:valAx>
        <c:axId val="-118091019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Título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09104"/>
        <c:crosses val="autoZero"/>
        <c:crossBetween val="midCat"/>
        <c:majorUnit val="30"/>
      </c:valAx>
      <c:valAx>
        <c:axId val="-11809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1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Gordura Vegetal - Cenário  3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LEC'!$N$4:$N$23</c:f>
              <c:numCache>
                <c:formatCode>_(* #,##0.00_);_(* \(#,##0.00\);_(* "-"??_);_(@_)</c:formatCode>
                <c:ptCount val="20"/>
                <c:pt idx="0" formatCode="General">
                  <c:v>0</c:v>
                </c:pt>
                <c:pt idx="1">
                  <c:v>38.360238100575792</c:v>
                </c:pt>
                <c:pt idx="2">
                  <c:v>38.360338100575795</c:v>
                </c:pt>
                <c:pt idx="3">
                  <c:v>76.720476201151584</c:v>
                </c:pt>
                <c:pt idx="4">
                  <c:v>76.720576201151587</c:v>
                </c:pt>
                <c:pt idx="5">
                  <c:v>115.08071430172737</c:v>
                </c:pt>
                <c:pt idx="6">
                  <c:v>115.08081430172737</c:v>
                </c:pt>
                <c:pt idx="7">
                  <c:v>153.44095240230317</c:v>
                </c:pt>
                <c:pt idx="8">
                  <c:v>153.44105240230317</c:v>
                </c:pt>
                <c:pt idx="9">
                  <c:v>191.80119050287897</c:v>
                </c:pt>
                <c:pt idx="10">
                  <c:v>191.80129050287897</c:v>
                </c:pt>
                <c:pt idx="11">
                  <c:v>230.16142860345474</c:v>
                </c:pt>
                <c:pt idx="12">
                  <c:v>230.16202860345476</c:v>
                </c:pt>
                <c:pt idx="13">
                  <c:v>268.52166670403057</c:v>
                </c:pt>
                <c:pt idx="14">
                  <c:v>268.52176670403054</c:v>
                </c:pt>
                <c:pt idx="15">
                  <c:v>306.88190480460634</c:v>
                </c:pt>
                <c:pt idx="16">
                  <c:v>306.88200480460631</c:v>
                </c:pt>
                <c:pt idx="17">
                  <c:v>345.24214290518211</c:v>
                </c:pt>
                <c:pt idx="18">
                  <c:v>345.24224290518208</c:v>
                </c:pt>
                <c:pt idx="19" formatCode="General">
                  <c:v>360</c:v>
                </c:pt>
              </c:numCache>
            </c:numRef>
          </c:xVal>
          <c:yVal>
            <c:numRef>
              <c:f>'Cálculo do LEC'!$O$4:$O$23</c:f>
              <c:numCache>
                <c:formatCode>_(* #,##0.00_);_(* \(#,##0.00\);_(* "-"??_);_(@_)</c:formatCode>
                <c:ptCount val="20"/>
                <c:pt idx="0">
                  <c:v>147.30331430621106</c:v>
                </c:pt>
                <c:pt idx="1">
                  <c:v>0</c:v>
                </c:pt>
                <c:pt idx="2">
                  <c:v>147.30331430621106</c:v>
                </c:pt>
                <c:pt idx="3">
                  <c:v>0</c:v>
                </c:pt>
                <c:pt idx="4">
                  <c:v>147.30331430621106</c:v>
                </c:pt>
                <c:pt idx="5">
                  <c:v>0</c:v>
                </c:pt>
                <c:pt idx="6">
                  <c:v>147.30331430621106</c:v>
                </c:pt>
                <c:pt idx="7">
                  <c:v>0</c:v>
                </c:pt>
                <c:pt idx="8">
                  <c:v>147.30331430621106</c:v>
                </c:pt>
                <c:pt idx="9">
                  <c:v>0</c:v>
                </c:pt>
                <c:pt idx="10">
                  <c:v>147.30331430621106</c:v>
                </c:pt>
                <c:pt idx="11">
                  <c:v>0</c:v>
                </c:pt>
                <c:pt idx="12">
                  <c:v>147.30331430621106</c:v>
                </c:pt>
                <c:pt idx="13">
                  <c:v>0</c:v>
                </c:pt>
                <c:pt idx="14">
                  <c:v>147.30331430621106</c:v>
                </c:pt>
                <c:pt idx="15">
                  <c:v>0</c:v>
                </c:pt>
                <c:pt idx="16">
                  <c:v>147.30331430621106</c:v>
                </c:pt>
                <c:pt idx="17">
                  <c:v>0</c:v>
                </c:pt>
                <c:pt idx="18">
                  <c:v>147.30331430621106</c:v>
                </c:pt>
                <c:pt idx="19">
                  <c:v>90.633143062110349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0904208"/>
        <c:axId val="-1180903664"/>
      </c:scatterChart>
      <c:valAx>
        <c:axId val="-118090420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Título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03664"/>
        <c:crosses val="autoZero"/>
        <c:crossBetween val="midCat"/>
        <c:majorUnit val="30"/>
      </c:valAx>
      <c:valAx>
        <c:axId val="-118090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0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Gordura Vegetal - Cenário 5 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LEC'!$K$54:$K$59</c:f>
              <c:numCache>
                <c:formatCode>_(* #,##0.00_);_(* \(#,##0.00\);_(* "-"??_);_(@_)</c:formatCode>
                <c:ptCount val="6"/>
                <c:pt idx="0" formatCode="General">
                  <c:v>0</c:v>
                </c:pt>
                <c:pt idx="1">
                  <c:v>160.36334218003662</c:v>
                </c:pt>
                <c:pt idx="2">
                  <c:v>160.36344218003663</c:v>
                </c:pt>
                <c:pt idx="3">
                  <c:v>320.72668436007325</c:v>
                </c:pt>
                <c:pt idx="4">
                  <c:v>320.72678436007322</c:v>
                </c:pt>
                <c:pt idx="5" formatCode="General">
                  <c:v>360</c:v>
                </c:pt>
              </c:numCache>
            </c:numRef>
          </c:xVal>
          <c:yVal>
            <c:numRef>
              <c:f>'Cálculo do LEC'!$L$54:$L$59</c:f>
              <c:numCache>
                <c:formatCode>_(* #,##0.00_);_(* \(#,##0.00\);_(* "-"??_);_(@_)</c:formatCode>
                <c:ptCount val="6"/>
                <c:pt idx="0">
                  <c:v>461.84642547850541</c:v>
                </c:pt>
                <c:pt idx="1">
                  <c:v>0</c:v>
                </c:pt>
                <c:pt idx="2">
                  <c:v>461.84642547850541</c:v>
                </c:pt>
                <c:pt idx="3">
                  <c:v>0</c:v>
                </c:pt>
                <c:pt idx="4">
                  <c:v>461.84642547850541</c:v>
                </c:pt>
                <c:pt idx="5">
                  <c:v>348.73956443551629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0017968"/>
        <c:axId val="-1190013072"/>
      </c:scatterChart>
      <c:valAx>
        <c:axId val="-119001796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90013072"/>
        <c:crosses val="autoZero"/>
        <c:crossBetween val="midCat"/>
        <c:majorUnit val="30"/>
      </c:valAx>
      <c:valAx>
        <c:axId val="-11900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9001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Gordura Vegetal - Cenário 6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LEC'!$N$54:$N$59</c:f>
              <c:numCache>
                <c:formatCode>_(* #,##0.00_);_(* \(#,##0.00\);_(* "-"??_);_(@_)</c:formatCode>
                <c:ptCount val="6"/>
                <c:pt idx="0" formatCode="General">
                  <c:v>0</c:v>
                </c:pt>
                <c:pt idx="1">
                  <c:v>138.87872816368829</c:v>
                </c:pt>
                <c:pt idx="2">
                  <c:v>138.8788281636883</c:v>
                </c:pt>
                <c:pt idx="3">
                  <c:v>277.75745632737659</c:v>
                </c:pt>
                <c:pt idx="4">
                  <c:v>277.75755632737656</c:v>
                </c:pt>
                <c:pt idx="5" formatCode="General">
                  <c:v>360</c:v>
                </c:pt>
              </c:numCache>
            </c:numRef>
          </c:xVal>
          <c:yVal>
            <c:numRef>
              <c:f>'Cálculo do LEC'!$O$54:$O$59</c:f>
              <c:numCache>
                <c:formatCode>_(* #,##0.00_);_(* \(#,##0.00\);_(* "-"??_);_(@_)</c:formatCode>
                <c:ptCount val="6"/>
                <c:pt idx="0">
                  <c:v>533.2943161485631</c:v>
                </c:pt>
                <c:pt idx="1">
                  <c:v>0</c:v>
                </c:pt>
                <c:pt idx="2">
                  <c:v>533.2943161485631</c:v>
                </c:pt>
                <c:pt idx="3">
                  <c:v>0</c:v>
                </c:pt>
                <c:pt idx="4">
                  <c:v>533.2943161485631</c:v>
                </c:pt>
                <c:pt idx="5">
                  <c:v>217.48333244568909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26272"/>
        <c:axId val="-1183132256"/>
      </c:scatterChart>
      <c:valAx>
        <c:axId val="-118312627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32256"/>
        <c:crosses val="autoZero"/>
        <c:crossBetween val="midCat"/>
        <c:majorUnit val="30"/>
      </c:valAx>
      <c:valAx>
        <c:axId val="-11831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Tempero - Cenário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LEC'!$H$44:$H$49</c:f>
              <c:numCache>
                <c:formatCode>_(* #,##0.00_);_(* \(#,##0.00\);_(* "-"??_);_(@_)</c:formatCode>
                <c:ptCount val="6"/>
                <c:pt idx="0" formatCode="General">
                  <c:v>0</c:v>
                </c:pt>
                <c:pt idx="1">
                  <c:v>141.10875882871983</c:v>
                </c:pt>
                <c:pt idx="2">
                  <c:v>141.10885882871983</c:v>
                </c:pt>
                <c:pt idx="3">
                  <c:v>282.21751765743966</c:v>
                </c:pt>
                <c:pt idx="4">
                  <c:v>282.21761765743963</c:v>
                </c:pt>
                <c:pt idx="5" formatCode="General">
                  <c:v>360</c:v>
                </c:pt>
              </c:numCache>
            </c:numRef>
          </c:xVal>
          <c:yVal>
            <c:numRef>
              <c:f>'Cálculo do LEC'!$I$44:$I$49</c:f>
              <c:numCache>
                <c:formatCode>_(* #,##0.00_);_(* \(#,##0.00\);_(* "-"??_);_(@_)</c:formatCode>
                <c:ptCount val="6"/>
                <c:pt idx="0">
                  <c:v>2.3518126471453304</c:v>
                </c:pt>
                <c:pt idx="1">
                  <c:v>0</c:v>
                </c:pt>
                <c:pt idx="2">
                  <c:v>2.3518126471453304</c:v>
                </c:pt>
                <c:pt idx="3">
                  <c:v>0</c:v>
                </c:pt>
                <c:pt idx="4">
                  <c:v>2.3518126471453304</c:v>
                </c:pt>
                <c:pt idx="5">
                  <c:v>1.0554396081026576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29536"/>
        <c:axId val="-1183128992"/>
      </c:scatterChart>
      <c:valAx>
        <c:axId val="-1183129536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8992"/>
        <c:crosses val="autoZero"/>
        <c:crossBetween val="midCat"/>
        <c:majorUnit val="30"/>
      </c:valAx>
      <c:valAx>
        <c:axId val="-118312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Tempero - Cenário 2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LEC'!$K$44:$K$50</c:f>
              <c:numCache>
                <c:formatCode>_(* #,##0.00_);_(* \(#,##0.00\);_(* "-"??_);_(@_)</c:formatCode>
                <c:ptCount val="7"/>
                <c:pt idx="0" formatCode="General">
                  <c:v>0</c:v>
                </c:pt>
                <c:pt idx="1">
                  <c:v>128.81408378674354</c:v>
                </c:pt>
                <c:pt idx="2">
                  <c:v>128.81418378674354</c:v>
                </c:pt>
                <c:pt idx="3">
                  <c:v>257.62816757348708</c:v>
                </c:pt>
                <c:pt idx="4">
                  <c:v>257.62826757348705</c:v>
                </c:pt>
                <c:pt idx="5" formatCode="General">
                  <c:v>360</c:v>
                </c:pt>
              </c:numCache>
            </c:numRef>
          </c:xVal>
          <c:yVal>
            <c:numRef>
              <c:f>'Cálculo do LEC'!$L$44:$L$50</c:f>
              <c:numCache>
                <c:formatCode>_(* #,##0.00_);_(* \(#,##0.00\);_(* "-"??_);_(@_)</c:formatCode>
                <c:ptCount val="7"/>
                <c:pt idx="0">
                  <c:v>2.5762816757348705</c:v>
                </c:pt>
                <c:pt idx="1">
                  <c:v>0</c:v>
                </c:pt>
                <c:pt idx="2">
                  <c:v>2.5762816757348705</c:v>
                </c:pt>
                <c:pt idx="3">
                  <c:v>0</c:v>
                </c:pt>
                <c:pt idx="4">
                  <c:v>2.5762816757348705</c:v>
                </c:pt>
                <c:pt idx="5">
                  <c:v>0.52884702720461174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30624"/>
        <c:axId val="-1183126816"/>
      </c:scatterChart>
      <c:valAx>
        <c:axId val="-1183130624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6816"/>
        <c:crosses val="autoZero"/>
        <c:crossBetween val="midCat"/>
        <c:majorUnit val="30"/>
      </c:valAx>
      <c:valAx>
        <c:axId val="-118312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3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Tempero - Cenário 3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LEC'!$N$44:$N$51</c:f>
              <c:numCache>
                <c:formatCode>_(* #,##0.00_);_(* \(#,##0.00\);_(* "-"??_);_(@_)</c:formatCode>
                <c:ptCount val="8"/>
                <c:pt idx="0" formatCode="General">
                  <c:v>0</c:v>
                </c:pt>
                <c:pt idx="1">
                  <c:v>111.55626892453708</c:v>
                </c:pt>
                <c:pt idx="2">
                  <c:v>111.55636892453708</c:v>
                </c:pt>
                <c:pt idx="3">
                  <c:v>223.11253784907416</c:v>
                </c:pt>
                <c:pt idx="4">
                  <c:v>223.11263784907416</c:v>
                </c:pt>
                <c:pt idx="5">
                  <c:v>334.66880677361121</c:v>
                </c:pt>
                <c:pt idx="6">
                  <c:v>334.66890677361118</c:v>
                </c:pt>
                <c:pt idx="7" formatCode="General">
                  <c:v>360</c:v>
                </c:pt>
              </c:numCache>
            </c:numRef>
          </c:xVal>
          <c:yVal>
            <c:numRef>
              <c:f>'Cálculo do LEC'!$O$44:$O$51</c:f>
              <c:numCache>
                <c:formatCode>_(* #,##0.00_);_(* \(#,##0.00\);_(* "-"??_);_(@_)</c:formatCode>
                <c:ptCount val="8"/>
                <c:pt idx="0">
                  <c:v>2.9748338379876555</c:v>
                </c:pt>
                <c:pt idx="1">
                  <c:v>0</c:v>
                </c:pt>
                <c:pt idx="2">
                  <c:v>2.9748338379876555</c:v>
                </c:pt>
                <c:pt idx="3">
                  <c:v>0</c:v>
                </c:pt>
                <c:pt idx="4">
                  <c:v>2.9748338379876555</c:v>
                </c:pt>
                <c:pt idx="5">
                  <c:v>0</c:v>
                </c:pt>
                <c:pt idx="6">
                  <c:v>2.9748338379876555</c:v>
                </c:pt>
                <c:pt idx="7">
                  <c:v>2.2993380186172869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18112"/>
        <c:axId val="-1183127360"/>
      </c:scatterChart>
      <c:valAx>
        <c:axId val="-118311811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7360"/>
        <c:crosses val="autoZero"/>
        <c:crossBetween val="midCat"/>
        <c:majorUnit val="30"/>
      </c:valAx>
      <c:valAx>
        <c:axId val="-11831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1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Composto Lácteo - Cenário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LEC'!$H$27:$H$34</c:f>
              <c:numCache>
                <c:formatCode>_(* #,##0.00_);_(* \(#,##0.00\);_(* "-"??_);_(@_)</c:formatCode>
                <c:ptCount val="8"/>
                <c:pt idx="0" formatCode="General">
                  <c:v>0</c:v>
                </c:pt>
                <c:pt idx="1">
                  <c:v>108.10387566541866</c:v>
                </c:pt>
                <c:pt idx="2">
                  <c:v>108.10397566541866</c:v>
                </c:pt>
                <c:pt idx="3">
                  <c:v>216.20775133083731</c:v>
                </c:pt>
                <c:pt idx="4">
                  <c:v>216.20785133083731</c:v>
                </c:pt>
                <c:pt idx="5">
                  <c:v>324.311626996256</c:v>
                </c:pt>
                <c:pt idx="6">
                  <c:v>324.31172699625597</c:v>
                </c:pt>
                <c:pt idx="7" formatCode="General">
                  <c:v>360</c:v>
                </c:pt>
              </c:numCache>
            </c:numRef>
          </c:xVal>
          <c:yVal>
            <c:numRef>
              <c:f>'Cálculo do LEC'!$I$27:$I$34</c:f>
              <c:numCache>
                <c:formatCode>_(* #,##0.00_);_(* \(#,##0.00\);_(* "-"??_);_(@_)</c:formatCode>
                <c:ptCount val="8"/>
                <c:pt idx="0">
                  <c:v>38.608527023363806</c:v>
                </c:pt>
                <c:pt idx="1">
                  <c:v>0</c:v>
                </c:pt>
                <c:pt idx="2">
                  <c:v>38.608527023363806</c:v>
                </c:pt>
                <c:pt idx="3">
                  <c:v>0</c:v>
                </c:pt>
                <c:pt idx="4">
                  <c:v>38.608527023363806</c:v>
                </c:pt>
                <c:pt idx="5">
                  <c:v>0</c:v>
                </c:pt>
                <c:pt idx="6">
                  <c:v>38.608527023363806</c:v>
                </c:pt>
                <c:pt idx="7">
                  <c:v>25.862715236312368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20288"/>
        <c:axId val="-1183117568"/>
      </c:scatterChart>
      <c:valAx>
        <c:axId val="-118312028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17568"/>
        <c:crosses val="autoZero"/>
        <c:crossBetween val="midCat"/>
        <c:majorUnit val="30"/>
      </c:valAx>
      <c:valAx>
        <c:axId val="-1183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Composto Lácteo - Cenário 2 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LEC'!$K$27:$K$38</c:f>
              <c:numCache>
                <c:formatCode>_(* #,##0.00_);_(* \(#,##0.00\);_(* "-"??_);_(@_)</c:formatCode>
                <c:ptCount val="12"/>
                <c:pt idx="0" formatCode="General">
                  <c:v>0</c:v>
                </c:pt>
                <c:pt idx="1">
                  <c:v>90.086563054515551</c:v>
                </c:pt>
                <c:pt idx="2">
                  <c:v>90.086663054515554</c:v>
                </c:pt>
                <c:pt idx="3">
                  <c:v>180.1731261090311</c:v>
                </c:pt>
                <c:pt idx="4">
                  <c:v>180.17322610903111</c:v>
                </c:pt>
                <c:pt idx="5">
                  <c:v>270.25968916354668</c:v>
                </c:pt>
                <c:pt idx="6">
                  <c:v>270.25978916354666</c:v>
                </c:pt>
                <c:pt idx="7" formatCode="General">
                  <c:v>360</c:v>
                </c:pt>
              </c:numCache>
            </c:numRef>
          </c:xVal>
          <c:yVal>
            <c:numRef>
              <c:f>'Cálculo do LEC'!$L$27:$L$38</c:f>
              <c:numCache>
                <c:formatCode>_(* #,##0.00_);_(* \(#,##0.00\);_(* "-"??_);_(@_)</c:formatCode>
                <c:ptCount val="12"/>
                <c:pt idx="0">
                  <c:v>35.2446019379069</c:v>
                </c:pt>
                <c:pt idx="1">
                  <c:v>0</c:v>
                </c:pt>
                <c:pt idx="2">
                  <c:v>35.2446019379069</c:v>
                </c:pt>
                <c:pt idx="3">
                  <c:v>0</c:v>
                </c:pt>
                <c:pt idx="4">
                  <c:v>35.2446019379069</c:v>
                </c:pt>
                <c:pt idx="5">
                  <c:v>0</c:v>
                </c:pt>
                <c:pt idx="6">
                  <c:v>35.2446019379069</c:v>
                </c:pt>
                <c:pt idx="7">
                  <c:v>0.13550351619615952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21376"/>
        <c:axId val="-1183124640"/>
      </c:scatterChart>
      <c:valAx>
        <c:axId val="-1183121376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4640"/>
        <c:crosses val="autoZero"/>
        <c:crossBetween val="midCat"/>
        <c:majorUnit val="30"/>
      </c:valAx>
      <c:valAx>
        <c:axId val="-1183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312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Composto Lácteo - Cenário 3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'Cálculo do LEC'!$N$27:$N$38</c:f>
              <c:numCache>
                <c:formatCode>_(* #,##0.00_);_(* \(#,##0.00\);_(* "-"??_);_(@_)</c:formatCode>
                <c:ptCount val="12"/>
                <c:pt idx="0" formatCode="General">
                  <c:v>0</c:v>
                </c:pt>
                <c:pt idx="1">
                  <c:v>78.017252144839134</c:v>
                </c:pt>
                <c:pt idx="2">
                  <c:v>78.017352144839137</c:v>
                </c:pt>
                <c:pt idx="3">
                  <c:v>156.03450428967827</c:v>
                </c:pt>
                <c:pt idx="4">
                  <c:v>156.03460428967827</c:v>
                </c:pt>
                <c:pt idx="5">
                  <c:v>234.05175643451742</c:v>
                </c:pt>
                <c:pt idx="6">
                  <c:v>234.05185643451742</c:v>
                </c:pt>
                <c:pt idx="7">
                  <c:v>312.06900857935653</c:v>
                </c:pt>
                <c:pt idx="8">
                  <c:v>312.06910857935651</c:v>
                </c:pt>
                <c:pt idx="9" formatCode="General">
                  <c:v>360</c:v>
                </c:pt>
              </c:numCache>
            </c:numRef>
          </c:xVal>
          <c:yVal>
            <c:numRef>
              <c:f>'Cálculo do LEC'!$O$27:$O$38</c:f>
              <c:numCache>
                <c:formatCode>_(* #,##0.00_);_(* \(#,##0.00\);_(* "-"??_);_(@_)</c:formatCode>
                <c:ptCount val="12"/>
                <c:pt idx="0">
                  <c:v>44.581286939908075</c:v>
                </c:pt>
                <c:pt idx="1">
                  <c:v>0</c:v>
                </c:pt>
                <c:pt idx="2">
                  <c:v>44.581286939908075</c:v>
                </c:pt>
                <c:pt idx="3">
                  <c:v>0</c:v>
                </c:pt>
                <c:pt idx="4">
                  <c:v>44.581286939908075</c:v>
                </c:pt>
                <c:pt idx="5">
                  <c:v>0</c:v>
                </c:pt>
                <c:pt idx="6">
                  <c:v>44.581286939908075</c:v>
                </c:pt>
                <c:pt idx="7">
                  <c:v>0</c:v>
                </c:pt>
                <c:pt idx="8">
                  <c:v>44.581286939908075</c:v>
                </c:pt>
                <c:pt idx="9">
                  <c:v>17.192206128111795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0900944"/>
        <c:axId val="-1180908560"/>
      </c:scatterChart>
      <c:valAx>
        <c:axId val="-1180900944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08560"/>
        <c:crosses val="autoZero"/>
        <c:crossBetween val="midCat"/>
        <c:majorUnit val="30"/>
      </c:valAx>
      <c:valAx>
        <c:axId val="-11809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Quantidade em Estoque (Kg)</a:t>
                </a:r>
                <a:endParaRPr lang="pt-B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90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32</xdr:row>
      <xdr:rowOff>138112</xdr:rowOff>
    </xdr:from>
    <xdr:to>
      <xdr:col>8</xdr:col>
      <xdr:colOff>66225</xdr:colOff>
      <xdr:row>44</xdr:row>
      <xdr:rowOff>2587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32</xdr:row>
      <xdr:rowOff>138112</xdr:rowOff>
    </xdr:from>
    <xdr:to>
      <xdr:col>13</xdr:col>
      <xdr:colOff>266250</xdr:colOff>
      <xdr:row>44</xdr:row>
      <xdr:rowOff>2587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561975</xdr:colOff>
      <xdr:row>32</xdr:row>
      <xdr:rowOff>138112</xdr:rowOff>
    </xdr:from>
    <xdr:to>
      <xdr:col>19</xdr:col>
      <xdr:colOff>504375</xdr:colOff>
      <xdr:row>44</xdr:row>
      <xdr:rowOff>2587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21</xdr:row>
      <xdr:rowOff>106362</xdr:rowOff>
    </xdr:from>
    <xdr:to>
      <xdr:col>8</xdr:col>
      <xdr:colOff>66225</xdr:colOff>
      <xdr:row>32</xdr:row>
      <xdr:rowOff>161337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342900</xdr:colOff>
      <xdr:row>21</xdr:row>
      <xdr:rowOff>106362</xdr:rowOff>
    </xdr:from>
    <xdr:to>
      <xdr:col>13</xdr:col>
      <xdr:colOff>266250</xdr:colOff>
      <xdr:row>32</xdr:row>
      <xdr:rowOff>161337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561975</xdr:colOff>
      <xdr:row>21</xdr:row>
      <xdr:rowOff>106362</xdr:rowOff>
    </xdr:from>
    <xdr:to>
      <xdr:col>19</xdr:col>
      <xdr:colOff>504375</xdr:colOff>
      <xdr:row>32</xdr:row>
      <xdr:rowOff>161337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95250</xdr:colOff>
      <xdr:row>10</xdr:row>
      <xdr:rowOff>65087</xdr:rowOff>
    </xdr:from>
    <xdr:to>
      <xdr:col>8</xdr:col>
      <xdr:colOff>66225</xdr:colOff>
      <xdr:row>21</xdr:row>
      <xdr:rowOff>129587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342900</xdr:colOff>
      <xdr:row>10</xdr:row>
      <xdr:rowOff>65087</xdr:rowOff>
    </xdr:from>
    <xdr:to>
      <xdr:col>13</xdr:col>
      <xdr:colOff>266250</xdr:colOff>
      <xdr:row>21</xdr:row>
      <xdr:rowOff>129587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561975</xdr:colOff>
      <xdr:row>10</xdr:row>
      <xdr:rowOff>65087</xdr:rowOff>
    </xdr:from>
    <xdr:to>
      <xdr:col>19</xdr:col>
      <xdr:colOff>504375</xdr:colOff>
      <xdr:row>21</xdr:row>
      <xdr:rowOff>129587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95250</xdr:colOff>
      <xdr:row>0</xdr:row>
      <xdr:rowOff>23812</xdr:rowOff>
    </xdr:from>
    <xdr:to>
      <xdr:col>8</xdr:col>
      <xdr:colOff>66225</xdr:colOff>
      <xdr:row>10</xdr:row>
      <xdr:rowOff>88312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342900</xdr:colOff>
      <xdr:row>0</xdr:row>
      <xdr:rowOff>23812</xdr:rowOff>
    </xdr:from>
    <xdr:to>
      <xdr:col>13</xdr:col>
      <xdr:colOff>266250</xdr:colOff>
      <xdr:row>10</xdr:row>
      <xdr:rowOff>88312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542925</xdr:colOff>
      <xdr:row>0</xdr:row>
      <xdr:rowOff>23812</xdr:rowOff>
    </xdr:from>
    <xdr:to>
      <xdr:col>19</xdr:col>
      <xdr:colOff>485325</xdr:colOff>
      <xdr:row>10</xdr:row>
      <xdr:rowOff>88312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tabSelected="1" workbookViewId="0">
      <selection sqref="A1:E1"/>
    </sheetView>
  </sheetViews>
  <sheetFormatPr defaultRowHeight="15" x14ac:dyDescent="0.25"/>
  <cols>
    <col min="1" max="1" width="27.42578125" bestFit="1" customWidth="1"/>
    <col min="2" max="3" width="19.28515625" customWidth="1"/>
    <col min="4" max="4" width="16.85546875" customWidth="1"/>
    <col min="5" max="5" width="15.7109375" customWidth="1"/>
    <col min="6" max="6" width="15.7109375" style="48" customWidth="1"/>
    <col min="7" max="7" width="28.140625" style="48" bestFit="1" customWidth="1"/>
    <col min="8" max="8" width="10.5703125" style="48" customWidth="1"/>
    <col min="9" max="10" width="9.42578125" style="48" bestFit="1" customWidth="1"/>
    <col min="11" max="11" width="18" style="48" customWidth="1"/>
    <col min="12" max="21" width="9.140625" style="48"/>
  </cols>
  <sheetData>
    <row r="1" spans="1:21" x14ac:dyDescent="0.25">
      <c r="A1" s="57" t="s">
        <v>17</v>
      </c>
      <c r="B1" s="62"/>
      <c r="C1" s="62"/>
      <c r="D1" s="62"/>
      <c r="E1" s="58"/>
    </row>
    <row r="2" spans="1:21" s="2" customFormat="1" ht="30" x14ac:dyDescent="0.25">
      <c r="A2" s="19"/>
      <c r="B2" s="3" t="s">
        <v>5</v>
      </c>
      <c r="C2" s="3" t="s">
        <v>34</v>
      </c>
      <c r="D2" s="1" t="s">
        <v>7</v>
      </c>
      <c r="E2" s="20" t="s">
        <v>8</v>
      </c>
      <c r="F2" s="48"/>
      <c r="G2" s="49"/>
      <c r="H2" s="50" t="s">
        <v>33</v>
      </c>
      <c r="I2" s="49" t="s">
        <v>29</v>
      </c>
      <c r="J2" s="51"/>
      <c r="K2" s="49" t="s">
        <v>30</v>
      </c>
      <c r="L2" s="50" t="s">
        <v>33</v>
      </c>
      <c r="M2" s="51"/>
      <c r="N2" s="49" t="s">
        <v>31</v>
      </c>
      <c r="O2" s="50" t="s">
        <v>33</v>
      </c>
      <c r="P2" s="51"/>
      <c r="Q2" s="51"/>
      <c r="R2" s="51"/>
      <c r="S2" s="51"/>
      <c r="T2" s="51"/>
      <c r="U2" s="51"/>
    </row>
    <row r="3" spans="1:21" x14ac:dyDescent="0.25">
      <c r="A3" s="19" t="s">
        <v>9</v>
      </c>
      <c r="B3" s="13">
        <v>24</v>
      </c>
      <c r="C3" s="13">
        <v>24</v>
      </c>
      <c r="D3" s="15">
        <v>25</v>
      </c>
      <c r="E3" s="21">
        <v>1</v>
      </c>
      <c r="H3" s="48" t="s">
        <v>3</v>
      </c>
      <c r="I3" s="48" t="s">
        <v>4</v>
      </c>
      <c r="K3" s="48" t="s">
        <v>3</v>
      </c>
      <c r="L3" s="48" t="s">
        <v>4</v>
      </c>
      <c r="N3" s="48" t="s">
        <v>3</v>
      </c>
      <c r="O3" s="48" t="s">
        <v>4</v>
      </c>
    </row>
    <row r="4" spans="1:21" x14ac:dyDescent="0.25">
      <c r="A4" s="19" t="s">
        <v>10</v>
      </c>
      <c r="B4" s="5" t="s">
        <v>6</v>
      </c>
      <c r="C4" s="5" t="s">
        <v>6</v>
      </c>
      <c r="D4" s="16" t="s">
        <v>6</v>
      </c>
      <c r="E4" s="22" t="s">
        <v>6</v>
      </c>
      <c r="H4" s="48">
        <v>0</v>
      </c>
      <c r="I4" s="52">
        <f>SQRT((2*B$19*B8)/B$23)</f>
        <v>116.45349502482311</v>
      </c>
      <c r="K4" s="48">
        <v>0</v>
      </c>
      <c r="L4" s="52">
        <f>SQRT((2*B$19*B9)/B$23)</f>
        <v>127.5684122508225</v>
      </c>
      <c r="N4" s="48">
        <v>0</v>
      </c>
      <c r="O4" s="52">
        <f>SQRT((2*B$19*B10)/B$23)</f>
        <v>147.30331430621106</v>
      </c>
    </row>
    <row r="5" spans="1:21" x14ac:dyDescent="0.25">
      <c r="A5" s="19" t="s">
        <v>11</v>
      </c>
      <c r="B5" s="5">
        <v>10</v>
      </c>
      <c r="C5" s="5">
        <v>10</v>
      </c>
      <c r="D5" s="16">
        <v>70</v>
      </c>
      <c r="E5" s="22">
        <v>60</v>
      </c>
      <c r="H5" s="52">
        <f>SQRT((2*B$19*B8)/B$23)*B$5/B$3</f>
        <v>48.522289593676298</v>
      </c>
      <c r="I5" s="53">
        <v>0</v>
      </c>
      <c r="K5" s="52">
        <v>44.294587587091151</v>
      </c>
      <c r="L5" s="53">
        <v>0</v>
      </c>
      <c r="N5" s="52">
        <v>38.360238100575792</v>
      </c>
      <c r="O5" s="53">
        <v>0</v>
      </c>
    </row>
    <row r="6" spans="1:21" x14ac:dyDescent="0.25">
      <c r="A6" s="19" t="s">
        <v>12</v>
      </c>
      <c r="B6" s="12">
        <v>130</v>
      </c>
      <c r="C6" s="12">
        <v>130</v>
      </c>
      <c r="D6" s="17">
        <v>220</v>
      </c>
      <c r="E6" s="23">
        <v>120</v>
      </c>
      <c r="H6" s="54">
        <f>H5+0.0001</f>
        <v>48.522389593676301</v>
      </c>
      <c r="I6" s="53">
        <f>I4</f>
        <v>116.45349502482311</v>
      </c>
      <c r="K6" s="54">
        <f>K5+0.0001</f>
        <v>44.294687587091154</v>
      </c>
      <c r="L6" s="53">
        <f>L4</f>
        <v>127.5684122508225</v>
      </c>
      <c r="N6" s="54">
        <f>N5+0.0001</f>
        <v>38.360338100575795</v>
      </c>
      <c r="O6" s="53">
        <f>O4</f>
        <v>147.30331430621106</v>
      </c>
    </row>
    <row r="7" spans="1:21" x14ac:dyDescent="0.25">
      <c r="A7" s="59" t="s">
        <v>28</v>
      </c>
      <c r="B7" s="60"/>
      <c r="C7" s="60"/>
      <c r="D7" s="60"/>
      <c r="E7" s="61"/>
      <c r="H7" s="54">
        <f>2*H5</f>
        <v>97.044579187352596</v>
      </c>
      <c r="I7" s="53">
        <v>0</v>
      </c>
      <c r="K7" s="54">
        <f>2*K5</f>
        <v>88.589175174182301</v>
      </c>
      <c r="L7" s="53">
        <v>0</v>
      </c>
      <c r="N7" s="54">
        <f>2*N5</f>
        <v>76.720476201151584</v>
      </c>
      <c r="O7" s="53">
        <v>0</v>
      </c>
    </row>
    <row r="8" spans="1:21" x14ac:dyDescent="0.25">
      <c r="A8" s="19" t="s">
        <v>14</v>
      </c>
      <c r="B8" s="4">
        <f>B3/B5*360</f>
        <v>864</v>
      </c>
      <c r="C8" s="4">
        <v>864</v>
      </c>
      <c r="D8" s="14">
        <f>D3/D5*360</f>
        <v>128.57142857142858</v>
      </c>
      <c r="E8" s="24">
        <f>E3/E5*360</f>
        <v>6</v>
      </c>
      <c r="H8" s="54">
        <f>H7+0.0001</f>
        <v>97.0446791873526</v>
      </c>
      <c r="I8" s="53">
        <f>I4</f>
        <v>116.45349502482311</v>
      </c>
      <c r="K8" s="54">
        <f>K7+0.0001</f>
        <v>88.589275174182305</v>
      </c>
      <c r="L8" s="53">
        <f>L4</f>
        <v>127.5684122508225</v>
      </c>
      <c r="N8" s="54">
        <f>N7+0.0001</f>
        <v>76.720576201151587</v>
      </c>
      <c r="O8" s="53">
        <f>O4</f>
        <v>147.30331430621106</v>
      </c>
    </row>
    <row r="9" spans="1:21" x14ac:dyDescent="0.25">
      <c r="A9" s="25" t="s">
        <v>15</v>
      </c>
      <c r="B9" s="4">
        <f>B8*1.2</f>
        <v>1036.8</v>
      </c>
      <c r="C9" s="4">
        <v>1036.8</v>
      </c>
      <c r="D9" s="14">
        <f>D8*1.2</f>
        <v>154.28571428571431</v>
      </c>
      <c r="E9" s="24">
        <f>E8*1.2</f>
        <v>7.1999999999999993</v>
      </c>
      <c r="H9" s="54">
        <f>3*H5</f>
        <v>145.56686878102889</v>
      </c>
      <c r="I9" s="53">
        <v>0</v>
      </c>
      <c r="K9" s="54">
        <f>3*K5</f>
        <v>132.88376276127346</v>
      </c>
      <c r="L9" s="53">
        <v>0</v>
      </c>
      <c r="N9" s="54">
        <f>3*N5</f>
        <v>115.08071430172737</v>
      </c>
      <c r="O9" s="53">
        <v>0</v>
      </c>
    </row>
    <row r="10" spans="1:21" x14ac:dyDescent="0.25">
      <c r="A10" s="25" t="s">
        <v>16</v>
      </c>
      <c r="B10" s="4">
        <f>B8*1.6</f>
        <v>1382.4</v>
      </c>
      <c r="C10" s="4">
        <v>1382.4</v>
      </c>
      <c r="D10" s="14">
        <f>D8*1.6</f>
        <v>205.71428571428575</v>
      </c>
      <c r="E10" s="24">
        <f>E8*1.6</f>
        <v>9.6000000000000014</v>
      </c>
      <c r="H10" s="54">
        <f>H9+0.0001</f>
        <v>145.56696878102889</v>
      </c>
      <c r="I10" s="53">
        <f>I6</f>
        <v>116.45349502482311</v>
      </c>
      <c r="K10" s="54">
        <f>K9+0.0001</f>
        <v>132.88386276127346</v>
      </c>
      <c r="L10" s="53">
        <f>L6</f>
        <v>127.5684122508225</v>
      </c>
      <c r="N10" s="54">
        <f>N9+0.0001</f>
        <v>115.08081430172737</v>
      </c>
      <c r="O10" s="53">
        <f>O6</f>
        <v>147.30331430621106</v>
      </c>
    </row>
    <row r="11" spans="1:21" x14ac:dyDescent="0.25">
      <c r="A11" s="59" t="s">
        <v>18</v>
      </c>
      <c r="B11" s="60"/>
      <c r="C11" s="60"/>
      <c r="D11" s="60"/>
      <c r="E11" s="61"/>
      <c r="H11" s="54">
        <f>4*H5</f>
        <v>194.08915837470519</v>
      </c>
      <c r="I11" s="53">
        <v>0</v>
      </c>
      <c r="K11" s="54">
        <f>4*K5</f>
        <v>177.1783503483646</v>
      </c>
      <c r="L11" s="53">
        <v>0</v>
      </c>
      <c r="N11" s="54">
        <f>4*N5</f>
        <v>153.44095240230317</v>
      </c>
      <c r="O11" s="53">
        <v>0</v>
      </c>
    </row>
    <row r="12" spans="1:21" x14ac:dyDescent="0.25">
      <c r="A12" s="26" t="s">
        <v>0</v>
      </c>
      <c r="B12" s="8">
        <v>5.1420454545454541</v>
      </c>
      <c r="C12" s="8">
        <v>5.1420454545454541</v>
      </c>
      <c r="D12" s="8">
        <v>5.1420454545454541</v>
      </c>
      <c r="E12" s="27">
        <v>5.1420454545454541</v>
      </c>
      <c r="H12" s="54">
        <f>H11+0.0001</f>
        <v>194.0892583747052</v>
      </c>
      <c r="I12" s="53">
        <f>I8</f>
        <v>116.45349502482311</v>
      </c>
      <c r="K12" s="54">
        <f>K11+0.0001</f>
        <v>177.17845034836461</v>
      </c>
      <c r="L12" s="53">
        <f>L8</f>
        <v>127.5684122508225</v>
      </c>
      <c r="N12" s="54">
        <f>N11+0.0001</f>
        <v>153.44105240230317</v>
      </c>
      <c r="O12" s="53">
        <f>O8</f>
        <v>147.30331430621106</v>
      </c>
    </row>
    <row r="13" spans="1:21" x14ac:dyDescent="0.25">
      <c r="A13" s="28" t="s">
        <v>24</v>
      </c>
      <c r="B13" s="9">
        <v>2.5710227272727271</v>
      </c>
      <c r="C13" s="9">
        <f>2*C12</f>
        <v>10.284090909090908</v>
      </c>
      <c r="D13" s="9">
        <v>2.5710227272727271</v>
      </c>
      <c r="E13" s="29">
        <v>2.5710227272727271</v>
      </c>
      <c r="H13" s="54">
        <f>H5*5</f>
        <v>242.6114479683815</v>
      </c>
      <c r="I13" s="53">
        <v>0</v>
      </c>
      <c r="K13" s="54">
        <f>K5*5</f>
        <v>221.47293793545575</v>
      </c>
      <c r="L13" s="53">
        <v>0</v>
      </c>
      <c r="N13" s="54">
        <f>N5*5</f>
        <v>191.80119050287897</v>
      </c>
      <c r="O13" s="53">
        <v>0</v>
      </c>
    </row>
    <row r="14" spans="1:21" x14ac:dyDescent="0.25">
      <c r="A14" s="26" t="s">
        <v>1</v>
      </c>
      <c r="B14" s="8">
        <v>3.2</v>
      </c>
      <c r="C14" s="8">
        <v>3.2</v>
      </c>
      <c r="D14" s="8">
        <v>3.2</v>
      </c>
      <c r="E14" s="27">
        <v>3.2</v>
      </c>
      <c r="H14" s="54">
        <f>H13+0.0001</f>
        <v>242.6115479683815</v>
      </c>
      <c r="I14" s="53">
        <f>I10</f>
        <v>116.45349502482311</v>
      </c>
      <c r="K14" s="54">
        <f>K13+0.0001</f>
        <v>221.47303793545575</v>
      </c>
      <c r="L14" s="53">
        <f>L10</f>
        <v>127.5684122508225</v>
      </c>
      <c r="N14" s="54">
        <f>N13+0.0001</f>
        <v>191.80129050287897</v>
      </c>
      <c r="O14" s="53">
        <f>O10</f>
        <v>147.30331430621106</v>
      </c>
    </row>
    <row r="15" spans="1:21" x14ac:dyDescent="0.25">
      <c r="A15" s="26" t="s">
        <v>19</v>
      </c>
      <c r="B15" s="7">
        <f>1/8</f>
        <v>0.125</v>
      </c>
      <c r="C15" s="63">
        <f>1/11</f>
        <v>9.0909090909090912E-2</v>
      </c>
      <c r="D15" s="7">
        <f t="shared" ref="D15:E15" si="0">1/8</f>
        <v>0.125</v>
      </c>
      <c r="E15" s="30">
        <f t="shared" si="0"/>
        <v>0.125</v>
      </c>
      <c r="H15" s="54">
        <f>H5*6</f>
        <v>291.13373756205777</v>
      </c>
      <c r="I15" s="53">
        <v>0</v>
      </c>
      <c r="K15" s="54">
        <f>K5*6</f>
        <v>265.76752552254692</v>
      </c>
      <c r="L15" s="53">
        <v>0</v>
      </c>
      <c r="N15" s="54">
        <f>N5*6</f>
        <v>230.16142860345474</v>
      </c>
      <c r="O15" s="53">
        <v>0</v>
      </c>
    </row>
    <row r="16" spans="1:21" x14ac:dyDescent="0.25">
      <c r="A16" s="26" t="s">
        <v>2</v>
      </c>
      <c r="B16" s="7">
        <v>4.2</v>
      </c>
      <c r="C16" s="64">
        <v>108</v>
      </c>
      <c r="D16" s="7">
        <v>4.2</v>
      </c>
      <c r="E16" s="30">
        <v>7.4</v>
      </c>
      <c r="H16" s="54">
        <f>H6*6</f>
        <v>291.13433756205779</v>
      </c>
      <c r="I16" s="53">
        <f t="shared" ref="I16:I18" si="1">I12</f>
        <v>116.45349502482311</v>
      </c>
      <c r="K16" s="54">
        <f>K6*6</f>
        <v>265.76812552254694</v>
      </c>
      <c r="L16" s="53">
        <f t="shared" ref="L16:L20" si="2">L12</f>
        <v>127.5684122508225</v>
      </c>
      <c r="N16" s="54">
        <f>N6*6</f>
        <v>230.16202860345476</v>
      </c>
      <c r="O16" s="53">
        <f t="shared" ref="O16:O18" si="3">O12</f>
        <v>147.30331430621106</v>
      </c>
    </row>
    <row r="17" spans="1:15" x14ac:dyDescent="0.25">
      <c r="A17" s="26" t="s">
        <v>20</v>
      </c>
      <c r="B17" s="10">
        <f>B16*B15</f>
        <v>0.52500000000000002</v>
      </c>
      <c r="C17" s="63">
        <f>C16*C15</f>
        <v>9.8181818181818183</v>
      </c>
      <c r="D17" s="10">
        <f t="shared" ref="D17:E17" si="4">D16*D15</f>
        <v>0.52500000000000002</v>
      </c>
      <c r="E17" s="31">
        <f t="shared" si="4"/>
        <v>0.92500000000000004</v>
      </c>
      <c r="H17" s="54">
        <f>H5*7</f>
        <v>339.65602715573408</v>
      </c>
      <c r="I17" s="53">
        <v>0</v>
      </c>
      <c r="K17" s="54">
        <f>K5*7</f>
        <v>310.06211310963806</v>
      </c>
      <c r="L17" s="53">
        <v>0</v>
      </c>
      <c r="N17" s="54">
        <f>N5*7</f>
        <v>268.52166670403057</v>
      </c>
      <c r="O17" s="53">
        <v>0</v>
      </c>
    </row>
    <row r="18" spans="1:15" x14ac:dyDescent="0.25">
      <c r="A18" s="28" t="s">
        <v>21</v>
      </c>
      <c r="B18" s="9">
        <f>B17*B14</f>
        <v>1.6800000000000002</v>
      </c>
      <c r="C18" s="9">
        <f>C17*C14</f>
        <v>31.418181818181822</v>
      </c>
      <c r="D18" s="9">
        <f t="shared" ref="D18:E18" si="5">D17*D14</f>
        <v>1.6800000000000002</v>
      </c>
      <c r="E18" s="29">
        <f t="shared" si="5"/>
        <v>2.9600000000000004</v>
      </c>
      <c r="H18" s="54">
        <f>H17+0.0001</f>
        <v>339.65612715573405</v>
      </c>
      <c r="I18" s="53">
        <f t="shared" si="1"/>
        <v>116.45349502482311</v>
      </c>
      <c r="K18" s="54">
        <f>K17+0.0001</f>
        <v>310.06221310963804</v>
      </c>
      <c r="L18" s="53">
        <f t="shared" si="2"/>
        <v>127.5684122508225</v>
      </c>
      <c r="N18" s="54">
        <f>N17+0.0001</f>
        <v>268.52176670403054</v>
      </c>
      <c r="O18" s="53">
        <f t="shared" si="3"/>
        <v>147.30331430621106</v>
      </c>
    </row>
    <row r="19" spans="1:15" x14ac:dyDescent="0.25">
      <c r="A19" s="32" t="s">
        <v>22</v>
      </c>
      <c r="B19" s="11">
        <f>B18+B13</f>
        <v>4.2510227272727272</v>
      </c>
      <c r="C19" s="11">
        <f>C18+C13</f>
        <v>41.702272727272728</v>
      </c>
      <c r="D19" s="11">
        <f t="shared" ref="D19:E19" si="6">D18+D13</f>
        <v>4.2510227272727272</v>
      </c>
      <c r="E19" s="33">
        <f t="shared" si="6"/>
        <v>5.5310227272727275</v>
      </c>
      <c r="H19" s="48">
        <v>360</v>
      </c>
      <c r="I19" s="53">
        <f>I18-(H19-H17)*(I4/H5)</f>
        <v>67.627960198584901</v>
      </c>
      <c r="K19" s="54">
        <f>K5*8</f>
        <v>354.35670069672921</v>
      </c>
      <c r="L19" s="53">
        <v>0</v>
      </c>
      <c r="N19" s="54">
        <f>N5*8</f>
        <v>306.88190480460634</v>
      </c>
      <c r="O19" s="53">
        <v>0</v>
      </c>
    </row>
    <row r="20" spans="1:15" x14ac:dyDescent="0.25">
      <c r="A20" s="59" t="s">
        <v>25</v>
      </c>
      <c r="B20" s="60"/>
      <c r="C20" s="60"/>
      <c r="D20" s="60"/>
      <c r="E20" s="61"/>
      <c r="K20" s="54">
        <f>K19+0.0001</f>
        <v>354.35680069672918</v>
      </c>
      <c r="L20" s="53">
        <f t="shared" si="2"/>
        <v>127.5684122508225</v>
      </c>
      <c r="N20" s="54">
        <f>N19+0.0001</f>
        <v>306.88200480460631</v>
      </c>
      <c r="O20" s="53">
        <f t="shared" ref="O20" si="7">O16</f>
        <v>147.30331430621106</v>
      </c>
    </row>
    <row r="21" spans="1:15" x14ac:dyDescent="0.25">
      <c r="A21" s="26" t="s">
        <v>23</v>
      </c>
      <c r="B21" s="34">
        <f>0.1</f>
        <v>0.1</v>
      </c>
      <c r="C21" s="34">
        <f>0.1</f>
        <v>0.1</v>
      </c>
      <c r="D21" s="34">
        <f t="shared" ref="D21:E21" si="8">0.1</f>
        <v>0.1</v>
      </c>
      <c r="E21" s="35">
        <f t="shared" si="8"/>
        <v>0.1</v>
      </c>
      <c r="K21" s="48">
        <v>360</v>
      </c>
      <c r="L21" s="53">
        <f>L20-(K21-K19)*(L4/K5)</f>
        <v>111.31571025740261</v>
      </c>
      <c r="N21" s="54">
        <f>N5*9</f>
        <v>345.24214290518211</v>
      </c>
      <c r="O21" s="53">
        <v>0</v>
      </c>
    </row>
    <row r="22" spans="1:15" x14ac:dyDescent="0.25">
      <c r="A22" s="36" t="s">
        <v>13</v>
      </c>
      <c r="B22" s="6">
        <f>B6/B3</f>
        <v>5.416666666666667</v>
      </c>
      <c r="C22" s="6">
        <f>900/222</f>
        <v>4.0540540540540544</v>
      </c>
      <c r="D22" s="18">
        <f>D6/D3</f>
        <v>8.8000000000000007</v>
      </c>
      <c r="E22" s="37">
        <f>E6/E3</f>
        <v>120</v>
      </c>
      <c r="N22" s="54">
        <f>N21+0.0001</f>
        <v>345.24224290518208</v>
      </c>
      <c r="O22" s="53">
        <f t="shared" ref="O22" si="9">O18</f>
        <v>147.30331430621106</v>
      </c>
    </row>
    <row r="23" spans="1:15" x14ac:dyDescent="0.25">
      <c r="A23" s="32" t="s">
        <v>26</v>
      </c>
      <c r="B23" s="44">
        <f>B21*B22</f>
        <v>0.54166666666666674</v>
      </c>
      <c r="C23" s="44">
        <f>0.1*C22</f>
        <v>0.40540540540540548</v>
      </c>
      <c r="D23" s="44">
        <f>D21*D22</f>
        <v>0.88000000000000012</v>
      </c>
      <c r="E23" s="45">
        <f>E21*E22</f>
        <v>12</v>
      </c>
      <c r="N23" s="48">
        <v>360</v>
      </c>
      <c r="O23" s="53">
        <f>O22-(N23-N21)*(O4/N5)</f>
        <v>90.633143062110349</v>
      </c>
    </row>
    <row r="24" spans="1:15" x14ac:dyDescent="0.25">
      <c r="A24" s="59" t="s">
        <v>27</v>
      </c>
      <c r="B24" s="60"/>
      <c r="C24" s="60"/>
      <c r="D24" s="60"/>
      <c r="E24" s="61"/>
    </row>
    <row r="25" spans="1:15" ht="30" x14ac:dyDescent="0.25">
      <c r="A25" s="38" t="s">
        <v>29</v>
      </c>
      <c r="B25" s="40" t="str">
        <f>TEXT(SQRT((2*B$19*B8)/B$23),"##,00")&amp;" Kg"</f>
        <v>116,45 Kg</v>
      </c>
      <c r="C25" s="40" t="str">
        <f>TEXT(SQRT((2*C$19*B8)/C$23),"##,00")&amp;" Kg"</f>
        <v>421,61 Kg</v>
      </c>
      <c r="D25" s="40" t="str">
        <f t="shared" ref="D25:E25" si="10">TEXT(SQRT((2*D$19*D8)/D$23),"##,00")&amp;" Kg"</f>
        <v>35,24 Kg</v>
      </c>
      <c r="E25" s="41" t="str">
        <f t="shared" si="10"/>
        <v>2,35 Kg</v>
      </c>
      <c r="H25" s="55" t="s">
        <v>7</v>
      </c>
      <c r="I25" s="49" t="s">
        <v>29</v>
      </c>
      <c r="K25" s="55" t="s">
        <v>7</v>
      </c>
      <c r="L25" s="49" t="s">
        <v>30</v>
      </c>
      <c r="N25" s="55" t="s">
        <v>7</v>
      </c>
      <c r="O25" s="49" t="s">
        <v>31</v>
      </c>
    </row>
    <row r="26" spans="1:15" x14ac:dyDescent="0.25">
      <c r="A26" s="38" t="s">
        <v>30</v>
      </c>
      <c r="B26" s="40" t="str">
        <f t="shared" ref="B26:E27" si="11">TEXT(SQRT((2*B$19*B9)/B$23),"##,00")&amp;" Kg"</f>
        <v>127,57 Kg</v>
      </c>
      <c r="C26" s="40" t="str">
        <f>TEXT(SQRT((2*C$19*B9)/C$23),"##,00")&amp;" Kg"</f>
        <v>461,85 Kg</v>
      </c>
      <c r="D26" s="40" t="str">
        <f t="shared" si="11"/>
        <v>38,61 Kg</v>
      </c>
      <c r="E26" s="41" t="str">
        <f t="shared" si="11"/>
        <v>2,58 Kg</v>
      </c>
      <c r="H26" s="48" t="s">
        <v>3</v>
      </c>
      <c r="I26" s="48" t="s">
        <v>4</v>
      </c>
      <c r="J26" s="51"/>
      <c r="K26" s="48" t="s">
        <v>3</v>
      </c>
      <c r="L26" s="48" t="s">
        <v>4</v>
      </c>
      <c r="M26" s="51"/>
      <c r="N26" s="48" t="s">
        <v>3</v>
      </c>
      <c r="O26" s="48" t="s">
        <v>4</v>
      </c>
    </row>
    <row r="27" spans="1:15" x14ac:dyDescent="0.25">
      <c r="A27" s="38" t="s">
        <v>31</v>
      </c>
      <c r="B27" s="40" t="str">
        <f t="shared" si="11"/>
        <v>147,30 Kg</v>
      </c>
      <c r="C27" s="40" t="str">
        <f>TEXT(SQRT((2*C$19*B10)/C$23),"##,00")&amp;" Kg"</f>
        <v>533,29 Kg</v>
      </c>
      <c r="D27" s="40" t="str">
        <f t="shared" si="11"/>
        <v>44,58 Kg</v>
      </c>
      <c r="E27" s="41" t="str">
        <f t="shared" si="11"/>
        <v>2,97 Kg</v>
      </c>
      <c r="H27" s="48">
        <v>0</v>
      </c>
      <c r="I27" s="52">
        <f>SQRT((2*D$19*D9)/D$23)</f>
        <v>38.608527023363806</v>
      </c>
      <c r="K27" s="48">
        <v>0</v>
      </c>
      <c r="L27" s="52">
        <f>SQRT((2*D$19*D8)/D$23)</f>
        <v>35.2446019379069</v>
      </c>
      <c r="N27" s="48">
        <v>0</v>
      </c>
      <c r="O27" s="52">
        <f>SQRT((2*D$19*D10)/D$23)</f>
        <v>44.581286939908075</v>
      </c>
    </row>
    <row r="28" spans="1:15" x14ac:dyDescent="0.25">
      <c r="A28" s="59" t="s">
        <v>32</v>
      </c>
      <c r="B28" s="60"/>
      <c r="C28" s="60"/>
      <c r="D28" s="60"/>
      <c r="E28" s="61"/>
      <c r="H28" s="52">
        <f>SQRT((2*D$19*D9)/D$23)*D$5/D$3</f>
        <v>108.10387566541866</v>
      </c>
      <c r="I28" s="53">
        <v>0</v>
      </c>
      <c r="K28" s="52">
        <v>90.086563054515551</v>
      </c>
      <c r="L28" s="53">
        <v>0</v>
      </c>
      <c r="N28" s="52">
        <v>78.017252144839134</v>
      </c>
      <c r="O28" s="53">
        <v>0</v>
      </c>
    </row>
    <row r="29" spans="1:15" x14ac:dyDescent="0.25">
      <c r="A29" s="38" t="s">
        <v>29</v>
      </c>
      <c r="B29" s="40">
        <f>SQRT((2*B$19*B8)/B$23)*B$5/B$3</f>
        <v>48.522289593676298</v>
      </c>
      <c r="C29" s="40">
        <f>SQRT((2*C$19*B8)/C$23)*B$5/B$3</f>
        <v>175.66923981785146</v>
      </c>
      <c r="D29" s="40">
        <f t="shared" ref="D29:E29" si="12">SQRT((2*D$19*D8)/D$23)*D$5/D$3</f>
        <v>98.684885426139317</v>
      </c>
      <c r="E29" s="41">
        <f t="shared" si="12"/>
        <v>141.10875882871983</v>
      </c>
      <c r="H29" s="54">
        <f>H28+0.0001</f>
        <v>108.10397566541866</v>
      </c>
      <c r="I29" s="53">
        <f>I27</f>
        <v>38.608527023363806</v>
      </c>
      <c r="K29" s="54">
        <f>K28+0.0001</f>
        <v>90.086663054515554</v>
      </c>
      <c r="L29" s="53">
        <f>L27</f>
        <v>35.2446019379069</v>
      </c>
      <c r="N29" s="54">
        <f>N28+0.0001</f>
        <v>78.017352144839137</v>
      </c>
      <c r="O29" s="53">
        <f>O27</f>
        <v>44.581286939908075</v>
      </c>
    </row>
    <row r="30" spans="1:15" x14ac:dyDescent="0.25">
      <c r="A30" s="38" t="s">
        <v>30</v>
      </c>
      <c r="B30" s="40">
        <f>SQRT((2*B$19*B9)/B$23)*B$5/(B$3*(1.2))</f>
        <v>44.294587587091151</v>
      </c>
      <c r="C30" s="40">
        <f>SQRT((2*C$19*B9)/C$23)*B$5/(B$3*(1.2))</f>
        <v>160.36334218003662</v>
      </c>
      <c r="D30" s="40">
        <f>SQRT((2*D$19*D9)/D$23)*D$5/(D$3*(1.2))</f>
        <v>90.086563054515551</v>
      </c>
      <c r="E30" s="41">
        <f>SQRT((2*E$19*E9)/E$23)*E$5/(E$3*(1.2))</f>
        <v>128.81408378674354</v>
      </c>
      <c r="H30" s="54">
        <f>2*H28</f>
        <v>216.20775133083731</v>
      </c>
      <c r="I30" s="53">
        <v>0</v>
      </c>
      <c r="K30" s="54">
        <f>2*K28</f>
        <v>180.1731261090311</v>
      </c>
      <c r="L30" s="53">
        <v>0</v>
      </c>
      <c r="N30" s="54">
        <f>2*N28</f>
        <v>156.03450428967827</v>
      </c>
      <c r="O30" s="53">
        <v>0</v>
      </c>
    </row>
    <row r="31" spans="1:15" ht="15.75" thickBot="1" x14ac:dyDescent="0.3">
      <c r="A31" s="39" t="s">
        <v>31</v>
      </c>
      <c r="B31" s="42">
        <f>SQRT((2*B$19*B10)/B$23)*B$5/(B$3*(1.6))</f>
        <v>38.360238100575792</v>
      </c>
      <c r="C31" s="42">
        <f>SQRT((2*C$19*B10)/C$23)*B$5/(B$3*(1.6))</f>
        <v>138.87872816368829</v>
      </c>
      <c r="D31" s="42">
        <f>SQRT((2*D$19*D10)/D$23)*D$5/(D$3*(1.6))</f>
        <v>78.017252144839134</v>
      </c>
      <c r="E31" s="43">
        <f>SQRT((2*E$19*E10)/E$23)*E$5/(E$3*(1.6))</f>
        <v>111.55626892453708</v>
      </c>
      <c r="H31" s="54">
        <f>H30+0.0001</f>
        <v>216.20785133083731</v>
      </c>
      <c r="I31" s="53">
        <f>I27</f>
        <v>38.608527023363806</v>
      </c>
      <c r="K31" s="54">
        <f>K30+0.0001</f>
        <v>180.17322610903111</v>
      </c>
      <c r="L31" s="53">
        <f>L27</f>
        <v>35.2446019379069</v>
      </c>
      <c r="N31" s="54">
        <f>N30+0.0001</f>
        <v>156.03460428967827</v>
      </c>
      <c r="O31" s="53">
        <f>O27</f>
        <v>44.581286939908075</v>
      </c>
    </row>
    <row r="32" spans="1:15" x14ac:dyDescent="0.25">
      <c r="D32" s="47"/>
      <c r="E32" s="47"/>
      <c r="H32" s="54">
        <f>3*H28</f>
        <v>324.311626996256</v>
      </c>
      <c r="I32" s="53">
        <v>0</v>
      </c>
      <c r="K32" s="54">
        <f>3*K28</f>
        <v>270.25968916354668</v>
      </c>
      <c r="L32" s="53">
        <v>0</v>
      </c>
      <c r="N32" s="54">
        <f>3*N28</f>
        <v>234.05175643451742</v>
      </c>
      <c r="O32" s="53">
        <v>0</v>
      </c>
    </row>
    <row r="33" spans="4:15" x14ac:dyDescent="0.25">
      <c r="D33" s="47"/>
      <c r="E33" s="47"/>
      <c r="H33" s="54">
        <f>H32+0.0001</f>
        <v>324.31172699625597</v>
      </c>
      <c r="I33" s="53">
        <f>I29</f>
        <v>38.608527023363806</v>
      </c>
      <c r="K33" s="54">
        <f>K32+0.0001</f>
        <v>270.25978916354666</v>
      </c>
      <c r="L33" s="53">
        <f>L29</f>
        <v>35.2446019379069</v>
      </c>
      <c r="N33" s="54">
        <f>N32+0.0001</f>
        <v>234.05185643451742</v>
      </c>
      <c r="O33" s="53">
        <f>O29</f>
        <v>44.581286939908075</v>
      </c>
    </row>
    <row r="34" spans="4:15" x14ac:dyDescent="0.25">
      <c r="D34" s="47"/>
      <c r="E34" s="47"/>
      <c r="H34" s="48">
        <v>360</v>
      </c>
      <c r="I34" s="53">
        <f>I33-(H34-H33)*(I27/H28)</f>
        <v>25.862715236312368</v>
      </c>
      <c r="K34" s="48">
        <v>360</v>
      </c>
      <c r="L34" s="53">
        <f>L33-(K34-K33)*(L27/K28)</f>
        <v>0.13550351619615952</v>
      </c>
      <c r="N34" s="54">
        <f>4*N28</f>
        <v>312.06900857935653</v>
      </c>
      <c r="O34" s="53">
        <v>0</v>
      </c>
    </row>
    <row r="35" spans="4:15" x14ac:dyDescent="0.25">
      <c r="D35" s="47"/>
      <c r="E35" s="47"/>
      <c r="K35" s="54"/>
      <c r="L35" s="53"/>
      <c r="N35" s="54">
        <f>N34+0.0001</f>
        <v>312.06910857935651</v>
      </c>
      <c r="O35" s="53">
        <f>O31</f>
        <v>44.581286939908075</v>
      </c>
    </row>
    <row r="36" spans="4:15" x14ac:dyDescent="0.25">
      <c r="D36" s="47"/>
      <c r="E36" s="47"/>
      <c r="K36" s="54"/>
      <c r="L36" s="53"/>
      <c r="N36" s="48">
        <v>360</v>
      </c>
      <c r="O36" s="53">
        <f>O35-(N36-N35)*(O27/N28)</f>
        <v>17.192206128111795</v>
      </c>
    </row>
    <row r="37" spans="4:15" x14ac:dyDescent="0.25">
      <c r="D37" s="47"/>
      <c r="E37" s="47"/>
      <c r="K37" s="54"/>
      <c r="L37" s="53"/>
      <c r="N37" s="54"/>
      <c r="O37" s="53"/>
    </row>
    <row r="38" spans="4:15" x14ac:dyDescent="0.25">
      <c r="D38" s="47"/>
      <c r="E38" s="47"/>
      <c r="K38" s="54"/>
      <c r="L38" s="53"/>
      <c r="N38" s="54"/>
      <c r="O38" s="53"/>
    </row>
    <row r="39" spans="4:15" x14ac:dyDescent="0.25">
      <c r="D39" s="47"/>
      <c r="E39" s="47"/>
      <c r="K39" s="54"/>
      <c r="L39" s="53"/>
      <c r="N39" s="54"/>
      <c r="O39" s="53"/>
    </row>
    <row r="40" spans="4:15" x14ac:dyDescent="0.25">
      <c r="D40" s="47"/>
      <c r="E40" s="47"/>
      <c r="K40" s="54"/>
      <c r="L40" s="53"/>
      <c r="N40" s="54"/>
      <c r="O40" s="53"/>
    </row>
    <row r="41" spans="4:15" x14ac:dyDescent="0.25">
      <c r="D41" s="46"/>
      <c r="E41" s="46"/>
      <c r="K41" s="54"/>
      <c r="L41" s="53"/>
    </row>
    <row r="42" spans="4:15" x14ac:dyDescent="0.25">
      <c r="H42" s="56" t="s">
        <v>8</v>
      </c>
      <c r="I42" s="49" t="s">
        <v>29</v>
      </c>
      <c r="J42" s="51"/>
      <c r="K42" s="56" t="s">
        <v>8</v>
      </c>
      <c r="L42" s="49" t="s">
        <v>30</v>
      </c>
      <c r="M42" s="51"/>
      <c r="N42" s="56" t="s">
        <v>8</v>
      </c>
      <c r="O42" s="49" t="s">
        <v>31</v>
      </c>
    </row>
    <row r="43" spans="4:15" x14ac:dyDescent="0.25">
      <c r="H43" s="48" t="s">
        <v>3</v>
      </c>
      <c r="I43" s="48" t="s">
        <v>4</v>
      </c>
      <c r="K43" s="48" t="s">
        <v>3</v>
      </c>
      <c r="L43" s="48" t="s">
        <v>4</v>
      </c>
      <c r="N43" s="48" t="s">
        <v>3</v>
      </c>
      <c r="O43" s="48" t="s">
        <v>4</v>
      </c>
    </row>
    <row r="44" spans="4:15" x14ac:dyDescent="0.25">
      <c r="H44" s="48">
        <v>0</v>
      </c>
      <c r="I44" s="52">
        <f>SQRT((2*E$19*E8)/E$23)</f>
        <v>2.3518126471453304</v>
      </c>
      <c r="K44" s="48">
        <v>0</v>
      </c>
      <c r="L44" s="52">
        <f>SQRT((2*E$19*E9)/E$23)</f>
        <v>2.5762816757348705</v>
      </c>
      <c r="N44" s="48">
        <v>0</v>
      </c>
      <c r="O44" s="52">
        <f>SQRT((2*E$19*E10)/E$23)</f>
        <v>2.9748338379876555</v>
      </c>
    </row>
    <row r="45" spans="4:15" x14ac:dyDescent="0.25">
      <c r="H45" s="52">
        <f>SQRT((2*E$19*E8)/E$23)*E$5/E$3</f>
        <v>141.10875882871983</v>
      </c>
      <c r="I45" s="53">
        <v>0</v>
      </c>
      <c r="K45" s="52">
        <v>128.81408378674354</v>
      </c>
      <c r="L45" s="53">
        <v>0</v>
      </c>
      <c r="N45" s="52">
        <v>111.55626892453708</v>
      </c>
      <c r="O45" s="53">
        <v>0</v>
      </c>
    </row>
    <row r="46" spans="4:15" x14ac:dyDescent="0.25">
      <c r="H46" s="54">
        <f>H45+0.0001</f>
        <v>141.10885882871983</v>
      </c>
      <c r="I46" s="53">
        <f>I44</f>
        <v>2.3518126471453304</v>
      </c>
      <c r="K46" s="54">
        <f>K45+0.0001</f>
        <v>128.81418378674354</v>
      </c>
      <c r="L46" s="53">
        <f>L44</f>
        <v>2.5762816757348705</v>
      </c>
      <c r="N46" s="54">
        <f>N45+0.0001</f>
        <v>111.55636892453708</v>
      </c>
      <c r="O46" s="53">
        <f>O44</f>
        <v>2.9748338379876555</v>
      </c>
    </row>
    <row r="47" spans="4:15" x14ac:dyDescent="0.25">
      <c r="H47" s="54">
        <f>2*H45</f>
        <v>282.21751765743966</v>
      </c>
      <c r="I47" s="53">
        <v>0</v>
      </c>
      <c r="K47" s="54">
        <f>2*K45</f>
        <v>257.62816757348708</v>
      </c>
      <c r="L47" s="53">
        <v>0</v>
      </c>
      <c r="N47" s="54">
        <f>2*N45</f>
        <v>223.11253784907416</v>
      </c>
      <c r="O47" s="53">
        <v>0</v>
      </c>
    </row>
    <row r="48" spans="4:15" x14ac:dyDescent="0.25">
      <c r="H48" s="54">
        <f>H47+0.0001</f>
        <v>282.21761765743963</v>
      </c>
      <c r="I48" s="53">
        <f>I44</f>
        <v>2.3518126471453304</v>
      </c>
      <c r="K48" s="54">
        <f>K47+0.0001</f>
        <v>257.62826757348705</v>
      </c>
      <c r="L48" s="53">
        <f>L44</f>
        <v>2.5762816757348705</v>
      </c>
      <c r="N48" s="54">
        <f>N47+0.0001</f>
        <v>223.11263784907416</v>
      </c>
      <c r="O48" s="53">
        <f>O44</f>
        <v>2.9748338379876555</v>
      </c>
    </row>
    <row r="49" spans="8:15" x14ac:dyDescent="0.25">
      <c r="H49" s="48">
        <v>360</v>
      </c>
      <c r="I49" s="53">
        <f>I48-(H49-H48)*(I44/H45)</f>
        <v>1.0554396081026576</v>
      </c>
      <c r="K49" s="48">
        <v>360</v>
      </c>
      <c r="L49" s="53">
        <f>L48-(K49-K48)*(L44/K45)</f>
        <v>0.52884702720461174</v>
      </c>
      <c r="N49" s="54">
        <f>3*N45</f>
        <v>334.66880677361121</v>
      </c>
      <c r="O49" s="53">
        <v>0</v>
      </c>
    </row>
    <row r="50" spans="8:15" x14ac:dyDescent="0.25">
      <c r="K50" s="54"/>
      <c r="L50" s="53"/>
      <c r="N50" s="54">
        <f>N49+0.0001</f>
        <v>334.66890677361118</v>
      </c>
      <c r="O50" s="53">
        <f>O46</f>
        <v>2.9748338379876555</v>
      </c>
    </row>
    <row r="51" spans="8:15" x14ac:dyDescent="0.25">
      <c r="N51" s="48">
        <v>360</v>
      </c>
      <c r="O51" s="53">
        <f>O50-(N51-N50)*(O44/N45)</f>
        <v>2.2993380186172869</v>
      </c>
    </row>
    <row r="52" spans="8:15" x14ac:dyDescent="0.25">
      <c r="H52" s="50" t="s">
        <v>33</v>
      </c>
      <c r="I52" s="49" t="s">
        <v>29</v>
      </c>
      <c r="J52" s="51"/>
      <c r="K52" s="49" t="s">
        <v>30</v>
      </c>
      <c r="L52" s="50" t="s">
        <v>33</v>
      </c>
      <c r="M52" s="51"/>
      <c r="N52" s="49" t="s">
        <v>31</v>
      </c>
      <c r="O52" s="50" t="s">
        <v>33</v>
      </c>
    </row>
    <row r="53" spans="8:15" x14ac:dyDescent="0.25">
      <c r="H53" s="48" t="s">
        <v>3</v>
      </c>
      <c r="I53" s="48" t="s">
        <v>4</v>
      </c>
      <c r="K53" s="48" t="s">
        <v>3</v>
      </c>
      <c r="L53" s="48" t="s">
        <v>4</v>
      </c>
      <c r="N53" s="48" t="s">
        <v>3</v>
      </c>
      <c r="O53" s="48" t="s">
        <v>4</v>
      </c>
    </row>
    <row r="54" spans="8:15" x14ac:dyDescent="0.25">
      <c r="H54" s="48">
        <v>0</v>
      </c>
      <c r="I54" s="52">
        <f>SQRT((2*$C$19*$B8)/$C$23)</f>
        <v>421.60617556284348</v>
      </c>
      <c r="K54" s="48">
        <v>0</v>
      </c>
      <c r="L54" s="52">
        <f>SQRT((2*$C$19*$B9)/$C$23)</f>
        <v>461.84642547850541</v>
      </c>
      <c r="N54" s="48">
        <v>0</v>
      </c>
      <c r="O54" s="52">
        <f>SQRT((2*$C$19*$B10)/$C$23)</f>
        <v>533.2943161485631</v>
      </c>
    </row>
    <row r="55" spans="8:15" x14ac:dyDescent="0.25">
      <c r="H55" s="52">
        <f>SQRT((2*$C$19*$B8)/$C$23)*$B$5/$B$3</f>
        <v>175.66923981785146</v>
      </c>
      <c r="I55" s="53">
        <v>0</v>
      </c>
      <c r="K55" s="52">
        <v>160.36334218003662</v>
      </c>
      <c r="L55" s="53">
        <v>0</v>
      </c>
      <c r="N55" s="52">
        <v>138.87872816368829</v>
      </c>
      <c r="O55" s="53">
        <v>0</v>
      </c>
    </row>
    <row r="56" spans="8:15" x14ac:dyDescent="0.25">
      <c r="H56" s="54">
        <f>H55+0.0001</f>
        <v>175.66933981785147</v>
      </c>
      <c r="I56" s="53">
        <f>I54</f>
        <v>421.60617556284348</v>
      </c>
      <c r="K56" s="54">
        <f>K55+0.0001</f>
        <v>160.36344218003663</v>
      </c>
      <c r="L56" s="53">
        <f>L54</f>
        <v>461.84642547850541</v>
      </c>
      <c r="N56" s="54">
        <f>N55+0.0001</f>
        <v>138.8788281636883</v>
      </c>
      <c r="O56" s="53">
        <f>O54</f>
        <v>533.2943161485631</v>
      </c>
    </row>
    <row r="57" spans="8:15" x14ac:dyDescent="0.25">
      <c r="H57" s="54">
        <f>2*H55</f>
        <v>351.33847963570292</v>
      </c>
      <c r="I57" s="53">
        <v>0</v>
      </c>
      <c r="K57" s="54">
        <f>2*K55</f>
        <v>320.72668436007325</v>
      </c>
      <c r="L57" s="53">
        <v>0</v>
      </c>
      <c r="N57" s="54">
        <f>2*N55</f>
        <v>277.75745632737659</v>
      </c>
      <c r="O57" s="53">
        <v>0</v>
      </c>
    </row>
    <row r="58" spans="8:15" x14ac:dyDescent="0.25">
      <c r="H58" s="54">
        <f>H57+0.0001</f>
        <v>351.3385796357029</v>
      </c>
      <c r="I58" s="53">
        <f>I54</f>
        <v>421.60617556284348</v>
      </c>
      <c r="K58" s="54">
        <f>K57+0.0001</f>
        <v>320.72678436007322</v>
      </c>
      <c r="L58" s="53">
        <f>L54</f>
        <v>461.84642547850541</v>
      </c>
      <c r="N58" s="54">
        <f>N57+0.0001</f>
        <v>277.75755632737656</v>
      </c>
      <c r="O58" s="53">
        <f>O54</f>
        <v>533.2943161485631</v>
      </c>
    </row>
    <row r="59" spans="8:15" x14ac:dyDescent="0.25">
      <c r="H59" s="48">
        <v>360</v>
      </c>
      <c r="I59" s="53">
        <f>I58-(H59-H58)*(I54/H55)</f>
        <v>400.81876668853045</v>
      </c>
      <c r="K59" s="48">
        <v>360</v>
      </c>
      <c r="L59" s="53">
        <f>L58-(K59-K58)*(L54/K55)</f>
        <v>348.73956443551629</v>
      </c>
      <c r="N59" s="48">
        <v>360</v>
      </c>
      <c r="O59" s="53">
        <f>O58-(N59-N58)*(O54/N55)</f>
        <v>217.48333244568909</v>
      </c>
    </row>
  </sheetData>
  <mergeCells count="6">
    <mergeCell ref="A28:E28"/>
    <mergeCell ref="A1:E1"/>
    <mergeCell ref="A11:E11"/>
    <mergeCell ref="A20:E20"/>
    <mergeCell ref="A24:E24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9:C31 C25:C27 C22:C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do LEC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</dc:creator>
  <cp:lastModifiedBy>Bueno</cp:lastModifiedBy>
  <dcterms:created xsi:type="dcterms:W3CDTF">2015-06-25T20:21:00Z</dcterms:created>
  <dcterms:modified xsi:type="dcterms:W3CDTF">2015-06-26T22:11:24Z</dcterms:modified>
</cp:coreProperties>
</file>