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25" windowWidth="7725" windowHeight="4395" activeTab="0"/>
  </bookViews>
  <sheets>
    <sheet name="Original" sheetId="1" r:id="rId1"/>
    <sheet name="Mombaça" sheetId="2" r:id="rId2"/>
    <sheet name="Plan Máquinas" sheetId="3" r:id="rId3"/>
    <sheet name="Comparação" sheetId="4" r:id="rId4"/>
  </sheets>
  <externalReferences>
    <externalReference r:id="rId7"/>
  </externalReferences>
  <definedNames>
    <definedName name="_xlnm.Print_Area" localSheetId="2">'Plan Máquinas'!$A$1:$U$50</definedName>
  </definedNames>
  <calcPr fullCalcOnLoad="1"/>
</workbook>
</file>

<file path=xl/comments1.xml><?xml version="1.0" encoding="utf-8"?>
<comments xmlns="http://schemas.openxmlformats.org/spreadsheetml/2006/main">
  <authors>
    <author>LAPONCHI</author>
  </authors>
  <commentList>
    <comment ref="E81" authorId="0">
      <text>
        <r>
          <rPr>
            <b/>
            <sz val="8"/>
            <rFont val="Tahoma"/>
            <family val="2"/>
          </rPr>
          <t>mantido os índices da silagem de milho</t>
        </r>
      </text>
    </comment>
  </commentList>
</comments>
</file>

<file path=xl/comments2.xml><?xml version="1.0" encoding="utf-8"?>
<comments xmlns="http://schemas.openxmlformats.org/spreadsheetml/2006/main">
  <authors>
    <author>LAPONCHI</author>
  </authors>
  <commentList>
    <comment ref="E92" authorId="0">
      <text>
        <r>
          <rPr>
            <b/>
            <sz val="8"/>
            <rFont val="Tahoma"/>
            <family val="2"/>
          </rPr>
          <t>mantido os índices da silagem de milho</t>
        </r>
      </text>
    </comment>
  </commentList>
</comments>
</file>

<file path=xl/sharedStrings.xml><?xml version="1.0" encoding="utf-8"?>
<sst xmlns="http://schemas.openxmlformats.org/spreadsheetml/2006/main" count="471" uniqueCount="235">
  <si>
    <t xml:space="preserve">Pulverizador Agr. Condor M-12  600l / Jacto </t>
  </si>
  <si>
    <t>Grade aradora (24 discos 26") Baldan</t>
  </si>
  <si>
    <t>Largura de trab (m)</t>
  </si>
  <si>
    <t>CcE (ha/h)</t>
  </si>
  <si>
    <t>CcO(ha/h)</t>
  </si>
  <si>
    <t>Veloc (Km/h)</t>
  </si>
  <si>
    <t>Vicon PS 603</t>
  </si>
  <si>
    <t>Forrageira Siltomac CF775</t>
  </si>
  <si>
    <t>Forrageira Siltomac CF750</t>
  </si>
  <si>
    <t>Forrageira Casale CFC 2000</t>
  </si>
  <si>
    <t>Forrageira Casale CFC 1300</t>
  </si>
  <si>
    <t>Efic  %</t>
  </si>
  <si>
    <t>Deprec</t>
  </si>
  <si>
    <t>Juros</t>
  </si>
  <si>
    <t>Aloj + Seg+ tx</t>
  </si>
  <si>
    <t>Ccomb</t>
  </si>
  <si>
    <t>C rep</t>
  </si>
  <si>
    <t>Custo Variável</t>
  </si>
  <si>
    <t>Preço (R$)</t>
  </si>
  <si>
    <t>Grade Niveladora (28 discos 18") Tatu-Marchasan</t>
  </si>
  <si>
    <t>Casale CFC 2000</t>
  </si>
  <si>
    <t>Casale CFC 1300</t>
  </si>
  <si>
    <t xml:space="preserve">Pulv. Agr. Condor Jacto </t>
  </si>
  <si>
    <t xml:space="preserve">Distrib. de Calcário  Tatu </t>
  </si>
  <si>
    <t>OBS:Para implementos juros de 8,75 a 12,75% aa,Depr com valor final de 10% do valor inicial, 1% do VI para o alojamento e 60% do VI para o reparo</t>
  </si>
  <si>
    <t>R$/ha/ano</t>
  </si>
  <si>
    <t>Simulação máq</t>
  </si>
  <si>
    <t>Original (professor)</t>
  </si>
  <si>
    <t>Planílha de custo de Máquinas Agrícola - Diego e Michele - 14/10/2004</t>
  </si>
  <si>
    <t>Redução</t>
  </si>
  <si>
    <t>Arado Fixo (3 discos 26") Tatu-Marchasan</t>
  </si>
  <si>
    <t>Distribuidor de Calcário  Tatu (cap 2500Kg)</t>
  </si>
  <si>
    <t>Vida útil (horas)</t>
  </si>
  <si>
    <t>Custo Fixo (R$/h)</t>
  </si>
  <si>
    <t>Custo Hor Impl (R$/h)</t>
  </si>
  <si>
    <t>M.d.O</t>
  </si>
  <si>
    <t>MF275 4x2  (2001)</t>
  </si>
  <si>
    <t>660/4 4x4 (2000)</t>
  </si>
  <si>
    <t>Custo Hor Trator (R$/h)</t>
  </si>
  <si>
    <t>Trator + Implemento</t>
  </si>
  <si>
    <t>CUSTO DE Manutenção - MOMBAÇA (R$/ha)</t>
  </si>
  <si>
    <t>t/ha</t>
  </si>
  <si>
    <t>INSUMOS</t>
  </si>
  <si>
    <t>UNIDADE</t>
  </si>
  <si>
    <t>QUAN-</t>
  </si>
  <si>
    <t>PREÇO</t>
  </si>
  <si>
    <t>TIDADE</t>
  </si>
  <si>
    <t>TOTAL</t>
  </si>
  <si>
    <t>t</t>
  </si>
  <si>
    <t>kg</t>
  </si>
  <si>
    <t>ud</t>
  </si>
  <si>
    <t>m2</t>
  </si>
  <si>
    <t>PREPARO DO SOLO</t>
  </si>
  <si>
    <t>h/ha</t>
  </si>
  <si>
    <t>- gradeação (grade niveladora - 2x)</t>
  </si>
  <si>
    <t>- transporte interno</t>
  </si>
  <si>
    <t>SUBTOTAL</t>
  </si>
  <si>
    <t>Custo de Produção:</t>
  </si>
  <si>
    <t>Objetivo:</t>
  </si>
  <si>
    <t>Silagem</t>
  </si>
  <si>
    <t>Época de Plantio:</t>
  </si>
  <si>
    <t xml:space="preserve">Data do Levantamento: </t>
  </si>
  <si>
    <t>Moeda:</t>
  </si>
  <si>
    <t>INFORMAÇÕES GERAIS</t>
  </si>
  <si>
    <t>ha</t>
  </si>
  <si>
    <t>INVESTIMENTOS</t>
  </si>
  <si>
    <t>- juros silo</t>
  </si>
  <si>
    <t>- depreciação silo</t>
  </si>
  <si>
    <t>- manutenção</t>
  </si>
  <si>
    <t>R$/ano</t>
  </si>
  <si>
    <t>Real</t>
  </si>
  <si>
    <t>Produção anual estimada (MS):</t>
  </si>
  <si>
    <t>Produção anual estimada  (MV):</t>
  </si>
  <si>
    <t>Perdas :</t>
  </si>
  <si>
    <t>Longeviadde:</t>
  </si>
  <si>
    <t>anos</t>
  </si>
  <si>
    <t>Número de cortes por ano:</t>
  </si>
  <si>
    <t>Área plantada (ha):</t>
  </si>
  <si>
    <t>MS</t>
  </si>
  <si>
    <t>Produção por corte (MV)</t>
  </si>
  <si>
    <t>ton/hectare</t>
  </si>
  <si>
    <t>PRODUÇÃO TOTAL  (MV DA FORRAGEM)</t>
  </si>
  <si>
    <t>t/ha/10 anos</t>
  </si>
  <si>
    <t>PRODUÇÃO TOTAL (MS DA FORRAGEM)</t>
  </si>
  <si>
    <t>PRODUÇÃO TOTAL ÚTIL (MV DA SILAGEM)</t>
  </si>
  <si>
    <t>PRODUÇÃO TOTAL ÚTIL (MS DA SILAGEM)</t>
  </si>
  <si>
    <t>superfosfato simples</t>
  </si>
  <si>
    <t>adubo pós-plantio (20-05-20)</t>
  </si>
  <si>
    <t>FTE BR 12</t>
  </si>
  <si>
    <t>calcário dolomítico</t>
  </si>
  <si>
    <t>cloreto de potássio</t>
  </si>
  <si>
    <t>análise de solo</t>
  </si>
  <si>
    <t>sementes</t>
  </si>
  <si>
    <t>L</t>
  </si>
  <si>
    <t>formicida</t>
  </si>
  <si>
    <t>- calagem</t>
  </si>
  <si>
    <t xml:space="preserve"> - aração</t>
  </si>
  <si>
    <t>horas/hectare</t>
  </si>
  <si>
    <t>SEMEADURA</t>
  </si>
  <si>
    <t>semeadura</t>
  </si>
  <si>
    <t>distrib. de superfosfato simples (vicon)</t>
  </si>
  <si>
    <t>distrib. de 20-05-20 (vicon)</t>
  </si>
  <si>
    <t>distrib. de KCl + FTE (vicon)</t>
  </si>
  <si>
    <t>aplic. Herbicida</t>
  </si>
  <si>
    <t>aplic. Formicida</t>
  </si>
  <si>
    <t>compactação</t>
  </si>
  <si>
    <t xml:space="preserve">CUSTO DE FORMAÇÃO </t>
  </si>
  <si>
    <t>R$/ha</t>
  </si>
  <si>
    <t>adubo 20-05-20</t>
  </si>
  <si>
    <t xml:space="preserve">adubo Superfosfato simples </t>
  </si>
  <si>
    <t xml:space="preserve">calcário </t>
  </si>
  <si>
    <t xml:space="preserve">sulfato de amonio </t>
  </si>
  <si>
    <t>TRATOS CULTURAIS</t>
  </si>
  <si>
    <t>aplicação - 20-05-20 (vicon)</t>
  </si>
  <si>
    <t>aplicação - superfosfato simples (vicon)</t>
  </si>
  <si>
    <t>aplicação - sulfato amonio (vicon)</t>
  </si>
  <si>
    <t>aplicação - calcário (vicon)</t>
  </si>
  <si>
    <t>COLHEITA E ENSILAGEM (R$/ha)</t>
  </si>
  <si>
    <t>ETAPAS</t>
  </si>
  <si>
    <t>QUANTIDADE</t>
  </si>
  <si>
    <t>colheita</t>
  </si>
  <si>
    <t>transporte</t>
  </si>
  <si>
    <t>fechamento do silos</t>
  </si>
  <si>
    <t>lona plástica 200 micra</t>
  </si>
  <si>
    <t>DESCARGA e DISTRIBUIÇÃO (R$/ha)</t>
  </si>
  <si>
    <t>retirada da silagem e carregamento</t>
  </si>
  <si>
    <t>transporte e distribuição</t>
  </si>
  <si>
    <t>distribuição (mão-de-obra)</t>
  </si>
  <si>
    <t>CUSTO Manutenção</t>
  </si>
  <si>
    <t>R$/ha/ nos 9 anos</t>
  </si>
  <si>
    <t>CUSTO Manutenção (colheita + descarga)</t>
  </si>
  <si>
    <t>R$/ha/ nos 10 anos</t>
  </si>
  <si>
    <t>CUSTO TOTAL</t>
  </si>
  <si>
    <t xml:space="preserve">R$/ha </t>
  </si>
  <si>
    <t>R$/ton MV útil</t>
  </si>
  <si>
    <t>R$/ton de MS útil</t>
  </si>
  <si>
    <t>Janeiro</t>
  </si>
  <si>
    <t>Longevidade:</t>
  </si>
  <si>
    <t>Sementes (VC 20%)</t>
  </si>
  <si>
    <t>ton</t>
  </si>
  <si>
    <t xml:space="preserve"> ( Tordon - picloran + 2,4 D) 0,4 a 0,8 Kg i.a./ha</t>
  </si>
  <si>
    <t xml:space="preserve"> </t>
  </si>
  <si>
    <t>L/ha</t>
  </si>
  <si>
    <t>(Roundup WG - glyphosate) 0,36 - 2,52 Kg i.a./ ha</t>
  </si>
  <si>
    <t>Calagem</t>
  </si>
  <si>
    <t>Aração</t>
  </si>
  <si>
    <t>Adubação cobertura</t>
  </si>
  <si>
    <t xml:space="preserve">Dessecação </t>
  </si>
  <si>
    <t>Pulverização Herbicida PÓS</t>
  </si>
  <si>
    <t>CUSTO DE MANUTENÇÃO - Mombaça (R$/ha)</t>
  </si>
  <si>
    <t>Distrib. de superfosfato simples + semente (vicon)</t>
  </si>
  <si>
    <t>Distrib. de 20-05-20 (vicon)  ou</t>
  </si>
  <si>
    <t>Distrib. de Uréia + KCl (vicon)</t>
  </si>
  <si>
    <t>Distrib. de FTE (vicon)</t>
  </si>
  <si>
    <t>Calcário dolomítico</t>
  </si>
  <si>
    <t>Superfosfato simples</t>
  </si>
  <si>
    <t>Adubo pós-plantio (20-05-20)</t>
  </si>
  <si>
    <t>Cloreto de potássio</t>
  </si>
  <si>
    <t>Herbicida pós-emergente</t>
  </si>
  <si>
    <t xml:space="preserve">Adubo Superfosfato simples </t>
  </si>
  <si>
    <t>Adubo 20-05-20</t>
  </si>
  <si>
    <t xml:space="preserve">Sulfato de amonio </t>
  </si>
  <si>
    <t>Formicida</t>
  </si>
  <si>
    <t>Análise de solo</t>
  </si>
  <si>
    <t>OPERAÇÕES - TRATOS CULTURAIS</t>
  </si>
  <si>
    <t>PRODUÇÃO TOTAL</t>
  </si>
  <si>
    <t>MV DA FORRAGEM</t>
  </si>
  <si>
    <t>MS DA FORRAGEM</t>
  </si>
  <si>
    <t>ÚTIL DE MV DA SILAGEM</t>
  </si>
  <si>
    <t>ÚTIL DE MS DA SILAGEM</t>
  </si>
  <si>
    <t>Área plantada:</t>
  </si>
  <si>
    <t xml:space="preserve">OPERAÇÕES </t>
  </si>
  <si>
    <t>CcOp (R$/ha)</t>
  </si>
  <si>
    <t>Trator</t>
  </si>
  <si>
    <t>Implemento</t>
  </si>
  <si>
    <t>MF-275</t>
  </si>
  <si>
    <t>Condor / Jacto</t>
  </si>
  <si>
    <t>Gradegem intermediária</t>
  </si>
  <si>
    <t>Gradagem niveladora ou (rolo compactador)</t>
  </si>
  <si>
    <t>Baldan</t>
  </si>
  <si>
    <t>Tatu-Marchasan</t>
  </si>
  <si>
    <t xml:space="preserve">Tatu </t>
  </si>
  <si>
    <t>Vicon</t>
  </si>
  <si>
    <t>Custo Hor Conj (R$/h)</t>
  </si>
  <si>
    <t>Calcário (dolomítico)</t>
  </si>
  <si>
    <t xml:space="preserve">Aplicação de 20-05-20 </t>
  </si>
  <si>
    <t>Aplicação - sulfato amonio</t>
  </si>
  <si>
    <t xml:space="preserve">Aplicação - calcário </t>
  </si>
  <si>
    <t xml:space="preserve">Aplicação - superfosfato simples </t>
  </si>
  <si>
    <t>ENSILAGEM (R$/ha)</t>
  </si>
  <si>
    <t>Colheita</t>
  </si>
  <si>
    <t>Siltomac CF750</t>
  </si>
  <si>
    <t>CUSTO DE FORMAÇÃO - MOMBAÇA (R$/ha)</t>
  </si>
  <si>
    <t>Mombaça</t>
  </si>
  <si>
    <t>Porcentagem de NDT no mombaça</t>
  </si>
  <si>
    <t>Porcentagem de MS do mombaça:</t>
  </si>
  <si>
    <t>Herbicida pré-emergente (Dessecação)</t>
  </si>
  <si>
    <t>NDT</t>
  </si>
  <si>
    <t>NDT DA SILAGEM</t>
  </si>
  <si>
    <t>R$/ton de NDT</t>
  </si>
  <si>
    <t>POLPA CÍTRICA</t>
  </si>
  <si>
    <t>10% da MS</t>
  </si>
  <si>
    <t>5% da MS</t>
  </si>
  <si>
    <t>12,5 % da MS</t>
  </si>
  <si>
    <t xml:space="preserve">Quantidade Kg/ha </t>
  </si>
  <si>
    <t>R$/kg</t>
  </si>
  <si>
    <t>R$/NDT</t>
  </si>
  <si>
    <t xml:space="preserve">Silagem de Capim </t>
  </si>
  <si>
    <t>Silagem de Capim + 5% de Polpa Cítrica</t>
  </si>
  <si>
    <t>Silagem de Capim + 10% de Polpa Cítrica</t>
  </si>
  <si>
    <t>Silagem de Capim +12,5% de Polpa Cítrica</t>
  </si>
  <si>
    <t xml:space="preserve">% MS </t>
  </si>
  <si>
    <t>% NDT</t>
  </si>
  <si>
    <t>Exemplo:</t>
  </si>
  <si>
    <t>Sem Aditivo</t>
  </si>
  <si>
    <t>Perdas</t>
  </si>
  <si>
    <t>Com Aditivo (10%)</t>
  </si>
  <si>
    <t>MS restante</t>
  </si>
  <si>
    <t xml:space="preserve">CUSTO TOTAL DE PRODUÇÃO R$/ha </t>
  </si>
  <si>
    <t>188 ton de MS/ha</t>
  </si>
  <si>
    <t>Sem aditivo</t>
  </si>
  <si>
    <t>Com 5% Polpa Cítrica.</t>
  </si>
  <si>
    <t>Com 10% Polpa Cítrica.</t>
  </si>
  <si>
    <t>Com 12,5% Polpa Cítrica.</t>
  </si>
  <si>
    <t>herbicida pré-emergente (Roundup WG)</t>
  </si>
  <si>
    <t>-</t>
  </si>
  <si>
    <t>MF275 4x2 TDA (2001)</t>
  </si>
  <si>
    <t>Salário na fazenda de R$ 500, dando um custo de mão de obra de R$ 5,9375/ h.</t>
  </si>
  <si>
    <t>Para trator considerei 40% do VI, i=12,75%, 1,5% Aloj, 60% para reparos, diesel a R$1,40</t>
  </si>
  <si>
    <t>C.H.Conj (R$/h)</t>
  </si>
  <si>
    <t>Potência exigida   (cv)</t>
  </si>
  <si>
    <t>Grade aradora Baldan</t>
  </si>
  <si>
    <t>Grade Niveladora Tatu</t>
  </si>
  <si>
    <t>Arado Fixo  Tatu</t>
  </si>
  <si>
    <t>Siltomac CF775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</si>
</sst>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"/>
    <numFmt numFmtId="180" formatCode="mmmm\-yy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\R\$#.##&quot;/litro&quot;"/>
    <numFmt numFmtId="186" formatCode="\R\$#.###&quot;/litro&quot;"/>
    <numFmt numFmtId="187" formatCode="\R\$#.####&quot;/litro&quot;"/>
    <numFmt numFmtId="188" formatCode="\R\$0.#&quot;/litro&quot;"/>
    <numFmt numFmtId="189" formatCode="\R\$0.##&quot;/litro&quot;"/>
    <numFmt numFmtId="190" formatCode="\R\$0.###&quot;/litro&quot;"/>
    <numFmt numFmtId="191" formatCode="\R\$0.#\ &quot;/litro&quot;"/>
    <numFmt numFmtId="192" formatCode="\R\$0.##\ &quot;/litro&quot;"/>
    <numFmt numFmtId="193" formatCode="\R\$0.###\ &quot;/litro&quot;"/>
    <numFmt numFmtId="194" formatCode="\R\$0,###\ &quot;/litro&quot;"/>
    <numFmt numFmtId="195" formatCode="\R\$0.###\ &quot;/litro&quot;\ 0.00"/>
    <numFmt numFmtId="196" formatCode="0.000%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&quot;R$ &quot;* #,##0.0_);_(&quot;R$ &quot;* \(#,##0.0\);_(&quot;R$ &quot;* &quot;-&quot;??_);_(@_)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?_);_(@_)"/>
    <numFmt numFmtId="204" formatCode="\R\$0.####\ &quot;/litro&quot;"/>
    <numFmt numFmtId="205" formatCode="\R\$0.#####\ &quot;/litro&quot;"/>
    <numFmt numFmtId="206" formatCode="#,##0.0"/>
    <numFmt numFmtId="207" formatCode="_(&quot;R$ &quot;* #,##0.000_);_(&quot;R$ &quot;* \(#,##0.000\);_(&quot;R$ &quot;* &quot;-&quot;??_);_(@_)"/>
    <numFmt numFmtId="208" formatCode="_(&quot;R$ &quot;* #,##0.0000_);_(&quot;R$ &quot;* \(#,##0.0000\);_(&quot;R$ &quot;* &quot;-&quot;??_);_(@_)"/>
    <numFmt numFmtId="209" formatCode="0.0000000"/>
    <numFmt numFmtId="210" formatCode="0.000000"/>
    <numFmt numFmtId="211" formatCode="0.00000"/>
    <numFmt numFmtId="212" formatCode="0.0000"/>
    <numFmt numFmtId="213" formatCode="[$€-2]\ #,##0.00_);[Red]\([$€-2]\ #,##0.00\)"/>
    <numFmt numFmtId="214" formatCode="[$-409]dddd\,\ mmmm\ dd\,\ yyyy"/>
    <numFmt numFmtId="215" formatCode="[$-409]h:mm:ss\ AM/PM"/>
    <numFmt numFmtId="216" formatCode="&quot;$&quot;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9.7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77" fontId="3" fillId="0" borderId="0" xfId="47" applyFont="1" applyFill="1" applyAlignment="1">
      <alignment horizontal="center"/>
    </xf>
    <xf numFmtId="177" fontId="3" fillId="33" borderId="0" xfId="47" applyFont="1" applyFill="1" applyAlignment="1">
      <alignment/>
    </xf>
    <xf numFmtId="0" fontId="4" fillId="0" borderId="0" xfId="0" applyFont="1" applyFill="1" applyAlignment="1">
      <alignment/>
    </xf>
    <xf numFmtId="177" fontId="3" fillId="0" borderId="0" xfId="47" applyFont="1" applyFill="1" applyAlignment="1">
      <alignment/>
    </xf>
    <xf numFmtId="0" fontId="3" fillId="0" borderId="11" xfId="0" applyFont="1" applyFill="1" applyBorder="1" applyAlignment="1">
      <alignment/>
    </xf>
    <xf numFmtId="177" fontId="2" fillId="33" borderId="11" xfId="47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5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3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06" fontId="0" fillId="0" borderId="14" xfId="0" applyNumberFormat="1" applyFont="1" applyFill="1" applyBorder="1" applyAlignment="1">
      <alignment horizontal="center"/>
    </xf>
    <xf numFmtId="177" fontId="3" fillId="0" borderId="0" xfId="47" applyFont="1" applyFill="1" applyBorder="1" applyAlignment="1">
      <alignment horizontal="center"/>
    </xf>
    <xf numFmtId="206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206" fontId="0" fillId="0" borderId="11" xfId="0" applyNumberFormat="1" applyFont="1" applyFill="1" applyBorder="1" applyAlignment="1">
      <alignment horizontal="center"/>
    </xf>
    <xf numFmtId="177" fontId="3" fillId="0" borderId="11" xfId="47" applyFont="1" applyFill="1" applyBorder="1" applyAlignment="1">
      <alignment horizontal="center"/>
    </xf>
    <xf numFmtId="177" fontId="3" fillId="0" borderId="10" xfId="47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06" fontId="0" fillId="0" borderId="10" xfId="0" applyNumberFormat="1" applyFont="1" applyFill="1" applyBorder="1" applyAlignment="1">
      <alignment horizontal="center"/>
    </xf>
    <xf numFmtId="177" fontId="3" fillId="0" borderId="15" xfId="47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06" fontId="1" fillId="34" borderId="0" xfId="0" applyNumberFormat="1" applyFont="1" applyFill="1" applyBorder="1" applyAlignment="1">
      <alignment horizontal="center"/>
    </xf>
    <xf numFmtId="177" fontId="3" fillId="34" borderId="0" xfId="47" applyFont="1" applyFill="1" applyAlignment="1">
      <alignment horizontal="center"/>
    </xf>
    <xf numFmtId="177" fontId="2" fillId="34" borderId="0" xfId="47" applyFont="1" applyFill="1" applyAlignment="1">
      <alignment/>
    </xf>
    <xf numFmtId="206" fontId="0" fillId="0" borderId="13" xfId="0" applyNumberFormat="1" applyFont="1" applyFill="1" applyBorder="1" applyAlignment="1">
      <alignment horizontal="center"/>
    </xf>
    <xf numFmtId="177" fontId="3" fillId="0" borderId="13" xfId="47" applyFont="1" applyFill="1" applyBorder="1" applyAlignment="1">
      <alignment horizontal="center"/>
    </xf>
    <xf numFmtId="206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6" fontId="1" fillId="0" borderId="10" xfId="0" applyNumberFormat="1" applyFont="1" applyFill="1" applyBorder="1" applyAlignment="1">
      <alignment horizontal="center"/>
    </xf>
    <xf numFmtId="2" fontId="2" fillId="0" borderId="0" xfId="53" applyNumberFormat="1" applyFont="1" applyFill="1" applyBorder="1" applyAlignment="1">
      <alignment horizontal="center"/>
    </xf>
    <xf numFmtId="2" fontId="2" fillId="0" borderId="11" xfId="53" applyNumberFormat="1" applyFont="1" applyFill="1" applyBorder="1" applyAlignment="1">
      <alignment horizontal="center"/>
    </xf>
    <xf numFmtId="177" fontId="2" fillId="33" borderId="13" xfId="47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77" fontId="3" fillId="0" borderId="16" xfId="47" applyFont="1" applyFill="1" applyBorder="1" applyAlignment="1">
      <alignment horizontal="center"/>
    </xf>
    <xf numFmtId="177" fontId="3" fillId="0" borderId="0" xfId="47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206" fontId="1" fillId="34" borderId="16" xfId="0" applyNumberFormat="1" applyFont="1" applyFill="1" applyBorder="1" applyAlignment="1">
      <alignment horizontal="center"/>
    </xf>
    <xf numFmtId="177" fontId="3" fillId="34" borderId="16" xfId="47" applyFont="1" applyFill="1" applyBorder="1" applyAlignment="1">
      <alignment horizontal="center"/>
    </xf>
    <xf numFmtId="177" fontId="2" fillId="34" borderId="16" xfId="47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177" fontId="2" fillId="35" borderId="11" xfId="47" applyFont="1" applyFill="1" applyBorder="1" applyAlignment="1">
      <alignment/>
    </xf>
    <xf numFmtId="0" fontId="5" fillId="35" borderId="16" xfId="0" applyFont="1" applyFill="1" applyBorder="1" applyAlignment="1">
      <alignment horizontal="left"/>
    </xf>
    <xf numFmtId="0" fontId="1" fillId="35" borderId="16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177" fontId="2" fillId="35" borderId="16" xfId="0" applyNumberFormat="1" applyFont="1" applyFill="1" applyBorder="1" applyAlignment="1">
      <alignment/>
    </xf>
    <xf numFmtId="17" fontId="2" fillId="35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 horizontal="center"/>
    </xf>
    <xf numFmtId="177" fontId="2" fillId="0" borderId="0" xfId="47" applyFont="1" applyFill="1" applyAlignment="1">
      <alignment/>
    </xf>
    <xf numFmtId="2" fontId="2" fillId="0" borderId="0" xfId="53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2" fontId="2" fillId="0" borderId="0" xfId="51" applyNumberFormat="1" applyFont="1" applyFill="1" applyBorder="1" applyAlignment="1">
      <alignment horizontal="center"/>
    </xf>
    <xf numFmtId="177" fontId="2" fillId="0" borderId="0" xfId="47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7" fontId="3" fillId="36" borderId="0" xfId="47" applyFont="1" applyFill="1" applyAlignment="1">
      <alignment/>
    </xf>
    <xf numFmtId="17" fontId="2" fillId="36" borderId="17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77" fontId="3" fillId="36" borderId="20" xfId="47" applyFont="1" applyFill="1" applyBorder="1" applyAlignment="1">
      <alignment/>
    </xf>
    <xf numFmtId="177" fontId="2" fillId="36" borderId="21" xfId="47" applyFont="1" applyFill="1" applyBorder="1" applyAlignment="1">
      <alignment/>
    </xf>
    <xf numFmtId="177" fontId="3" fillId="36" borderId="22" xfId="47" applyFont="1" applyFill="1" applyBorder="1" applyAlignment="1">
      <alignment/>
    </xf>
    <xf numFmtId="177" fontId="2" fillId="36" borderId="23" xfId="47" applyFont="1" applyFill="1" applyBorder="1" applyAlignment="1">
      <alignment/>
    </xf>
    <xf numFmtId="0" fontId="3" fillId="36" borderId="0" xfId="0" applyFont="1" applyFill="1" applyAlignment="1">
      <alignment/>
    </xf>
    <xf numFmtId="177" fontId="2" fillId="36" borderId="0" xfId="47" applyFont="1" applyFill="1" applyAlignment="1">
      <alignment/>
    </xf>
    <xf numFmtId="10" fontId="3" fillId="36" borderId="0" xfId="0" applyNumberFormat="1" applyFont="1" applyFill="1" applyAlignment="1">
      <alignment horizontal="center"/>
    </xf>
    <xf numFmtId="206" fontId="0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06" fontId="15" fillId="0" borderId="0" xfId="0" applyNumberFormat="1" applyFont="1" applyFill="1" applyAlignment="1">
      <alignment horizontal="center"/>
    </xf>
    <xf numFmtId="177" fontId="16" fillId="0" borderId="0" xfId="47" applyFont="1" applyFill="1" applyBorder="1" applyAlignment="1">
      <alignment horizontal="center"/>
    </xf>
    <xf numFmtId="177" fontId="16" fillId="36" borderId="20" xfId="47" applyFont="1" applyFill="1" applyBorder="1" applyAlignment="1">
      <alignment/>
    </xf>
    <xf numFmtId="0" fontId="1" fillId="37" borderId="26" xfId="0" applyFont="1" applyFill="1" applyBorder="1" applyAlignment="1">
      <alignment/>
    </xf>
    <xf numFmtId="0" fontId="1" fillId="37" borderId="26" xfId="0" applyFont="1" applyFill="1" applyBorder="1" applyAlignment="1">
      <alignment horizontal="center"/>
    </xf>
    <xf numFmtId="206" fontId="1" fillId="37" borderId="26" xfId="0" applyNumberFormat="1" applyFont="1" applyFill="1" applyBorder="1" applyAlignment="1">
      <alignment horizontal="center"/>
    </xf>
    <xf numFmtId="177" fontId="3" fillId="37" borderId="26" xfId="47" applyFont="1" applyFill="1" applyBorder="1" applyAlignment="1">
      <alignment horizontal="center"/>
    </xf>
    <xf numFmtId="177" fontId="2" fillId="37" borderId="26" xfId="47" applyFont="1" applyFill="1" applyBorder="1" applyAlignment="1">
      <alignment/>
    </xf>
    <xf numFmtId="206" fontId="1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77" fontId="3" fillId="36" borderId="21" xfId="47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3" fillId="0" borderId="23" xfId="47" applyFont="1" applyFill="1" applyBorder="1" applyAlignment="1">
      <alignment horizontal="center"/>
    </xf>
    <xf numFmtId="177" fontId="3" fillId="0" borderId="20" xfId="47" applyFont="1" applyFill="1" applyBorder="1" applyAlignment="1">
      <alignment horizontal="center"/>
    </xf>
    <xf numFmtId="177" fontId="3" fillId="0" borderId="20" xfId="47" applyFont="1" applyFill="1" applyBorder="1" applyAlignment="1">
      <alignment/>
    </xf>
    <xf numFmtId="177" fontId="3" fillId="0" borderId="22" xfId="47" applyFont="1" applyFill="1" applyBorder="1" applyAlignment="1">
      <alignment horizontal="center"/>
    </xf>
    <xf numFmtId="177" fontId="3" fillId="0" borderId="20" xfId="47" applyFont="1" applyBorder="1" applyAlignment="1">
      <alignment/>
    </xf>
    <xf numFmtId="177" fontId="3" fillId="0" borderId="21" xfId="47" applyFont="1" applyFill="1" applyBorder="1" applyAlignment="1">
      <alignment horizontal="center"/>
    </xf>
    <xf numFmtId="0" fontId="1" fillId="38" borderId="16" xfId="0" applyFont="1" applyFill="1" applyBorder="1" applyAlignment="1">
      <alignment/>
    </xf>
    <xf numFmtId="0" fontId="1" fillId="38" borderId="16" xfId="0" applyFont="1" applyFill="1" applyBorder="1" applyAlignment="1">
      <alignment horizontal="left"/>
    </xf>
    <xf numFmtId="206" fontId="1" fillId="38" borderId="16" xfId="0" applyNumberFormat="1" applyFont="1" applyFill="1" applyBorder="1" applyAlignment="1">
      <alignment horizontal="center"/>
    </xf>
    <xf numFmtId="177" fontId="3" fillId="38" borderId="27" xfId="47" applyFont="1" applyFill="1" applyBorder="1" applyAlignment="1">
      <alignment horizontal="center"/>
    </xf>
    <xf numFmtId="177" fontId="2" fillId="38" borderId="27" xfId="47" applyFont="1" applyFill="1" applyBorder="1" applyAlignment="1">
      <alignment/>
    </xf>
    <xf numFmtId="177" fontId="3" fillId="38" borderId="22" xfId="47" applyFont="1" applyFill="1" applyBorder="1" applyAlignment="1">
      <alignment horizontal="center"/>
    </xf>
    <xf numFmtId="177" fontId="2" fillId="38" borderId="22" xfId="47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53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" fontId="18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177" fontId="3" fillId="0" borderId="35" xfId="47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9" fontId="0" fillId="0" borderId="0" xfId="51" applyNumberFormat="1" applyFont="1" applyFill="1" applyAlignment="1">
      <alignment horizontal="center"/>
    </xf>
    <xf numFmtId="0" fontId="1" fillId="0" borderId="22" xfId="0" applyFont="1" applyFill="1" applyBorder="1" applyAlignment="1">
      <alignment/>
    </xf>
    <xf numFmtId="177" fontId="3" fillId="0" borderId="36" xfId="47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0" fontId="5" fillId="35" borderId="38" xfId="0" applyFont="1" applyFill="1" applyBorder="1" applyAlignment="1">
      <alignment horizontal="left"/>
    </xf>
    <xf numFmtId="0" fontId="1" fillId="35" borderId="38" xfId="0" applyFont="1" applyFill="1" applyBorder="1" applyAlignment="1">
      <alignment/>
    </xf>
    <xf numFmtId="0" fontId="1" fillId="35" borderId="38" xfId="0" applyFont="1" applyFill="1" applyBorder="1" applyAlignment="1">
      <alignment horizontal="center"/>
    </xf>
    <xf numFmtId="177" fontId="2" fillId="35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1" fillId="0" borderId="0" xfId="5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96" fontId="3" fillId="0" borderId="0" xfId="51" applyNumberFormat="1" applyFont="1" applyFill="1" applyBorder="1" applyAlignment="1">
      <alignment/>
    </xf>
    <xf numFmtId="10" fontId="3" fillId="0" borderId="0" xfId="51" applyNumberFormat="1" applyFont="1" applyFill="1" applyBorder="1" applyAlignment="1">
      <alignment/>
    </xf>
    <xf numFmtId="181" fontId="3" fillId="0" borderId="0" xfId="51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177" fontId="3" fillId="0" borderId="0" xfId="47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0" fontId="2" fillId="0" borderId="0" xfId="51" applyNumberFormat="1" applyFont="1" applyFill="1" applyBorder="1" applyAlignment="1">
      <alignment horizontal="center"/>
    </xf>
    <xf numFmtId="181" fontId="6" fillId="0" borderId="0" xfId="5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77" fontId="2" fillId="0" borderId="0" xfId="47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7" fontId="3" fillId="0" borderId="0" xfId="51" applyNumberFormat="1" applyFont="1" applyFill="1" applyBorder="1" applyAlignment="1">
      <alignment/>
    </xf>
    <xf numFmtId="10" fontId="3" fillId="0" borderId="0" xfId="51" applyNumberFormat="1" applyFont="1" applyFill="1" applyBorder="1" applyAlignment="1">
      <alignment horizontal="center"/>
    </xf>
    <xf numFmtId="2" fontId="3" fillId="0" borderId="0" xfId="5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177" fontId="3" fillId="0" borderId="10" xfId="51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0" fontId="3" fillId="0" borderId="33" xfId="51" applyNumberFormat="1" applyFont="1" applyFill="1" applyBorder="1" applyAlignment="1">
      <alignment horizontal="center"/>
    </xf>
    <xf numFmtId="181" fontId="3" fillId="0" borderId="33" xfId="51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1" fontId="0" fillId="0" borderId="0" xfId="51" applyNumberFormat="1" applyFont="1" applyFill="1" applyAlignment="1">
      <alignment horizontal="center"/>
    </xf>
    <xf numFmtId="17" fontId="2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7" fontId="2" fillId="33" borderId="10" xfId="47" applyFont="1" applyFill="1" applyBorder="1" applyAlignment="1">
      <alignment/>
    </xf>
    <xf numFmtId="177" fontId="3" fillId="33" borderId="15" xfId="47" applyFont="1" applyFill="1" applyBorder="1" applyAlignment="1">
      <alignment/>
    </xf>
    <xf numFmtId="177" fontId="3" fillId="33" borderId="13" xfId="47" applyFont="1" applyFill="1" applyBorder="1" applyAlignment="1">
      <alignment/>
    </xf>
    <xf numFmtId="177" fontId="3" fillId="33" borderId="10" xfId="47" applyFont="1" applyFill="1" applyBorder="1" applyAlignment="1">
      <alignment/>
    </xf>
    <xf numFmtId="177" fontId="3" fillId="33" borderId="11" xfId="47" applyFont="1" applyFill="1" applyBorder="1" applyAlignment="1">
      <alignment/>
    </xf>
    <xf numFmtId="177" fontId="3" fillId="33" borderId="16" xfId="47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28" xfId="0" applyNumberFormat="1" applyFont="1" applyBorder="1" applyAlignment="1">
      <alignment/>
    </xf>
    <xf numFmtId="2" fontId="9" fillId="0" borderId="41" xfId="0" applyNumberFormat="1" applyFont="1" applyBorder="1" applyAlignment="1">
      <alignment/>
    </xf>
    <xf numFmtId="2" fontId="9" fillId="0" borderId="29" xfId="0" applyNumberFormat="1" applyFont="1" applyBorder="1" applyAlignment="1">
      <alignment/>
    </xf>
    <xf numFmtId="2" fontId="9" fillId="0" borderId="28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2" fontId="9" fillId="0" borderId="29" xfId="0" applyNumberFormat="1" applyFont="1" applyBorder="1" applyAlignment="1">
      <alignment horizontal="center"/>
    </xf>
    <xf numFmtId="2" fontId="18" fillId="0" borderId="41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31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2" fontId="9" fillId="0" borderId="31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/>
    </xf>
    <xf numFmtId="0" fontId="9" fillId="0" borderId="0" xfId="0" applyFont="1" applyAlignment="1">
      <alignment horizontal="right"/>
    </xf>
    <xf numFmtId="2" fontId="9" fillId="0" borderId="39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2" fontId="9" fillId="0" borderId="39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2" fontId="9" fillId="0" borderId="37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/>
    </xf>
    <xf numFmtId="0" fontId="18" fillId="0" borderId="4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4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0" fillId="0" borderId="28" xfId="0" applyFont="1" applyBorder="1" applyAlignment="1">
      <alignment/>
    </xf>
    <xf numFmtId="0" fontId="9" fillId="0" borderId="29" xfId="0" applyFont="1" applyFill="1" applyBorder="1" applyAlignment="1">
      <alignment horizontal="center" wrapText="1"/>
    </xf>
    <xf numFmtId="0" fontId="9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0" xfId="0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11" fillId="0" borderId="30" xfId="0" applyFont="1" applyBorder="1" applyAlignment="1">
      <alignment/>
    </xf>
    <xf numFmtId="2" fontId="12" fillId="0" borderId="30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37" xfId="0" applyFont="1" applyBorder="1" applyAlignment="1">
      <alignment/>
    </xf>
    <xf numFmtId="2" fontId="9" fillId="0" borderId="0" xfId="0" applyNumberFormat="1" applyFont="1" applyAlignment="1">
      <alignment horizontal="right"/>
    </xf>
    <xf numFmtId="0" fontId="0" fillId="0" borderId="41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7" fillId="0" borderId="0" xfId="0" applyFont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R$/ton de NDT</a:t>
            </a:r>
          </a:p>
        </c:rich>
      </c:tx>
      <c:layout>
        <c:manualLayout>
          <c:xMode val="factor"/>
          <c:yMode val="factor"/>
          <c:x val="-0.01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85"/>
          <c:w val="0.946"/>
          <c:h val="0.70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Mombaça!$A$125:$A$128</c:f>
              <c:strCache/>
            </c:strRef>
          </c:cat>
          <c:val>
            <c:numRef>
              <c:f>Mombaça!$D$125:$D$128</c:f>
              <c:numCache/>
            </c:numRef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  <c:max val="400"/>
          <c:min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  <c:majorUnit val="5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R$/NDT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9"/>
          <c:w val="0.959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Mombaça!$A$136:$A$137</c:f>
              <c:strCache/>
            </c:strRef>
          </c:cat>
          <c:val>
            <c:numRef>
              <c:f>Mombaça!$E$136:$E$137</c:f>
              <c:numCache/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TOTAL DE PRODUÇÂO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825"/>
          <c:w val="0.959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Mombaça!$A$118:$A$121</c:f>
              <c:strCache/>
            </c:strRef>
          </c:cat>
          <c:val>
            <c:numRef>
              <c:f>Mombaça!$B$118:$B$121</c:f>
              <c:numCache/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875"/>
          <c:w val="0.9267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'[1]Custos de máquinas Agr.'!$A$24</c:f>
              <c:strCache>
                <c:ptCount val="1"/>
                <c:pt idx="0">
                  <c:v>MF275 4x2  (2001)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'[1]Custos de máquinas Agr.'!$S$26:$S$35</c:f>
              <c:strCache>
                <c:ptCount val="10"/>
                <c:pt idx="0">
                  <c:v>Grade aradora Baldan</c:v>
                </c:pt>
                <c:pt idx="1">
                  <c:v>Grade Niveladora Tatu</c:v>
                </c:pt>
                <c:pt idx="2">
                  <c:v>Arado Fixo  Tatu</c:v>
                </c:pt>
                <c:pt idx="3">
                  <c:v>Vicon PS 603</c:v>
                </c:pt>
                <c:pt idx="4">
                  <c:v>Distrib. de Calcário  Tatu </c:v>
                </c:pt>
                <c:pt idx="5">
                  <c:v>Pulv. Agr. Condor Jacto </c:v>
                </c:pt>
                <c:pt idx="6">
                  <c:v>Siltomac CF775</c:v>
                </c:pt>
                <c:pt idx="7">
                  <c:v>Siltomac CF750</c:v>
                </c:pt>
                <c:pt idx="8">
                  <c:v>Casale CFC 2000</c:v>
                </c:pt>
                <c:pt idx="9">
                  <c:v>Casale CFC 1300</c:v>
                </c:pt>
              </c:strCache>
            </c:strRef>
          </c:cat>
          <c:val>
            <c:numRef>
              <c:f>'[1]Custos de máquinas Agr.'!$C$25:$C$34</c:f>
              <c:numCache>
                <c:ptCount val="10"/>
                <c:pt idx="0">
                  <c:v>24.109308538230103</c:v>
                </c:pt>
                <c:pt idx="1">
                  <c:v>26.851469494047613</c:v>
                </c:pt>
                <c:pt idx="2">
                  <c:v>71.92354498132586</c:v>
                </c:pt>
                <c:pt idx="3">
                  <c:v>5.503523284313726</c:v>
                </c:pt>
                <c:pt idx="4">
                  <c:v>5.3871106808035725</c:v>
                </c:pt>
                <c:pt idx="5">
                  <c:v>4.941976277690564</c:v>
                </c:pt>
                <c:pt idx="7">
                  <c:v>85.38470986208692</c:v>
                </c:pt>
                <c:pt idx="9">
                  <c:v>127.97413003663004</c:v>
                </c:pt>
              </c:numCache>
            </c:numRef>
          </c:val>
        </c:ser>
        <c:ser>
          <c:idx val="1"/>
          <c:order val="1"/>
          <c:tx>
            <c:strRef>
              <c:f>'[1]Custos de máquinas Agr.'!$A$37</c:f>
              <c:strCache>
                <c:ptCount val="1"/>
                <c:pt idx="0">
                  <c:v>660/4 4x4 (2000)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'[1]Custos de máquinas Agr.'!$S$26:$S$35</c:f>
              <c:strCache>
                <c:ptCount val="10"/>
                <c:pt idx="0">
                  <c:v>Grade aradora Baldan</c:v>
                </c:pt>
                <c:pt idx="1">
                  <c:v>Grade Niveladora Tatu</c:v>
                </c:pt>
                <c:pt idx="2">
                  <c:v>Arado Fixo  Tatu</c:v>
                </c:pt>
                <c:pt idx="3">
                  <c:v>Vicon PS 603</c:v>
                </c:pt>
                <c:pt idx="4">
                  <c:v>Distrib. de Calcário  Tatu </c:v>
                </c:pt>
                <c:pt idx="5">
                  <c:v>Pulv. Agr. Condor Jacto </c:v>
                </c:pt>
                <c:pt idx="6">
                  <c:v>Siltomac CF775</c:v>
                </c:pt>
                <c:pt idx="7">
                  <c:v>Siltomac CF750</c:v>
                </c:pt>
                <c:pt idx="8">
                  <c:v>Casale CFC 2000</c:v>
                </c:pt>
                <c:pt idx="9">
                  <c:v>Casale CFC 1300</c:v>
                </c:pt>
              </c:strCache>
            </c:strRef>
          </c:cat>
          <c:val>
            <c:numRef>
              <c:f>'[1]Custos de máquinas Agr.'!$C$38:$C$47</c:f>
              <c:numCache>
                <c:ptCount val="10"/>
                <c:pt idx="0">
                  <c:v>34.53728991596638</c:v>
                </c:pt>
                <c:pt idx="1">
                  <c:v>40.44932021103895</c:v>
                </c:pt>
                <c:pt idx="2">
                  <c:v>109.46427794117646</c:v>
                </c:pt>
                <c:pt idx="3">
                  <c:v>8.2408683959695</c:v>
                </c:pt>
                <c:pt idx="4">
                  <c:v>7.381462119295636</c:v>
                </c:pt>
                <c:pt idx="5">
                  <c:v>6.6952522675736965</c:v>
                </c:pt>
                <c:pt idx="6">
                  <c:v>130.2922767857143</c:v>
                </c:pt>
                <c:pt idx="7">
                  <c:v>111.54013856362216</c:v>
                </c:pt>
                <c:pt idx="8">
                  <c:v>148.7022767857143</c:v>
                </c:pt>
                <c:pt idx="9">
                  <c:v>164.79292582417582</c:v>
                </c:pt>
              </c:numCache>
            </c:numRef>
          </c:val>
        </c:ser>
        <c:axId val="54385416"/>
        <c:axId val="19706697"/>
      </c:bar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R$/ha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135"/>
          <c:w val="0.423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R$/ha/ano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7"/>
          <c:w val="0.9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'[1]Comparação original x simulado'!$C$2</c:f>
              <c:strCache>
                <c:ptCount val="1"/>
                <c:pt idx="0">
                  <c:v>R$/ha/ano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'[1]Comparação original x simulado'!$A$3:$A$4</c:f>
              <c:strCache>
                <c:ptCount val="2"/>
                <c:pt idx="0">
                  <c:v>Original (professor)</c:v>
                </c:pt>
                <c:pt idx="1">
                  <c:v>Simulação máq</c:v>
                </c:pt>
              </c:strCache>
            </c:strRef>
          </c:cat>
          <c:val>
            <c:numRef>
              <c:f>'[1]Comparação original x simulado'!$C$3:$C$4</c:f>
              <c:numCache>
                <c:ptCount val="2"/>
                <c:pt idx="0">
                  <c:v>4539.95346082658</c:v>
                </c:pt>
                <c:pt idx="1">
                  <c:v>3733.8513011203695</c:v>
                </c:pt>
              </c:numCache>
            </c:numRef>
          </c:val>
        </c:ser>
        <c:gapWidth val="500"/>
        <c:axId val="43142546"/>
        <c:axId val="52738595"/>
      </c:bar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 val="autoZero"/>
        <c:auto val="1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38100</xdr:rowOff>
    </xdr:from>
    <xdr:to>
      <xdr:col>3</xdr:col>
      <xdr:colOff>600075</xdr:colOff>
      <xdr:row>154</xdr:row>
      <xdr:rowOff>28575</xdr:rowOff>
    </xdr:to>
    <xdr:graphicFrame>
      <xdr:nvGraphicFramePr>
        <xdr:cNvPr id="1" name="Chart 12"/>
        <xdr:cNvGraphicFramePr/>
      </xdr:nvGraphicFramePr>
      <xdr:xfrm>
        <a:off x="0" y="22869525"/>
        <a:ext cx="47910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138</xdr:row>
      <xdr:rowOff>142875</xdr:rowOff>
    </xdr:from>
    <xdr:to>
      <xdr:col>8</xdr:col>
      <xdr:colOff>85725</xdr:colOff>
      <xdr:row>153</xdr:row>
      <xdr:rowOff>142875</xdr:rowOff>
    </xdr:to>
    <xdr:graphicFrame>
      <xdr:nvGraphicFramePr>
        <xdr:cNvPr id="2" name="Chart 13"/>
        <xdr:cNvGraphicFramePr/>
      </xdr:nvGraphicFramePr>
      <xdr:xfrm>
        <a:off x="4943475" y="22812375"/>
        <a:ext cx="47910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155</xdr:row>
      <xdr:rowOff>123825</xdr:rowOff>
    </xdr:from>
    <xdr:to>
      <xdr:col>3</xdr:col>
      <xdr:colOff>600075</xdr:colOff>
      <xdr:row>170</xdr:row>
      <xdr:rowOff>123825</xdr:rowOff>
    </xdr:to>
    <xdr:graphicFrame>
      <xdr:nvGraphicFramePr>
        <xdr:cNvPr id="3" name="Chart 14"/>
        <xdr:cNvGraphicFramePr/>
      </xdr:nvGraphicFramePr>
      <xdr:xfrm>
        <a:off x="0" y="25565100"/>
        <a:ext cx="47910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23</xdr:row>
      <xdr:rowOff>38100</xdr:rowOff>
    </xdr:from>
    <xdr:to>
      <xdr:col>16</xdr:col>
      <xdr:colOff>523875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5734050" y="4229100"/>
        <a:ext cx="77533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28575</xdr:rowOff>
    </xdr:from>
    <xdr:to>
      <xdr:col>6</xdr:col>
      <xdr:colOff>19050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19075" y="838200"/>
        <a:ext cx="4895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e\Meus%20documentos\mick\Plan%20ti&#227;o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4"/>
      <sheetName val="4x2"/>
      <sheetName val="Plan3"/>
      <sheetName val="Plan1"/>
      <sheetName val="Plan2"/>
      <sheetName val="Plan4"/>
      <sheetName val="Custos de máquinas Agr."/>
      <sheetName val="Comparação original x simulado"/>
    </sheetNames>
    <sheetDataSet>
      <sheetData sheetId="6">
        <row r="24">
          <cell r="A24" t="str">
            <v>MF275 4x2  (2001)</v>
          </cell>
        </row>
        <row r="25">
          <cell r="C25">
            <v>24.109308538230103</v>
          </cell>
        </row>
        <row r="26">
          <cell r="C26">
            <v>26.851469494047613</v>
          </cell>
          <cell r="S26" t="str">
            <v>Grade aradora Baldan</v>
          </cell>
        </row>
        <row r="27">
          <cell r="C27">
            <v>71.92354498132586</v>
          </cell>
          <cell r="S27" t="str">
            <v>Grade Niveladora Tatu</v>
          </cell>
        </row>
        <row r="28">
          <cell r="C28">
            <v>5.503523284313726</v>
          </cell>
          <cell r="S28" t="str">
            <v>Arado Fixo  Tatu</v>
          </cell>
        </row>
        <row r="29">
          <cell r="C29">
            <v>5.3871106808035725</v>
          </cell>
          <cell r="S29" t="str">
            <v>Vicon PS 603</v>
          </cell>
        </row>
        <row r="30">
          <cell r="C30">
            <v>4.941976277690564</v>
          </cell>
          <cell r="S30" t="str">
            <v>Distrib. de Calcário  Tatu </v>
          </cell>
        </row>
        <row r="31">
          <cell r="S31" t="str">
            <v>Pulv. Agr. Condor Jacto </v>
          </cell>
        </row>
        <row r="32">
          <cell r="C32">
            <v>85.38470986208692</v>
          </cell>
          <cell r="S32" t="str">
            <v>Siltomac CF775</v>
          </cell>
        </row>
        <row r="33">
          <cell r="S33" t="str">
            <v>Siltomac CF750</v>
          </cell>
        </row>
        <row r="34">
          <cell r="C34">
            <v>127.97413003663004</v>
          </cell>
          <cell r="S34" t="str">
            <v>Casale CFC 2000</v>
          </cell>
        </row>
        <row r="35">
          <cell r="S35" t="str">
            <v>Casale CFC 1300</v>
          </cell>
        </row>
        <row r="37">
          <cell r="A37" t="str">
            <v>660/4 4x4 (2000)</v>
          </cell>
        </row>
        <row r="38">
          <cell r="C38">
            <v>34.53728991596638</v>
          </cell>
        </row>
        <row r="39">
          <cell r="C39">
            <v>40.44932021103895</v>
          </cell>
        </row>
        <row r="40">
          <cell r="C40">
            <v>109.46427794117646</v>
          </cell>
        </row>
        <row r="41">
          <cell r="C41">
            <v>8.2408683959695</v>
          </cell>
        </row>
        <row r="42">
          <cell r="C42">
            <v>7.381462119295636</v>
          </cell>
        </row>
        <row r="43">
          <cell r="C43">
            <v>6.6952522675736965</v>
          </cell>
        </row>
        <row r="44">
          <cell r="C44">
            <v>130.2922767857143</v>
          </cell>
        </row>
        <row r="45">
          <cell r="C45">
            <v>111.54013856362216</v>
          </cell>
        </row>
        <row r="46">
          <cell r="C46">
            <v>148.7022767857143</v>
          </cell>
        </row>
        <row r="47">
          <cell r="C47">
            <v>164.79292582417582</v>
          </cell>
        </row>
      </sheetData>
      <sheetData sheetId="7">
        <row r="2">
          <cell r="C2" t="str">
            <v>R$/ha/ano</v>
          </cell>
        </row>
        <row r="3">
          <cell r="A3" t="str">
            <v>Original (professor)</v>
          </cell>
          <cell r="C3">
            <v>4539.95346082658</v>
          </cell>
        </row>
        <row r="4">
          <cell r="A4" t="str">
            <v>Simulação máq</v>
          </cell>
          <cell r="C4">
            <v>3733.8513011203695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130" zoomScaleNormal="130" zoomScalePageLayoutView="0" workbookViewId="0" topLeftCell="A14">
      <selection activeCell="J29" sqref="J29"/>
    </sheetView>
  </sheetViews>
  <sheetFormatPr defaultColWidth="9.140625" defaultRowHeight="12.75"/>
  <cols>
    <col min="1" max="1" width="42.8515625" style="0" bestFit="1" customWidth="1"/>
    <col min="2" max="3" width="1.421875" style="0" customWidth="1"/>
    <col min="5" max="5" width="13.140625" style="0" bestFit="1" customWidth="1"/>
    <col min="6" max="6" width="11.8515625" style="0" bestFit="1" customWidth="1"/>
    <col min="7" max="7" width="12.7109375" style="0" bestFit="1" customWidth="1"/>
  </cols>
  <sheetData>
    <row r="1" spans="1:7" ht="12.75">
      <c r="A1" s="14" t="s">
        <v>57</v>
      </c>
      <c r="B1" s="14"/>
      <c r="C1" s="14"/>
      <c r="D1" s="15" t="s">
        <v>193</v>
      </c>
      <c r="E1" s="16"/>
      <c r="F1" s="18"/>
      <c r="G1" s="18"/>
    </row>
    <row r="2" spans="1:7" ht="12.75">
      <c r="A2" s="14" t="s">
        <v>58</v>
      </c>
      <c r="B2" s="14"/>
      <c r="C2" s="14"/>
      <c r="D2" s="15" t="s">
        <v>59</v>
      </c>
      <c r="E2" s="15"/>
      <c r="F2" s="18"/>
      <c r="G2" s="18"/>
    </row>
    <row r="3" spans="1:7" ht="12.75">
      <c r="A3" s="14" t="s">
        <v>60</v>
      </c>
      <c r="B3" s="14"/>
      <c r="C3" s="14"/>
      <c r="D3" s="15" t="s">
        <v>136</v>
      </c>
      <c r="E3" s="15"/>
      <c r="F3" s="18"/>
      <c r="G3" s="18"/>
    </row>
    <row r="4" spans="1:7" ht="12.75">
      <c r="A4" s="14" t="s">
        <v>61</v>
      </c>
      <c r="B4" s="14"/>
      <c r="C4" s="14"/>
      <c r="D4" s="19">
        <v>38261</v>
      </c>
      <c r="E4" s="15"/>
      <c r="F4" s="18"/>
      <c r="G4" s="18"/>
    </row>
    <row r="5" spans="1:7" ht="12.75">
      <c r="A5" s="14" t="s">
        <v>62</v>
      </c>
      <c r="B5" s="14"/>
      <c r="C5" s="14"/>
      <c r="D5" s="15" t="s">
        <v>70</v>
      </c>
      <c r="E5" s="20"/>
      <c r="F5" s="18"/>
      <c r="G5" s="18"/>
    </row>
    <row r="6" spans="1:7" ht="12.75">
      <c r="A6" s="17"/>
      <c r="B6" s="17"/>
      <c r="C6" s="17"/>
      <c r="D6" s="20"/>
      <c r="E6" s="20"/>
      <c r="F6" s="18"/>
      <c r="G6" s="18"/>
    </row>
    <row r="7" spans="1:7" ht="13.5" thickBot="1">
      <c r="A7" s="14" t="s">
        <v>63</v>
      </c>
      <c r="B7" s="17"/>
      <c r="C7" s="17"/>
      <c r="D7" s="20"/>
      <c r="E7" s="20"/>
      <c r="F7" s="18"/>
      <c r="G7" s="18"/>
    </row>
    <row r="8" spans="1:7" ht="13.5" thickTop="1">
      <c r="A8" s="21" t="s">
        <v>71</v>
      </c>
      <c r="B8" s="21"/>
      <c r="C8" s="21"/>
      <c r="D8" s="22">
        <f>D9*D14</f>
        <v>25</v>
      </c>
      <c r="E8" s="23" t="s">
        <v>41</v>
      </c>
      <c r="F8" s="18"/>
      <c r="G8" s="18"/>
    </row>
    <row r="9" spans="1:7" ht="12.75">
      <c r="A9" s="17" t="s">
        <v>72</v>
      </c>
      <c r="B9" s="17"/>
      <c r="C9" s="17"/>
      <c r="D9" s="24">
        <v>125</v>
      </c>
      <c r="E9" s="20" t="s">
        <v>41</v>
      </c>
      <c r="F9" s="18"/>
      <c r="G9" s="18"/>
    </row>
    <row r="10" spans="1:7" ht="12.75">
      <c r="A10" s="17" t="s">
        <v>73</v>
      </c>
      <c r="B10" s="17"/>
      <c r="C10" s="17"/>
      <c r="D10" s="219">
        <v>0.25</v>
      </c>
      <c r="E10" s="20"/>
      <c r="F10" s="18"/>
      <c r="G10" s="18"/>
    </row>
    <row r="11" spans="1:7" ht="12.75">
      <c r="A11" s="17" t="s">
        <v>74</v>
      </c>
      <c r="B11" s="17"/>
      <c r="C11" s="17"/>
      <c r="D11" s="20">
        <v>10</v>
      </c>
      <c r="E11" s="20" t="s">
        <v>75</v>
      </c>
      <c r="F11" s="18"/>
      <c r="G11" s="18"/>
    </row>
    <row r="12" spans="1:7" ht="12.75">
      <c r="A12" s="17" t="s">
        <v>76</v>
      </c>
      <c r="B12" s="17"/>
      <c r="C12" s="17"/>
      <c r="D12" s="20">
        <v>4</v>
      </c>
      <c r="E12" s="20"/>
      <c r="F12" s="18"/>
      <c r="G12" s="18"/>
    </row>
    <row r="13" spans="1:7" ht="12.75">
      <c r="A13" s="25" t="s">
        <v>77</v>
      </c>
      <c r="B13" s="25"/>
      <c r="C13" s="25"/>
      <c r="D13" s="26">
        <v>1</v>
      </c>
      <c r="E13" s="26" t="s">
        <v>64</v>
      </c>
      <c r="F13" s="18"/>
      <c r="G13" s="18"/>
    </row>
    <row r="14" spans="1:7" ht="12.75">
      <c r="A14" s="25" t="s">
        <v>195</v>
      </c>
      <c r="B14" s="25"/>
      <c r="C14" s="25"/>
      <c r="D14" s="27">
        <v>0.2</v>
      </c>
      <c r="E14" s="26" t="s">
        <v>78</v>
      </c>
      <c r="F14" s="18"/>
      <c r="G14" s="18"/>
    </row>
    <row r="15" spans="1:7" ht="13.5" thickBot="1">
      <c r="A15" s="28" t="s">
        <v>79</v>
      </c>
      <c r="B15" s="28"/>
      <c r="C15" s="28"/>
      <c r="D15" s="29">
        <f>D9/4</f>
        <v>31.25</v>
      </c>
      <c r="E15" s="30" t="s">
        <v>80</v>
      </c>
      <c r="F15" s="18"/>
      <c r="G15" s="18"/>
    </row>
    <row r="16" spans="1:7" ht="13.5" thickTop="1">
      <c r="A16" s="31" t="s">
        <v>81</v>
      </c>
      <c r="B16" s="31"/>
      <c r="C16" s="31"/>
      <c r="D16" s="32">
        <f>D9*D11</f>
        <v>1250</v>
      </c>
      <c r="E16" s="33" t="s">
        <v>82</v>
      </c>
      <c r="F16" s="18"/>
      <c r="G16" s="18"/>
    </row>
    <row r="17" spans="1:7" ht="12.75">
      <c r="A17" s="31" t="s">
        <v>83</v>
      </c>
      <c r="B17" s="31"/>
      <c r="C17" s="31"/>
      <c r="D17" s="32">
        <f>D16*$D$14</f>
        <v>250</v>
      </c>
      <c r="E17" s="33" t="s">
        <v>82</v>
      </c>
      <c r="F17" s="18"/>
      <c r="G17" s="18"/>
    </row>
    <row r="18" spans="1:7" ht="12.75">
      <c r="A18" s="14" t="s">
        <v>84</v>
      </c>
      <c r="B18" s="17"/>
      <c r="C18" s="17"/>
      <c r="D18" s="34">
        <f>D16*(1-$D$10)</f>
        <v>937.5</v>
      </c>
      <c r="E18" s="15" t="s">
        <v>82</v>
      </c>
      <c r="F18" s="18"/>
      <c r="G18" s="18"/>
    </row>
    <row r="19" spans="1:7" ht="12.75">
      <c r="A19" s="14" t="s">
        <v>85</v>
      </c>
      <c r="B19" s="17"/>
      <c r="C19" s="17"/>
      <c r="D19" s="34">
        <f>D17*(1-$D$10)</f>
        <v>187.5</v>
      </c>
      <c r="E19" s="15" t="s">
        <v>82</v>
      </c>
      <c r="F19" s="18"/>
      <c r="G19" s="18"/>
    </row>
    <row r="20" spans="1:7" ht="12.75">
      <c r="A20" s="14"/>
      <c r="B20" s="17"/>
      <c r="C20" s="17"/>
      <c r="D20" s="34"/>
      <c r="E20" s="15"/>
      <c r="F20" s="18"/>
      <c r="G20" s="18"/>
    </row>
    <row r="21" spans="1:7" ht="12.75">
      <c r="A21" s="17"/>
      <c r="B21" s="17"/>
      <c r="C21" s="17"/>
      <c r="D21" s="20"/>
      <c r="E21" s="20"/>
      <c r="F21" s="18"/>
      <c r="G21" s="18"/>
    </row>
    <row r="22" spans="1:7" ht="13.5" thickBot="1">
      <c r="A22" s="14" t="s">
        <v>192</v>
      </c>
      <c r="B22" s="17"/>
      <c r="C22" s="17"/>
      <c r="D22" s="20"/>
      <c r="E22" s="20"/>
      <c r="F22" s="94">
        <v>38261</v>
      </c>
      <c r="G22" s="220">
        <f>F22</f>
        <v>38261</v>
      </c>
    </row>
    <row r="23" spans="1:7" ht="13.5" thickTop="1">
      <c r="A23" s="35" t="s">
        <v>42</v>
      </c>
      <c r="B23" s="35"/>
      <c r="C23" s="35"/>
      <c r="D23" s="36" t="s">
        <v>43</v>
      </c>
      <c r="E23" s="36" t="s">
        <v>44</v>
      </c>
      <c r="F23" s="2"/>
      <c r="G23" s="221" t="s">
        <v>45</v>
      </c>
    </row>
    <row r="24" spans="1:7" ht="13.5" thickBot="1">
      <c r="A24" s="14"/>
      <c r="B24" s="14"/>
      <c r="C24" s="14"/>
      <c r="D24" s="15"/>
      <c r="E24" s="15" t="s">
        <v>46</v>
      </c>
      <c r="F24" s="3"/>
      <c r="G24" s="222" t="s">
        <v>47</v>
      </c>
    </row>
    <row r="25" spans="1:7" ht="13.5" thickTop="1">
      <c r="A25" s="37" t="s">
        <v>86</v>
      </c>
      <c r="B25" s="37"/>
      <c r="C25" s="37"/>
      <c r="D25" s="38" t="s">
        <v>48</v>
      </c>
      <c r="E25" s="39">
        <v>0.5</v>
      </c>
      <c r="F25" s="4">
        <v>480</v>
      </c>
      <c r="G25" s="5">
        <f aca="true" t="shared" si="0" ref="G25:G33">F25*$E25</f>
        <v>240</v>
      </c>
    </row>
    <row r="26" spans="1:7" ht="12.75">
      <c r="A26" s="17" t="s">
        <v>87</v>
      </c>
      <c r="B26" s="17"/>
      <c r="C26" s="17"/>
      <c r="D26" s="20" t="s">
        <v>48</v>
      </c>
      <c r="E26" s="41">
        <v>0.6</v>
      </c>
      <c r="F26" s="7">
        <v>749</v>
      </c>
      <c r="G26" s="5">
        <f t="shared" si="0"/>
        <v>449.4</v>
      </c>
    </row>
    <row r="27" spans="1:7" ht="12.75">
      <c r="A27" s="17" t="s">
        <v>88</v>
      </c>
      <c r="B27" s="17"/>
      <c r="C27" s="17"/>
      <c r="D27" s="20" t="s">
        <v>48</v>
      </c>
      <c r="E27" s="42">
        <v>0.05</v>
      </c>
      <c r="F27" s="7">
        <v>1000</v>
      </c>
      <c r="G27" s="5">
        <f t="shared" si="0"/>
        <v>50</v>
      </c>
    </row>
    <row r="28" spans="1:7" ht="12.75">
      <c r="A28" s="17" t="s">
        <v>89</v>
      </c>
      <c r="B28" s="17"/>
      <c r="C28" s="17"/>
      <c r="D28" s="20" t="s">
        <v>48</v>
      </c>
      <c r="E28" s="41">
        <v>2</v>
      </c>
      <c r="F28" s="4">
        <v>33</v>
      </c>
      <c r="G28" s="5">
        <f t="shared" si="0"/>
        <v>66</v>
      </c>
    </row>
    <row r="29" spans="1:7" ht="12.75">
      <c r="A29" s="17" t="s">
        <v>90</v>
      </c>
      <c r="B29" s="17"/>
      <c r="C29" s="17"/>
      <c r="D29" s="20" t="s">
        <v>48</v>
      </c>
      <c r="E29" s="41">
        <v>0.3</v>
      </c>
      <c r="F29" s="4">
        <v>777</v>
      </c>
      <c r="G29" s="5">
        <f t="shared" si="0"/>
        <v>233.1</v>
      </c>
    </row>
    <row r="30" spans="1:7" ht="12.75">
      <c r="A30" s="17" t="s">
        <v>91</v>
      </c>
      <c r="B30" s="17"/>
      <c r="C30" s="17"/>
      <c r="D30" s="20" t="s">
        <v>50</v>
      </c>
      <c r="E30" s="41">
        <v>1</v>
      </c>
      <c r="F30" s="7">
        <v>24</v>
      </c>
      <c r="G30" s="5">
        <f t="shared" si="0"/>
        <v>24</v>
      </c>
    </row>
    <row r="31" spans="1:7" ht="12.75">
      <c r="A31" s="17" t="s">
        <v>92</v>
      </c>
      <c r="B31" s="17"/>
      <c r="C31" s="17"/>
      <c r="D31" s="20" t="s">
        <v>49</v>
      </c>
      <c r="E31" s="41">
        <v>13</v>
      </c>
      <c r="F31" s="4">
        <v>5.09</v>
      </c>
      <c r="G31" s="5">
        <f t="shared" si="0"/>
        <v>66.17</v>
      </c>
    </row>
    <row r="32" spans="1:7" ht="12.75">
      <c r="A32" s="17" t="s">
        <v>224</v>
      </c>
      <c r="B32" s="17"/>
      <c r="C32" s="17"/>
      <c r="D32" s="20" t="s">
        <v>93</v>
      </c>
      <c r="E32" s="41">
        <v>3</v>
      </c>
      <c r="F32" s="40">
        <v>22</v>
      </c>
      <c r="G32" s="5">
        <f t="shared" si="0"/>
        <v>66</v>
      </c>
    </row>
    <row r="33" spans="1:7" ht="12.75">
      <c r="A33" s="17" t="s">
        <v>94</v>
      </c>
      <c r="B33" s="17"/>
      <c r="C33" s="17"/>
      <c r="D33" s="20" t="s">
        <v>49</v>
      </c>
      <c r="E33" s="41">
        <v>2.5</v>
      </c>
      <c r="F33" s="7">
        <v>3.2</v>
      </c>
      <c r="G33" s="5">
        <f t="shared" si="0"/>
        <v>8</v>
      </c>
    </row>
    <row r="34" spans="1:7" ht="13.5" thickBot="1">
      <c r="A34" s="31" t="s">
        <v>56</v>
      </c>
      <c r="B34" s="25"/>
      <c r="C34" s="25"/>
      <c r="D34" s="26"/>
      <c r="E34" s="43"/>
      <c r="F34" s="45"/>
      <c r="G34" s="223">
        <f>SUM(G25:G33)</f>
        <v>1202.67</v>
      </c>
    </row>
    <row r="35" spans="1:7" ht="12.75">
      <c r="A35" s="46" t="s">
        <v>52</v>
      </c>
      <c r="B35" s="47"/>
      <c r="C35" s="47"/>
      <c r="D35" s="48"/>
      <c r="E35" s="49"/>
      <c r="F35" s="50"/>
      <c r="G35" s="224"/>
    </row>
    <row r="36" spans="1:7" ht="12.75">
      <c r="A36" s="6" t="s">
        <v>95</v>
      </c>
      <c r="B36" s="6"/>
      <c r="C36" s="6"/>
      <c r="D36" s="51" t="s">
        <v>53</v>
      </c>
      <c r="E36" s="52">
        <v>0.12</v>
      </c>
      <c r="F36" s="7">
        <v>20.644515</v>
      </c>
      <c r="G36" s="5">
        <f aca="true" t="shared" si="1" ref="G36:G69">F36*$E36</f>
        <v>2.4773417999999996</v>
      </c>
    </row>
    <row r="37" spans="1:7" ht="12.75">
      <c r="A37" s="6" t="s">
        <v>96</v>
      </c>
      <c r="B37" s="6"/>
      <c r="C37" s="6"/>
      <c r="D37" s="51" t="s">
        <v>53</v>
      </c>
      <c r="E37" s="52">
        <v>1.73</v>
      </c>
      <c r="F37" s="7">
        <v>20.058425</v>
      </c>
      <c r="G37" s="5">
        <f t="shared" si="1"/>
        <v>34.70107525</v>
      </c>
    </row>
    <row r="38" spans="1:7" ht="12.75">
      <c r="A38" s="6" t="s">
        <v>54</v>
      </c>
      <c r="B38" s="6"/>
      <c r="C38" s="6"/>
      <c r="D38" s="51" t="s">
        <v>53</v>
      </c>
      <c r="E38" s="52">
        <v>0.62</v>
      </c>
      <c r="F38" s="7">
        <v>20.543464999999998</v>
      </c>
      <c r="G38" s="5">
        <f t="shared" si="1"/>
        <v>12.736948299999998</v>
      </c>
    </row>
    <row r="39" spans="1:7" ht="12.75">
      <c r="A39" s="6" t="s">
        <v>55</v>
      </c>
      <c r="B39" s="6"/>
      <c r="C39" s="6"/>
      <c r="D39" s="11" t="s">
        <v>97</v>
      </c>
      <c r="E39" s="52">
        <v>0.5</v>
      </c>
      <c r="F39" s="7">
        <v>19.84622</v>
      </c>
      <c r="G39" s="5">
        <f t="shared" si="1"/>
        <v>9.92311</v>
      </c>
    </row>
    <row r="40" spans="1:7" ht="13.5" thickBot="1">
      <c r="A40" s="53" t="s">
        <v>56</v>
      </c>
      <c r="B40" s="54"/>
      <c r="C40" s="54"/>
      <c r="D40" s="55"/>
      <c r="E40" s="43"/>
      <c r="F40" s="44"/>
      <c r="G40" s="9">
        <f>SUM(G36:G39)</f>
        <v>59.83847535</v>
      </c>
    </row>
    <row r="41" spans="1:7" ht="12.75">
      <c r="A41" s="46" t="s">
        <v>98</v>
      </c>
      <c r="B41" s="47"/>
      <c r="C41" s="47"/>
      <c r="D41" s="48"/>
      <c r="E41" s="49"/>
      <c r="F41" s="50"/>
      <c r="G41" s="224"/>
    </row>
    <row r="42" spans="1:7" ht="12.75">
      <c r="A42" s="25" t="s">
        <v>99</v>
      </c>
      <c r="B42" s="25"/>
      <c r="C42" s="25"/>
      <c r="D42" s="26" t="s">
        <v>53</v>
      </c>
      <c r="E42" s="56">
        <v>1</v>
      </c>
      <c r="F42" s="7">
        <v>20.644515</v>
      </c>
      <c r="G42" s="5">
        <f t="shared" si="1"/>
        <v>20.644515</v>
      </c>
    </row>
    <row r="43" spans="1:7" ht="12.75">
      <c r="A43" s="17" t="s">
        <v>100</v>
      </c>
      <c r="B43" s="25"/>
      <c r="C43" s="25"/>
      <c r="D43" s="26" t="s">
        <v>53</v>
      </c>
      <c r="E43" s="56">
        <v>0.29</v>
      </c>
      <c r="F43" s="7">
        <v>20.644515</v>
      </c>
      <c r="G43" s="5">
        <f t="shared" si="1"/>
        <v>5.9869093499999995</v>
      </c>
    </row>
    <row r="44" spans="1:7" ht="12.75">
      <c r="A44" s="17" t="s">
        <v>101</v>
      </c>
      <c r="B44" s="17"/>
      <c r="C44" s="17"/>
      <c r="D44" s="20" t="s">
        <v>53</v>
      </c>
      <c r="E44" s="42">
        <v>0.29</v>
      </c>
      <c r="F44" s="7">
        <v>20.644515</v>
      </c>
      <c r="G44" s="5">
        <f t="shared" si="1"/>
        <v>5.9869093499999995</v>
      </c>
    </row>
    <row r="45" spans="1:7" ht="12.75">
      <c r="A45" s="17" t="s">
        <v>102</v>
      </c>
      <c r="B45" s="17"/>
      <c r="C45" s="17"/>
      <c r="D45" s="20" t="s">
        <v>53</v>
      </c>
      <c r="E45" s="42">
        <v>0.29</v>
      </c>
      <c r="F45" s="7">
        <v>20.644515</v>
      </c>
      <c r="G45" s="5">
        <f t="shared" si="1"/>
        <v>5.9869093499999995</v>
      </c>
    </row>
    <row r="46" spans="1:7" ht="12.75">
      <c r="A46" s="17" t="s">
        <v>103</v>
      </c>
      <c r="B46" s="17"/>
      <c r="C46" s="17"/>
      <c r="D46" s="20" t="s">
        <v>53</v>
      </c>
      <c r="E46" s="42">
        <v>0.25</v>
      </c>
      <c r="F46" s="7">
        <v>20.523255</v>
      </c>
      <c r="G46" s="5">
        <f t="shared" si="1"/>
        <v>5.13081375</v>
      </c>
    </row>
    <row r="47" spans="1:7" ht="12.75">
      <c r="A47" s="17" t="s">
        <v>104</v>
      </c>
      <c r="B47" s="17"/>
      <c r="C47" s="17"/>
      <c r="D47" s="20" t="s">
        <v>53</v>
      </c>
      <c r="E47" s="42">
        <v>1</v>
      </c>
      <c r="F47" s="7">
        <v>1.2126</v>
      </c>
      <c r="G47" s="5">
        <f t="shared" si="1"/>
        <v>1.2126</v>
      </c>
    </row>
    <row r="48" spans="1:7" ht="12.75">
      <c r="A48" s="17" t="s">
        <v>105</v>
      </c>
      <c r="B48" s="17"/>
      <c r="C48" s="17"/>
      <c r="D48" s="20" t="s">
        <v>53</v>
      </c>
      <c r="E48" s="42">
        <v>1</v>
      </c>
      <c r="F48" s="7">
        <v>17.1785</v>
      </c>
      <c r="G48" s="5">
        <f t="shared" si="1"/>
        <v>17.1785</v>
      </c>
    </row>
    <row r="49" spans="1:7" ht="13.5" thickBot="1">
      <c r="A49" s="53" t="s">
        <v>56</v>
      </c>
      <c r="B49" s="54"/>
      <c r="C49" s="54"/>
      <c r="D49" s="55"/>
      <c r="E49" s="43"/>
      <c r="F49" s="44"/>
      <c r="G49" s="9">
        <f>SUM(G42:G48)</f>
        <v>62.127156799999995</v>
      </c>
    </row>
    <row r="50" spans="1:7" ht="12.75">
      <c r="A50" s="57" t="s">
        <v>106</v>
      </c>
      <c r="B50" s="57"/>
      <c r="C50" s="57"/>
      <c r="D50" s="58" t="s">
        <v>107</v>
      </c>
      <c r="E50" s="59"/>
      <c r="F50" s="60"/>
      <c r="G50" s="61">
        <f>SUM(G49,G40,G34)</f>
        <v>1324.63563215</v>
      </c>
    </row>
    <row r="51" spans="1:7" ht="12.75">
      <c r="A51" s="17"/>
      <c r="B51" s="17"/>
      <c r="C51" s="17"/>
      <c r="D51" s="20"/>
      <c r="E51" s="41"/>
      <c r="F51" s="4"/>
      <c r="G51" s="5"/>
    </row>
    <row r="52" spans="1:7" ht="13.5" thickBot="1">
      <c r="A52" s="14" t="s">
        <v>40</v>
      </c>
      <c r="B52" s="17"/>
      <c r="C52" s="17"/>
      <c r="D52" s="20"/>
      <c r="E52" s="62"/>
      <c r="F52" s="63"/>
      <c r="G52" s="225"/>
    </row>
    <row r="53" spans="1:7" ht="13.5" thickTop="1">
      <c r="A53" s="35" t="s">
        <v>42</v>
      </c>
      <c r="B53" s="35"/>
      <c r="C53" s="35"/>
      <c r="D53" s="36" t="s">
        <v>43</v>
      </c>
      <c r="E53" s="64" t="s">
        <v>44</v>
      </c>
      <c r="F53" s="4"/>
      <c r="G53" s="5"/>
    </row>
    <row r="54" spans="1:7" ht="12.75">
      <c r="A54" s="65"/>
      <c r="B54" s="65"/>
      <c r="C54" s="65"/>
      <c r="D54" s="66"/>
      <c r="E54" s="67" t="s">
        <v>46</v>
      </c>
      <c r="F54" s="45"/>
      <c r="G54" s="226"/>
    </row>
    <row r="55" spans="1:7" ht="12.75">
      <c r="A55" s="17" t="s">
        <v>108</v>
      </c>
      <c r="B55" s="17"/>
      <c r="C55" s="17"/>
      <c r="D55" s="20" t="s">
        <v>48</v>
      </c>
      <c r="E55" s="56">
        <v>1</v>
      </c>
      <c r="F55" s="7">
        <f>F26</f>
        <v>749</v>
      </c>
      <c r="G55" s="5">
        <f t="shared" si="1"/>
        <v>749</v>
      </c>
    </row>
    <row r="56" spans="1:7" ht="12.75">
      <c r="A56" s="17" t="s">
        <v>109</v>
      </c>
      <c r="B56" s="17"/>
      <c r="C56" s="17"/>
      <c r="D56" s="20" t="s">
        <v>48</v>
      </c>
      <c r="E56" s="42">
        <v>0.25</v>
      </c>
      <c r="F56" s="4">
        <f>F25</f>
        <v>480</v>
      </c>
      <c r="G56" s="5">
        <f t="shared" si="1"/>
        <v>120</v>
      </c>
    </row>
    <row r="57" spans="1:7" ht="12.75">
      <c r="A57" s="17" t="s">
        <v>110</v>
      </c>
      <c r="B57" s="17"/>
      <c r="C57" s="17"/>
      <c r="D57" s="20" t="s">
        <v>48</v>
      </c>
      <c r="E57" s="42">
        <v>1</v>
      </c>
      <c r="F57" s="4">
        <f>F28</f>
        <v>33</v>
      </c>
      <c r="G57" s="5">
        <f t="shared" si="1"/>
        <v>33</v>
      </c>
    </row>
    <row r="58" spans="1:7" ht="12.75">
      <c r="A58" s="17" t="s">
        <v>111</v>
      </c>
      <c r="B58" s="17"/>
      <c r="C58" s="17"/>
      <c r="D58" s="20" t="s">
        <v>48</v>
      </c>
      <c r="E58" s="42">
        <v>0.5</v>
      </c>
      <c r="F58" s="4">
        <v>621</v>
      </c>
      <c r="G58" s="5">
        <f t="shared" si="1"/>
        <v>310.5</v>
      </c>
    </row>
    <row r="59" spans="1:7" ht="13.5" thickBot="1">
      <c r="A59" s="14" t="s">
        <v>56</v>
      </c>
      <c r="B59" s="17"/>
      <c r="C59" s="17"/>
      <c r="D59" s="20"/>
      <c r="E59" s="43"/>
      <c r="F59" s="44"/>
      <c r="G59" s="9">
        <f>SUM(G55:G58)</f>
        <v>1212.5</v>
      </c>
    </row>
    <row r="60" spans="1:7" ht="12.75">
      <c r="A60" s="46" t="s">
        <v>65</v>
      </c>
      <c r="B60" s="47"/>
      <c r="C60" s="47"/>
      <c r="D60" s="48"/>
      <c r="E60" s="49"/>
      <c r="F60" s="50"/>
      <c r="G60" s="224"/>
    </row>
    <row r="61" spans="1:7" ht="12.75">
      <c r="A61" s="1" t="s">
        <v>66</v>
      </c>
      <c r="B61" s="1"/>
      <c r="C61" s="1"/>
      <c r="D61" s="11" t="s">
        <v>69</v>
      </c>
      <c r="E61" s="68">
        <v>4</v>
      </c>
      <c r="F61" s="7">
        <v>37.598043066818185</v>
      </c>
      <c r="G61" s="5">
        <f>F61*$E61</f>
        <v>150.39217226727274</v>
      </c>
    </row>
    <row r="62" spans="1:7" ht="12.75">
      <c r="A62" s="1" t="s">
        <v>67</v>
      </c>
      <c r="B62" s="1"/>
      <c r="C62" s="1"/>
      <c r="D62" s="11" t="s">
        <v>69</v>
      </c>
      <c r="E62" s="68">
        <v>4</v>
      </c>
      <c r="F62" s="7">
        <v>114.58451220363636</v>
      </c>
      <c r="G62" s="5">
        <f>F62*$E62</f>
        <v>458.33804881454546</v>
      </c>
    </row>
    <row r="63" spans="1:7" ht="12.75">
      <c r="A63" s="1" t="s">
        <v>68</v>
      </c>
      <c r="B63" s="1"/>
      <c r="C63" s="1"/>
      <c r="D63" s="11" t="s">
        <v>69</v>
      </c>
      <c r="E63" s="68">
        <v>4</v>
      </c>
      <c r="F63" s="7">
        <v>21.482223921900005</v>
      </c>
      <c r="G63" s="5">
        <f>F63*$E63</f>
        <v>85.92889568760002</v>
      </c>
    </row>
    <row r="64" spans="1:7" ht="13.5" thickBot="1">
      <c r="A64" s="8" t="s">
        <v>56</v>
      </c>
      <c r="B64" s="8"/>
      <c r="C64" s="8"/>
      <c r="D64" s="12"/>
      <c r="E64" s="69"/>
      <c r="F64" s="44"/>
      <c r="G64" s="9">
        <f>SUM(G61:G63)</f>
        <v>694.6591167694182</v>
      </c>
    </row>
    <row r="65" spans="1:7" ht="12.75">
      <c r="A65" s="46" t="s">
        <v>112</v>
      </c>
      <c r="B65" s="47"/>
      <c r="C65" s="47"/>
      <c r="D65" s="48"/>
      <c r="E65" s="49"/>
      <c r="F65" s="50"/>
      <c r="G65" s="224"/>
    </row>
    <row r="66" spans="1:7" ht="12.75">
      <c r="A66" s="17" t="s">
        <v>113</v>
      </c>
      <c r="B66" s="17"/>
      <c r="C66" s="17"/>
      <c r="D66" s="20" t="s">
        <v>53</v>
      </c>
      <c r="E66" s="42">
        <v>0.29</v>
      </c>
      <c r="F66" s="7">
        <v>20.644515</v>
      </c>
      <c r="G66" s="5">
        <f t="shared" si="1"/>
        <v>5.9869093499999995</v>
      </c>
    </row>
    <row r="67" spans="1:7" ht="12.75">
      <c r="A67" s="17" t="s">
        <v>114</v>
      </c>
      <c r="B67" s="17"/>
      <c r="C67" s="17"/>
      <c r="D67" s="20" t="s">
        <v>53</v>
      </c>
      <c r="E67" s="42">
        <v>0.29</v>
      </c>
      <c r="F67" s="7">
        <v>20.644515</v>
      </c>
      <c r="G67" s="5">
        <f t="shared" si="1"/>
        <v>5.9869093499999995</v>
      </c>
    </row>
    <row r="68" spans="1:7" ht="12.75">
      <c r="A68" s="17" t="s">
        <v>115</v>
      </c>
      <c r="B68" s="17"/>
      <c r="C68" s="17"/>
      <c r="D68" s="20" t="s">
        <v>53</v>
      </c>
      <c r="E68" s="42">
        <v>0.29</v>
      </c>
      <c r="F68" s="7">
        <v>20.644515</v>
      </c>
      <c r="G68" s="5">
        <f t="shared" si="1"/>
        <v>5.9869093499999995</v>
      </c>
    </row>
    <row r="69" spans="1:7" ht="12.75">
      <c r="A69" s="17" t="s">
        <v>116</v>
      </c>
      <c r="B69" s="17"/>
      <c r="C69" s="17"/>
      <c r="D69" s="20" t="s">
        <v>53</v>
      </c>
      <c r="E69" s="42">
        <v>0.29</v>
      </c>
      <c r="F69" s="7">
        <v>20.644515</v>
      </c>
      <c r="G69" s="5">
        <f t="shared" si="1"/>
        <v>5.9869093499999995</v>
      </c>
    </row>
    <row r="70" spans="1:7" ht="13.5" thickBot="1">
      <c r="A70" s="17" t="s">
        <v>56</v>
      </c>
      <c r="B70" s="17"/>
      <c r="C70" s="17"/>
      <c r="D70" s="20"/>
      <c r="E70" s="62"/>
      <c r="F70" s="63"/>
      <c r="G70" s="70">
        <f>SUM(G66:G69)</f>
        <v>23.947637399999998</v>
      </c>
    </row>
    <row r="71" spans="1:7" ht="14.25" thickBot="1" thickTop="1">
      <c r="A71" s="35" t="s">
        <v>117</v>
      </c>
      <c r="B71" s="21"/>
      <c r="C71" s="21"/>
      <c r="D71" s="23"/>
      <c r="E71" s="55"/>
      <c r="F71" s="44"/>
      <c r="G71" s="227"/>
    </row>
    <row r="72" spans="1:7" ht="13.5" thickBot="1">
      <c r="A72" s="46" t="s">
        <v>118</v>
      </c>
      <c r="B72" s="47"/>
      <c r="C72" s="48"/>
      <c r="D72" s="71" t="s">
        <v>43</v>
      </c>
      <c r="E72" s="67" t="s">
        <v>119</v>
      </c>
      <c r="F72" s="72"/>
      <c r="G72" s="228"/>
    </row>
    <row r="73" spans="1:7" ht="12.75">
      <c r="A73" s="17" t="s">
        <v>120</v>
      </c>
      <c r="B73" s="17"/>
      <c r="C73" s="17"/>
      <c r="D73" s="20" t="s">
        <v>53</v>
      </c>
      <c r="E73" s="42">
        <f>D16/10/7</f>
        <v>17.857142857142858</v>
      </c>
      <c r="F73" s="73">
        <v>18.415218398015263</v>
      </c>
      <c r="G73" s="5">
        <f>F73*$E73</f>
        <v>328.843185678844</v>
      </c>
    </row>
    <row r="74" spans="1:7" ht="12.75">
      <c r="A74" s="17" t="s">
        <v>121</v>
      </c>
      <c r="B74" s="17"/>
      <c r="C74" s="17"/>
      <c r="D74" s="20" t="s">
        <v>53</v>
      </c>
      <c r="E74" s="42">
        <f>E73</f>
        <v>17.857142857142858</v>
      </c>
      <c r="F74" s="7">
        <v>27.798855</v>
      </c>
      <c r="G74" s="5">
        <f>F74*$E74</f>
        <v>496.408125</v>
      </c>
    </row>
    <row r="75" spans="1:7" ht="12.75">
      <c r="A75" s="17" t="s">
        <v>105</v>
      </c>
      <c r="B75" s="17"/>
      <c r="C75" s="17"/>
      <c r="D75" s="20" t="s">
        <v>53</v>
      </c>
      <c r="E75" s="42">
        <f>E74*1.2</f>
        <v>21.428571428571427</v>
      </c>
      <c r="F75" s="7">
        <v>17.1785</v>
      </c>
      <c r="G75" s="5">
        <f>F75*$E75</f>
        <v>368.11071428571427</v>
      </c>
    </row>
    <row r="76" spans="1:7" ht="12.75">
      <c r="A76" s="17" t="s">
        <v>122</v>
      </c>
      <c r="B76" s="17"/>
      <c r="C76" s="17"/>
      <c r="D76" s="20" t="s">
        <v>53</v>
      </c>
      <c r="E76" s="42">
        <v>6</v>
      </c>
      <c r="F76" s="7">
        <v>4.52704</v>
      </c>
      <c r="G76" s="5">
        <f>F76*$E76</f>
        <v>27.162240000000004</v>
      </c>
    </row>
    <row r="77" spans="1:7" ht="12.75">
      <c r="A77" s="17" t="s">
        <v>123</v>
      </c>
      <c r="B77" s="17"/>
      <c r="C77" s="17"/>
      <c r="D77" s="20" t="s">
        <v>51</v>
      </c>
      <c r="E77" s="42">
        <v>400</v>
      </c>
      <c r="F77" s="7">
        <v>0.30125760282453024</v>
      </c>
      <c r="G77" s="5">
        <f>F77*$E77</f>
        <v>120.50304112981209</v>
      </c>
    </row>
    <row r="78" spans="1:7" ht="13.5" thickBot="1">
      <c r="A78" s="53" t="s">
        <v>56</v>
      </c>
      <c r="B78" s="54"/>
      <c r="C78" s="54"/>
      <c r="D78" s="55"/>
      <c r="E78" s="77"/>
      <c r="F78" s="44"/>
      <c r="G78" s="9">
        <f>SUM(G73:G77)</f>
        <v>1341.0273060943705</v>
      </c>
    </row>
    <row r="79" spans="1:7" ht="12.75">
      <c r="A79" s="65" t="s">
        <v>124</v>
      </c>
      <c r="B79" s="74"/>
      <c r="C79" s="74"/>
      <c r="D79" s="75"/>
      <c r="E79" s="76"/>
      <c r="F79" s="45"/>
      <c r="G79" s="226"/>
    </row>
    <row r="80" spans="1:7" ht="12.75">
      <c r="A80" s="17" t="s">
        <v>125</v>
      </c>
      <c r="B80" s="17"/>
      <c r="C80" s="17"/>
      <c r="D80" s="20" t="s">
        <v>53</v>
      </c>
      <c r="E80" s="56">
        <f>D18/0.6/10</f>
        <v>156.25</v>
      </c>
      <c r="F80" s="73">
        <v>4.52704</v>
      </c>
      <c r="G80" s="5">
        <f>F80*$E80</f>
        <v>707.35</v>
      </c>
    </row>
    <row r="81" spans="1:7" ht="12.75">
      <c r="A81" s="17" t="s">
        <v>126</v>
      </c>
      <c r="B81" s="17"/>
      <c r="C81" s="17"/>
      <c r="D81" s="20" t="s">
        <v>53</v>
      </c>
      <c r="E81" s="42">
        <v>32</v>
      </c>
      <c r="F81" s="73">
        <v>15.220017398015266</v>
      </c>
      <c r="G81" s="5">
        <f>F81*$E81</f>
        <v>487.0405567364885</v>
      </c>
    </row>
    <row r="82" spans="1:7" ht="12.75">
      <c r="A82" s="17" t="s">
        <v>127</v>
      </c>
      <c r="B82" s="17"/>
      <c r="C82" s="17"/>
      <c r="D82" s="20" t="s">
        <v>53</v>
      </c>
      <c r="E82" s="42">
        <v>32</v>
      </c>
      <c r="F82" s="73">
        <v>4.52704</v>
      </c>
      <c r="G82" s="5">
        <f>F82*$E82</f>
        <v>144.86528</v>
      </c>
    </row>
    <row r="83" spans="1:7" ht="12.75">
      <c r="A83" s="65" t="s">
        <v>56</v>
      </c>
      <c r="B83" s="74"/>
      <c r="C83" s="74"/>
      <c r="D83" s="75"/>
      <c r="E83" s="76"/>
      <c r="F83" s="45"/>
      <c r="G83" s="223">
        <f>SUM(G80:G82)</f>
        <v>1339.2558367364886</v>
      </c>
    </row>
    <row r="84" spans="1:7" ht="12.75">
      <c r="A84" s="95"/>
      <c r="B84" s="95"/>
      <c r="C84" s="95"/>
      <c r="D84" s="95"/>
      <c r="E84" s="95"/>
      <c r="F84" s="95"/>
      <c r="G84" s="95"/>
    </row>
    <row r="85" spans="1:7" ht="13.5" thickBot="1">
      <c r="A85" s="53"/>
      <c r="B85" s="54"/>
      <c r="C85" s="54"/>
      <c r="D85" s="55"/>
      <c r="E85" s="77"/>
      <c r="F85" s="44"/>
      <c r="G85" s="44"/>
    </row>
    <row r="86" spans="1:7" ht="13.5" thickBot="1">
      <c r="A86" s="78" t="s">
        <v>128</v>
      </c>
      <c r="B86" s="78"/>
      <c r="C86" s="78"/>
      <c r="D86" s="79" t="s">
        <v>129</v>
      </c>
      <c r="E86" s="80"/>
      <c r="F86" s="81"/>
      <c r="G86" s="82">
        <f>SUM(G59,G64,G70)*9</f>
        <v>17379.960787524764</v>
      </c>
    </row>
    <row r="87" spans="1:7" ht="13.5" thickBot="1">
      <c r="A87" s="78" t="s">
        <v>130</v>
      </c>
      <c r="B87" s="78"/>
      <c r="C87" s="78"/>
      <c r="D87" s="79" t="s">
        <v>131</v>
      </c>
      <c r="E87" s="80"/>
      <c r="F87" s="81"/>
      <c r="G87" s="82">
        <f>(G78+G83)*10</f>
        <v>26802.831428308593</v>
      </c>
    </row>
    <row r="88" spans="1:7" ht="13.5" thickBot="1">
      <c r="A88" s="78" t="s">
        <v>132</v>
      </c>
      <c r="B88" s="78"/>
      <c r="C88" s="78"/>
      <c r="D88" s="79" t="s">
        <v>131</v>
      </c>
      <c r="E88" s="80"/>
      <c r="F88" s="81"/>
      <c r="G88" s="82">
        <f>G50+(G59+G64+G70)*9+(G78+G83)*10</f>
        <v>45507.42784798336</v>
      </c>
    </row>
    <row r="89" spans="1:7" ht="13.5" thickBot="1">
      <c r="A89" s="83"/>
      <c r="B89" s="83"/>
      <c r="C89" s="83"/>
      <c r="D89" s="84"/>
      <c r="E89" s="85"/>
      <c r="F89" s="72"/>
      <c r="G89" s="72"/>
    </row>
    <row r="90" spans="1:7" ht="14.25" thickBot="1">
      <c r="A90" s="86" t="s">
        <v>133</v>
      </c>
      <c r="B90" s="87"/>
      <c r="C90" s="87"/>
      <c r="D90" s="88"/>
      <c r="E90" s="88"/>
      <c r="F90" s="87"/>
      <c r="G90" s="89">
        <f>G88/10</f>
        <v>4550.742784798336</v>
      </c>
    </row>
    <row r="91" spans="1:7" ht="14.25" thickBot="1">
      <c r="A91" s="90" t="s">
        <v>134</v>
      </c>
      <c r="B91" s="91"/>
      <c r="C91" s="91"/>
      <c r="D91" s="92"/>
      <c r="E91" s="92"/>
      <c r="F91" s="91"/>
      <c r="G91" s="93">
        <f>G88/D18</f>
        <v>48.54125637118225</v>
      </c>
    </row>
    <row r="92" spans="1:7" ht="14.25" thickBot="1">
      <c r="A92" s="90" t="s">
        <v>135</v>
      </c>
      <c r="B92" s="91"/>
      <c r="C92" s="91"/>
      <c r="D92" s="92"/>
      <c r="E92" s="92"/>
      <c r="F92" s="91"/>
      <c r="G92" s="93">
        <f>G88/D19</f>
        <v>242.70628185591124</v>
      </c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5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4.57421875" style="2" customWidth="1"/>
    <col min="2" max="2" width="17.28125" style="2" customWidth="1"/>
    <col min="3" max="3" width="11.00390625" style="2" bestFit="1" customWidth="1"/>
    <col min="4" max="4" width="9.7109375" style="13" customWidth="1"/>
    <col min="5" max="5" width="16.7109375" style="2" customWidth="1"/>
    <col min="6" max="6" width="24.421875" style="2" bestFit="1" customWidth="1"/>
    <col min="7" max="7" width="17.00390625" style="2" bestFit="1" customWidth="1"/>
    <col min="8" max="8" width="14.00390625" style="2" customWidth="1"/>
    <col min="9" max="10" width="13.28125" style="2" customWidth="1"/>
    <col min="11" max="46" width="10.57421875" style="2" bestFit="1" customWidth="1"/>
    <col min="47" max="16384" width="9.140625" style="2" customWidth="1"/>
  </cols>
  <sheetData>
    <row r="1" spans="1:7" ht="15">
      <c r="A1" s="161" t="s">
        <v>57</v>
      </c>
      <c r="B1" s="161"/>
      <c r="C1" s="161"/>
      <c r="D1" s="162" t="s">
        <v>193</v>
      </c>
      <c r="E1" s="16"/>
      <c r="F1" s="18"/>
      <c r="G1" s="18"/>
    </row>
    <row r="2" spans="1:7" ht="15">
      <c r="A2" s="161" t="s">
        <v>58</v>
      </c>
      <c r="B2" s="161"/>
      <c r="C2" s="161"/>
      <c r="D2" s="162" t="s">
        <v>59</v>
      </c>
      <c r="E2" s="15"/>
      <c r="F2" s="18"/>
      <c r="G2" s="18"/>
    </row>
    <row r="3" spans="1:7" ht="15">
      <c r="A3" s="161" t="s">
        <v>60</v>
      </c>
      <c r="B3" s="161"/>
      <c r="C3" s="161"/>
      <c r="D3" s="162" t="s">
        <v>136</v>
      </c>
      <c r="E3" s="15"/>
      <c r="F3" s="18"/>
      <c r="G3" s="18"/>
    </row>
    <row r="4" spans="1:7" ht="15">
      <c r="A4" s="161" t="s">
        <v>61</v>
      </c>
      <c r="B4" s="161"/>
      <c r="C4" s="161"/>
      <c r="D4" s="163">
        <v>38261</v>
      </c>
      <c r="E4" s="15"/>
      <c r="F4" s="18"/>
      <c r="G4" s="18"/>
    </row>
    <row r="5" spans="1:7" ht="15">
      <c r="A5" s="161" t="s">
        <v>62</v>
      </c>
      <c r="B5" s="161"/>
      <c r="C5" s="161"/>
      <c r="D5" s="162" t="s">
        <v>70</v>
      </c>
      <c r="E5" s="20"/>
      <c r="F5" s="18"/>
      <c r="G5" s="18"/>
    </row>
    <row r="6" spans="1:7" ht="12.75">
      <c r="A6" s="17"/>
      <c r="B6" s="17"/>
      <c r="C6" s="17"/>
      <c r="D6" s="20"/>
      <c r="E6" s="20"/>
      <c r="F6" s="18"/>
      <c r="G6" s="18"/>
    </row>
    <row r="7" spans="1:7" ht="13.5" thickBot="1">
      <c r="A7" s="14" t="s">
        <v>63</v>
      </c>
      <c r="B7" s="17"/>
      <c r="C7" s="17"/>
      <c r="D7" s="20"/>
      <c r="E7" s="20"/>
      <c r="F7" s="18"/>
      <c r="G7" s="18"/>
    </row>
    <row r="8" spans="1:7" ht="13.5" thickTop="1">
      <c r="A8" s="21" t="s">
        <v>71</v>
      </c>
      <c r="B8" s="21"/>
      <c r="C8" s="21"/>
      <c r="D8" s="22">
        <f>D9*D14</f>
        <v>25</v>
      </c>
      <c r="E8" s="23" t="s">
        <v>41</v>
      </c>
      <c r="F8" s="18"/>
      <c r="G8" s="18"/>
    </row>
    <row r="9" spans="1:7" ht="12.75">
      <c r="A9" s="17" t="s">
        <v>72</v>
      </c>
      <c r="B9" s="17"/>
      <c r="C9" s="17"/>
      <c r="D9" s="24">
        <v>125</v>
      </c>
      <c r="E9" s="20" t="s">
        <v>41</v>
      </c>
      <c r="F9" s="18"/>
      <c r="G9" s="18"/>
    </row>
    <row r="10" spans="1:7" ht="12.75">
      <c r="A10" s="17" t="s">
        <v>73</v>
      </c>
      <c r="B10" s="17"/>
      <c r="C10" s="17"/>
      <c r="D10" s="167">
        <v>0.25</v>
      </c>
      <c r="E10" s="20"/>
      <c r="F10" s="18"/>
      <c r="G10" s="18"/>
    </row>
    <row r="11" spans="1:7" ht="12.75">
      <c r="A11" s="17" t="s">
        <v>137</v>
      </c>
      <c r="B11" s="17"/>
      <c r="C11" s="17"/>
      <c r="D11" s="20">
        <v>10</v>
      </c>
      <c r="E11" s="20" t="s">
        <v>75</v>
      </c>
      <c r="F11" s="18"/>
      <c r="G11" s="18"/>
    </row>
    <row r="12" spans="1:7" ht="12.75">
      <c r="A12" s="17" t="s">
        <v>76</v>
      </c>
      <c r="B12" s="17"/>
      <c r="C12" s="17"/>
      <c r="D12" s="20">
        <v>4</v>
      </c>
      <c r="E12" s="20"/>
      <c r="F12" s="18"/>
      <c r="G12" s="18"/>
    </row>
    <row r="13" spans="1:7" ht="12.75">
      <c r="A13" s="25" t="s">
        <v>170</v>
      </c>
      <c r="B13" s="25"/>
      <c r="C13" s="25"/>
      <c r="D13" s="26">
        <v>1</v>
      </c>
      <c r="E13" s="26" t="s">
        <v>64</v>
      </c>
      <c r="F13" s="18"/>
      <c r="G13" s="18"/>
    </row>
    <row r="14" spans="1:7" ht="12.75">
      <c r="A14" s="25" t="s">
        <v>195</v>
      </c>
      <c r="B14" s="25"/>
      <c r="C14" s="25"/>
      <c r="D14" s="27">
        <v>0.2</v>
      </c>
      <c r="E14" s="26" t="s">
        <v>78</v>
      </c>
      <c r="F14" s="18"/>
      <c r="G14" s="18"/>
    </row>
    <row r="15" spans="1:7" ht="12.75">
      <c r="A15" s="25" t="s">
        <v>194</v>
      </c>
      <c r="B15" s="25"/>
      <c r="C15" s="25"/>
      <c r="D15" s="27">
        <v>0.55</v>
      </c>
      <c r="E15" s="26"/>
      <c r="F15" s="18"/>
      <c r="G15" s="18"/>
    </row>
    <row r="16" spans="1:7" ht="13.5" thickBot="1">
      <c r="A16" s="28" t="s">
        <v>79</v>
      </c>
      <c r="B16" s="28"/>
      <c r="C16" s="28"/>
      <c r="D16" s="29">
        <f>D9/4</f>
        <v>31.25</v>
      </c>
      <c r="E16" s="30" t="s">
        <v>80</v>
      </c>
      <c r="F16" s="18"/>
      <c r="G16" s="18"/>
    </row>
    <row r="17" ht="13.5" thickTop="1"/>
    <row r="18" spans="1:7" ht="15.75">
      <c r="A18" s="157" t="s">
        <v>165</v>
      </c>
      <c r="B18" s="158"/>
      <c r="C18" s="158"/>
      <c r="D18" s="159"/>
      <c r="E18" s="160"/>
      <c r="F18" s="18"/>
      <c r="G18" s="18"/>
    </row>
    <row r="19" spans="1:7" ht="12.75">
      <c r="A19" s="151" t="s">
        <v>166</v>
      </c>
      <c r="B19" s="152"/>
      <c r="C19" s="152"/>
      <c r="D19" s="153">
        <f>D9*D11</f>
        <v>1250</v>
      </c>
      <c r="E19" s="154" t="s">
        <v>82</v>
      </c>
      <c r="F19" s="18"/>
      <c r="G19" s="18"/>
    </row>
    <row r="20" spans="1:7" ht="12.75">
      <c r="A20" s="155" t="s">
        <v>167</v>
      </c>
      <c r="B20" s="31"/>
      <c r="C20" s="31"/>
      <c r="D20" s="32">
        <f>D19*$D$14</f>
        <v>250</v>
      </c>
      <c r="E20" s="156" t="s">
        <v>82</v>
      </c>
      <c r="F20" s="18"/>
      <c r="G20" s="18"/>
    </row>
    <row r="21" spans="1:7" ht="12.75">
      <c r="A21" s="155" t="s">
        <v>168</v>
      </c>
      <c r="B21" s="25"/>
      <c r="C21" s="25"/>
      <c r="D21" s="32">
        <f>D19*(1-$D$10)</f>
        <v>937.5</v>
      </c>
      <c r="E21" s="156" t="s">
        <v>82</v>
      </c>
      <c r="F21" s="18"/>
      <c r="G21" s="18"/>
    </row>
    <row r="22" spans="1:7" ht="12.75">
      <c r="A22" s="155" t="s">
        <v>169</v>
      </c>
      <c r="B22" s="25"/>
      <c r="C22" s="25"/>
      <c r="D22" s="32">
        <f>D20*(1-$D$10)</f>
        <v>187.5</v>
      </c>
      <c r="E22" s="156" t="s">
        <v>82</v>
      </c>
      <c r="F22" s="18"/>
      <c r="G22" s="18"/>
    </row>
    <row r="23" spans="1:7" ht="12.75">
      <c r="A23" s="65" t="s">
        <v>198</v>
      </c>
      <c r="B23" s="74"/>
      <c r="C23" s="74"/>
      <c r="D23" s="195">
        <f>D22*D15</f>
        <v>103.12500000000001</v>
      </c>
      <c r="E23" s="196" t="s">
        <v>82</v>
      </c>
      <c r="F23" s="18"/>
      <c r="G23" s="18"/>
    </row>
    <row r="24" ht="12.75"/>
    <row r="25" spans="1:10" ht="12.75">
      <c r="A25" s="31"/>
      <c r="B25" s="25"/>
      <c r="C25" s="25"/>
      <c r="D25" s="32"/>
      <c r="E25" s="33"/>
      <c r="F25" s="18"/>
      <c r="G25" s="18"/>
      <c r="I25" s="1"/>
      <c r="J25" s="1"/>
    </row>
    <row r="26" spans="1:10" ht="12.75">
      <c r="A26" s="17"/>
      <c r="B26" s="17"/>
      <c r="C26" s="17"/>
      <c r="D26" s="20"/>
      <c r="E26" s="20"/>
      <c r="F26" s="18"/>
      <c r="G26" s="18"/>
      <c r="I26" s="1"/>
      <c r="J26" s="1"/>
    </row>
    <row r="27" spans="1:10" ht="13.5" thickBot="1">
      <c r="A27" s="14" t="s">
        <v>192</v>
      </c>
      <c r="B27" s="17"/>
      <c r="C27" s="17"/>
      <c r="D27" s="20"/>
      <c r="E27" s="26"/>
      <c r="F27" s="109">
        <v>38261</v>
      </c>
      <c r="G27" s="109">
        <f>F27</f>
        <v>38261</v>
      </c>
      <c r="I27" s="103"/>
      <c r="J27" s="104"/>
    </row>
    <row r="28" spans="1:10" ht="13.5" thickTop="1">
      <c r="A28" s="35" t="s">
        <v>42</v>
      </c>
      <c r="B28" s="35"/>
      <c r="C28" s="35"/>
      <c r="D28" s="36" t="s">
        <v>43</v>
      </c>
      <c r="E28" s="36" t="s">
        <v>44</v>
      </c>
      <c r="F28" s="120"/>
      <c r="G28" s="110" t="s">
        <v>45</v>
      </c>
      <c r="I28" s="105"/>
      <c r="J28" s="106"/>
    </row>
    <row r="29" spans="1:10" ht="13.5" thickBot="1">
      <c r="A29" s="121"/>
      <c r="B29" s="121"/>
      <c r="C29" s="121"/>
      <c r="D29" s="122"/>
      <c r="E29" s="122" t="s">
        <v>46</v>
      </c>
      <c r="F29" s="123"/>
      <c r="G29" s="111" t="s">
        <v>47</v>
      </c>
      <c r="I29" s="105"/>
      <c r="J29" s="106"/>
    </row>
    <row r="30" spans="1:10" ht="13.5" thickTop="1">
      <c r="A30" s="17" t="s">
        <v>138</v>
      </c>
      <c r="B30" s="17"/>
      <c r="C30" s="17"/>
      <c r="D30" s="20" t="s">
        <v>49</v>
      </c>
      <c r="E30" s="41">
        <v>13</v>
      </c>
      <c r="F30" s="4">
        <v>5.09</v>
      </c>
      <c r="G30" s="112">
        <f aca="true" t="shared" si="0" ref="G30:G35">F30*$E30</f>
        <v>66.17</v>
      </c>
      <c r="I30" s="68"/>
      <c r="J30" s="106"/>
    </row>
    <row r="31" spans="1:46" ht="12.75">
      <c r="A31" s="17" t="s">
        <v>154</v>
      </c>
      <c r="B31" s="17"/>
      <c r="C31" s="17"/>
      <c r="D31" s="20" t="s">
        <v>139</v>
      </c>
      <c r="E31" s="41">
        <v>2</v>
      </c>
      <c r="F31" s="4">
        <v>33</v>
      </c>
      <c r="G31" s="112">
        <f t="shared" si="0"/>
        <v>66</v>
      </c>
      <c r="H31" s="7"/>
      <c r="I31" s="68"/>
      <c r="J31" s="10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10" ht="12.75">
      <c r="A32" s="25" t="s">
        <v>155</v>
      </c>
      <c r="B32" s="25"/>
      <c r="C32" s="25"/>
      <c r="D32" s="20" t="s">
        <v>139</v>
      </c>
      <c r="E32" s="119">
        <v>0.5</v>
      </c>
      <c r="F32" s="4">
        <v>480</v>
      </c>
      <c r="G32" s="112">
        <f t="shared" si="0"/>
        <v>240</v>
      </c>
      <c r="I32" s="68"/>
      <c r="J32" s="106"/>
    </row>
    <row r="33" spans="1:10" ht="12.75">
      <c r="A33" s="17" t="s">
        <v>156</v>
      </c>
      <c r="B33" s="17"/>
      <c r="C33" s="17"/>
      <c r="D33" s="20" t="s">
        <v>139</v>
      </c>
      <c r="E33" s="41">
        <v>0.6</v>
      </c>
      <c r="F33" s="7">
        <v>749</v>
      </c>
      <c r="G33" s="112">
        <f t="shared" si="0"/>
        <v>449.4</v>
      </c>
      <c r="I33" s="68"/>
      <c r="J33" s="106"/>
    </row>
    <row r="34" spans="1:10" ht="12.75">
      <c r="A34" s="17" t="s">
        <v>88</v>
      </c>
      <c r="B34" s="17"/>
      <c r="C34" s="17"/>
      <c r="D34" s="20" t="s">
        <v>139</v>
      </c>
      <c r="E34" s="42">
        <v>0.05</v>
      </c>
      <c r="F34" s="7">
        <v>1000</v>
      </c>
      <c r="G34" s="112">
        <f t="shared" si="0"/>
        <v>50</v>
      </c>
      <c r="I34" s="68"/>
      <c r="J34" s="106"/>
    </row>
    <row r="35" spans="1:10" ht="12.75">
      <c r="A35" s="17" t="s">
        <v>157</v>
      </c>
      <c r="B35" s="17"/>
      <c r="C35" s="17"/>
      <c r="D35" s="20" t="s">
        <v>139</v>
      </c>
      <c r="E35" s="41">
        <v>0.3</v>
      </c>
      <c r="F35" s="4">
        <v>777</v>
      </c>
      <c r="G35" s="112">
        <f t="shared" si="0"/>
        <v>233.1</v>
      </c>
      <c r="I35" s="68"/>
      <c r="J35" s="106"/>
    </row>
    <row r="36" spans="1:10" ht="12.75">
      <c r="A36" s="17" t="s">
        <v>196</v>
      </c>
      <c r="B36" s="17"/>
      <c r="C36" s="17" t="s">
        <v>141</v>
      </c>
      <c r="D36" s="2"/>
      <c r="G36" s="135"/>
      <c r="I36" s="68"/>
      <c r="J36" s="106"/>
    </row>
    <row r="37" spans="1:10" ht="12.75">
      <c r="A37" s="124" t="s">
        <v>143</v>
      </c>
      <c r="B37" s="124"/>
      <c r="C37" s="124"/>
      <c r="D37" s="125" t="s">
        <v>142</v>
      </c>
      <c r="E37" s="126">
        <v>3</v>
      </c>
      <c r="F37" s="127">
        <f>22/1</f>
        <v>22</v>
      </c>
      <c r="G37" s="128">
        <f>F37*$E37</f>
        <v>66</v>
      </c>
      <c r="I37" s="68"/>
      <c r="J37" s="106"/>
    </row>
    <row r="38" spans="1:10" ht="12.75">
      <c r="A38" s="17" t="s">
        <v>158</v>
      </c>
      <c r="B38" s="17"/>
      <c r="C38" s="17"/>
      <c r="D38" s="20"/>
      <c r="E38" s="41"/>
      <c r="F38" s="40"/>
      <c r="G38" s="112"/>
      <c r="I38" s="68"/>
      <c r="J38" s="106"/>
    </row>
    <row r="39" spans="1:10" ht="12.75">
      <c r="A39" s="124" t="s">
        <v>140</v>
      </c>
      <c r="B39" s="124"/>
      <c r="C39" s="124"/>
      <c r="D39" s="125" t="s">
        <v>142</v>
      </c>
      <c r="E39" s="126">
        <v>3</v>
      </c>
      <c r="F39" s="127">
        <f>828/20</f>
        <v>41.4</v>
      </c>
      <c r="G39" s="128">
        <f>F39*$E39</f>
        <v>124.19999999999999</v>
      </c>
      <c r="I39" s="68"/>
      <c r="J39" s="106"/>
    </row>
    <row r="40" spans="1:10" ht="12.75">
      <c r="A40" s="124"/>
      <c r="B40" s="124"/>
      <c r="C40" s="124"/>
      <c r="D40" s="125"/>
      <c r="E40" s="126"/>
      <c r="F40" s="127"/>
      <c r="G40" s="128"/>
      <c r="I40" s="68"/>
      <c r="J40" s="106"/>
    </row>
    <row r="41" spans="1:10" ht="12.75">
      <c r="A41" s="17" t="s">
        <v>162</v>
      </c>
      <c r="B41" s="17"/>
      <c r="C41" s="17"/>
      <c r="D41" s="20" t="s">
        <v>49</v>
      </c>
      <c r="E41" s="41">
        <v>2.5</v>
      </c>
      <c r="F41" s="7">
        <v>3.2</v>
      </c>
      <c r="G41" s="112">
        <f>F41*$E41</f>
        <v>8</v>
      </c>
      <c r="I41" s="68"/>
      <c r="J41" s="106"/>
    </row>
    <row r="42" spans="1:10" ht="12.75">
      <c r="A42" s="17" t="s">
        <v>163</v>
      </c>
      <c r="B42" s="17"/>
      <c r="C42" s="17"/>
      <c r="D42" s="20" t="s">
        <v>50</v>
      </c>
      <c r="E42" s="41">
        <v>1</v>
      </c>
      <c r="F42" s="7">
        <v>24</v>
      </c>
      <c r="G42" s="112">
        <f>F42*$E42</f>
        <v>24</v>
      </c>
      <c r="I42" s="68"/>
      <c r="J42" s="106"/>
    </row>
    <row r="43" spans="1:10" ht="13.5" thickBot="1">
      <c r="A43" s="31" t="s">
        <v>56</v>
      </c>
      <c r="B43" s="25"/>
      <c r="C43" s="25"/>
      <c r="D43" s="55"/>
      <c r="E43" s="43"/>
      <c r="F43" s="165"/>
      <c r="G43" s="115">
        <f>SUM(G30:G42)</f>
        <v>1326.87</v>
      </c>
      <c r="I43" s="68"/>
      <c r="J43" s="106"/>
    </row>
    <row r="44" spans="1:10" ht="12.75">
      <c r="A44" s="46" t="s">
        <v>171</v>
      </c>
      <c r="B44" s="47"/>
      <c r="C44" s="47"/>
      <c r="D44" s="66" t="s">
        <v>173</v>
      </c>
      <c r="E44" s="67" t="s">
        <v>174</v>
      </c>
      <c r="F44" s="164" t="s">
        <v>183</v>
      </c>
      <c r="G44" s="166" t="s">
        <v>172</v>
      </c>
      <c r="I44" s="107"/>
      <c r="J44" s="104"/>
    </row>
    <row r="45" spans="1:10" ht="12.75">
      <c r="A45" s="25" t="s">
        <v>147</v>
      </c>
      <c r="B45" s="25"/>
      <c r="C45" s="25"/>
      <c r="D45" s="26" t="s">
        <v>175</v>
      </c>
      <c r="E45" s="119" t="s">
        <v>176</v>
      </c>
      <c r="F45" s="40">
        <v>47.22</v>
      </c>
      <c r="G45" s="112">
        <v>4.94</v>
      </c>
      <c r="I45" s="107"/>
      <c r="J45" s="104"/>
    </row>
    <row r="46" spans="1:10" ht="12.75">
      <c r="A46" s="6" t="s">
        <v>144</v>
      </c>
      <c r="B46" s="6"/>
      <c r="C46" s="6"/>
      <c r="D46" s="26" t="s">
        <v>175</v>
      </c>
      <c r="E46" s="52" t="s">
        <v>181</v>
      </c>
      <c r="F46" s="7">
        <v>45.25</v>
      </c>
      <c r="G46" s="112">
        <v>5.387</v>
      </c>
      <c r="I46" s="68"/>
      <c r="J46" s="106"/>
    </row>
    <row r="47" spans="1:10" ht="12.75">
      <c r="A47" s="6" t="s">
        <v>145</v>
      </c>
      <c r="B47" s="6"/>
      <c r="C47" s="6"/>
      <c r="D47" s="26" t="s">
        <v>175</v>
      </c>
      <c r="E47" s="52" t="s">
        <v>180</v>
      </c>
      <c r="F47" s="7">
        <v>32.1</v>
      </c>
      <c r="G47" s="112">
        <v>71.92</v>
      </c>
      <c r="I47" s="68"/>
      <c r="J47" s="106"/>
    </row>
    <row r="48" spans="1:10" ht="12.75">
      <c r="A48" s="6" t="s">
        <v>177</v>
      </c>
      <c r="B48" s="6"/>
      <c r="C48" s="6"/>
      <c r="D48" s="26" t="s">
        <v>175</v>
      </c>
      <c r="E48" s="56" t="s">
        <v>179</v>
      </c>
      <c r="F48" s="7">
        <v>38.73</v>
      </c>
      <c r="G48" s="112">
        <v>33.08</v>
      </c>
      <c r="I48" s="68"/>
      <c r="J48" s="106"/>
    </row>
    <row r="49" spans="1:10" ht="12.75">
      <c r="A49" s="6" t="s">
        <v>146</v>
      </c>
      <c r="B49" s="6"/>
      <c r="C49" s="6"/>
      <c r="D49" s="26"/>
      <c r="E49" s="52"/>
      <c r="F49" s="7"/>
      <c r="G49" s="112"/>
      <c r="I49" s="68"/>
      <c r="J49" s="106"/>
    </row>
    <row r="50" spans="1:10" ht="12.75">
      <c r="A50" s="17" t="s">
        <v>150</v>
      </c>
      <c r="B50" s="25"/>
      <c r="C50" s="25"/>
      <c r="D50" s="26" t="s">
        <v>175</v>
      </c>
      <c r="E50" s="13" t="s">
        <v>182</v>
      </c>
      <c r="F50" s="7">
        <v>33.68</v>
      </c>
      <c r="G50" s="112">
        <v>5.5</v>
      </c>
      <c r="I50" s="68"/>
      <c r="J50" s="106"/>
    </row>
    <row r="51" spans="1:10" ht="12.75">
      <c r="A51" s="6" t="s">
        <v>178</v>
      </c>
      <c r="B51" s="6"/>
      <c r="C51" s="6"/>
      <c r="D51" s="26" t="s">
        <v>175</v>
      </c>
      <c r="E51" s="52" t="s">
        <v>180</v>
      </c>
      <c r="F51" s="7">
        <v>33.08</v>
      </c>
      <c r="G51" s="112">
        <v>26.85</v>
      </c>
      <c r="I51" s="68"/>
      <c r="J51" s="106"/>
    </row>
    <row r="52" spans="1:10" ht="12.75">
      <c r="A52" s="17" t="s">
        <v>151</v>
      </c>
      <c r="B52" s="17"/>
      <c r="C52" s="17"/>
      <c r="D52" s="26" t="s">
        <v>175</v>
      </c>
      <c r="E52" s="42" t="s">
        <v>182</v>
      </c>
      <c r="F52" s="7">
        <v>33.68</v>
      </c>
      <c r="G52" s="112">
        <v>5.5</v>
      </c>
      <c r="I52" s="68"/>
      <c r="J52" s="106"/>
    </row>
    <row r="53" spans="1:10" ht="12.75">
      <c r="A53" s="17" t="s">
        <v>152</v>
      </c>
      <c r="B53" s="17"/>
      <c r="C53" s="17"/>
      <c r="D53" s="26" t="s">
        <v>175</v>
      </c>
      <c r="E53" s="42" t="s">
        <v>182</v>
      </c>
      <c r="F53" s="7">
        <v>33.68</v>
      </c>
      <c r="G53" s="112">
        <v>5.5</v>
      </c>
      <c r="I53" s="68"/>
      <c r="J53" s="106"/>
    </row>
    <row r="54" spans="1:10" ht="12.75">
      <c r="A54" s="17" t="s">
        <v>153</v>
      </c>
      <c r="B54" s="17"/>
      <c r="C54" s="17"/>
      <c r="D54" s="26" t="s">
        <v>175</v>
      </c>
      <c r="E54" s="42" t="s">
        <v>182</v>
      </c>
      <c r="F54" s="7">
        <v>33.68</v>
      </c>
      <c r="G54" s="112">
        <v>5.5</v>
      </c>
      <c r="I54" s="68"/>
      <c r="J54" s="106"/>
    </row>
    <row r="55" spans="1:10" ht="12.75">
      <c r="A55" s="6" t="s">
        <v>148</v>
      </c>
      <c r="B55" s="6"/>
      <c r="C55" s="6"/>
      <c r="D55" s="26" t="s">
        <v>175</v>
      </c>
      <c r="E55" s="119" t="s">
        <v>176</v>
      </c>
      <c r="F55" s="7">
        <v>47.22</v>
      </c>
      <c r="G55" s="112">
        <v>4.94</v>
      </c>
      <c r="I55" s="68"/>
      <c r="J55" s="106"/>
    </row>
    <row r="56" spans="1:10" ht="13.5" thickBot="1">
      <c r="A56" s="53" t="s">
        <v>56</v>
      </c>
      <c r="B56" s="54"/>
      <c r="C56" s="54"/>
      <c r="D56" s="55"/>
      <c r="E56" s="43"/>
      <c r="F56" s="44"/>
      <c r="G56" s="115">
        <f>SUM(G45:G55)</f>
        <v>169.117</v>
      </c>
      <c r="I56" s="68"/>
      <c r="J56" s="106"/>
    </row>
    <row r="57" spans="1:10" ht="4.5" customHeight="1">
      <c r="A57" s="46"/>
      <c r="B57" s="47"/>
      <c r="C57" s="47"/>
      <c r="D57" s="48"/>
      <c r="E57" s="49"/>
      <c r="F57" s="50"/>
      <c r="G57" s="114"/>
      <c r="I57" s="107"/>
      <c r="J57" s="104"/>
    </row>
    <row r="58" spans="1:7" ht="13.5" thickBot="1">
      <c r="A58" s="129" t="s">
        <v>106</v>
      </c>
      <c r="B58" s="129"/>
      <c r="C58" s="129"/>
      <c r="D58" s="130" t="s">
        <v>107</v>
      </c>
      <c r="E58" s="131"/>
      <c r="F58" s="132"/>
      <c r="G58" s="133">
        <f>SUM(G56,G43)</f>
        <v>1495.9869999999999</v>
      </c>
    </row>
    <row r="59" spans="1:7" ht="13.5" thickTop="1">
      <c r="A59" s="25"/>
      <c r="B59" s="25"/>
      <c r="C59" s="25"/>
      <c r="D59" s="26"/>
      <c r="E59" s="119"/>
      <c r="F59" s="4"/>
      <c r="G59" s="108"/>
    </row>
    <row r="60" spans="1:7" ht="12.75">
      <c r="A60" s="25"/>
      <c r="B60" s="25"/>
      <c r="C60" s="25"/>
      <c r="D60" s="26"/>
      <c r="E60" s="119"/>
      <c r="F60" s="4"/>
      <c r="G60" s="108"/>
    </row>
    <row r="61" spans="1:7" ht="12.75">
      <c r="A61" s="17"/>
      <c r="B61" s="17"/>
      <c r="C61" s="17"/>
      <c r="D61" s="20"/>
      <c r="E61" s="41"/>
      <c r="F61" s="4"/>
      <c r="G61" s="108"/>
    </row>
    <row r="62" spans="1:7" ht="13.5" thickBot="1">
      <c r="A62" s="121" t="s">
        <v>149</v>
      </c>
      <c r="B62" s="28"/>
      <c r="C62" s="28"/>
      <c r="D62" s="30"/>
      <c r="E62" s="62"/>
      <c r="F62" s="109">
        <v>38261</v>
      </c>
      <c r="G62" s="109">
        <f>F62</f>
        <v>38261</v>
      </c>
    </row>
    <row r="63" spans="1:9" ht="13.5" thickTop="1">
      <c r="A63" s="31" t="s">
        <v>42</v>
      </c>
      <c r="B63" s="31"/>
      <c r="C63" s="31"/>
      <c r="D63" s="33" t="s">
        <v>43</v>
      </c>
      <c r="E63" s="64" t="s">
        <v>44</v>
      </c>
      <c r="F63" s="40"/>
      <c r="G63" s="110" t="s">
        <v>45</v>
      </c>
      <c r="I63" s="2" t="s">
        <v>141</v>
      </c>
    </row>
    <row r="64" spans="1:7" ht="13.5" thickBot="1">
      <c r="A64" s="121"/>
      <c r="B64" s="121"/>
      <c r="C64" s="121"/>
      <c r="D64" s="122"/>
      <c r="E64" s="134" t="s">
        <v>46</v>
      </c>
      <c r="F64" s="63"/>
      <c r="G64" s="111" t="s">
        <v>47</v>
      </c>
    </row>
    <row r="65" spans="1:7" ht="13.5" thickTop="1">
      <c r="A65" s="25" t="s">
        <v>159</v>
      </c>
      <c r="B65" s="25"/>
      <c r="C65" s="25"/>
      <c r="D65" s="26" t="s">
        <v>139</v>
      </c>
      <c r="E65" s="56">
        <v>0.25</v>
      </c>
      <c r="F65" s="139">
        <f>F32</f>
        <v>480</v>
      </c>
      <c r="G65" s="112">
        <f>F65*$E65</f>
        <v>120</v>
      </c>
    </row>
    <row r="66" spans="1:7" ht="12.75">
      <c r="A66" s="17" t="s">
        <v>160</v>
      </c>
      <c r="B66" s="17"/>
      <c r="C66" s="17"/>
      <c r="D66" s="20" t="s">
        <v>139</v>
      </c>
      <c r="E66" s="56">
        <v>0.3</v>
      </c>
      <c r="F66" s="140">
        <f>F33</f>
        <v>749</v>
      </c>
      <c r="G66" s="112">
        <f>F66*$E66</f>
        <v>224.7</v>
      </c>
    </row>
    <row r="67" spans="1:7" ht="12.75">
      <c r="A67" s="17" t="s">
        <v>161</v>
      </c>
      <c r="B67" s="17"/>
      <c r="C67" s="17"/>
      <c r="D67" s="20" t="s">
        <v>139</v>
      </c>
      <c r="E67" s="56">
        <v>0.5</v>
      </c>
      <c r="F67" s="139">
        <v>621</v>
      </c>
      <c r="G67" s="112">
        <f>F67*$E67</f>
        <v>310.5</v>
      </c>
    </row>
    <row r="68" spans="1:7" ht="12.75">
      <c r="A68" s="17" t="s">
        <v>184</v>
      </c>
      <c r="B68" s="17"/>
      <c r="C68" s="17"/>
      <c r="D68" s="20" t="s">
        <v>139</v>
      </c>
      <c r="E68" s="56">
        <v>1</v>
      </c>
      <c r="F68" s="139">
        <f>F31</f>
        <v>33</v>
      </c>
      <c r="G68" s="112">
        <f>F68*$E68</f>
        <v>33</v>
      </c>
    </row>
    <row r="69" spans="1:7" ht="12.75">
      <c r="A69" s="17" t="s">
        <v>157</v>
      </c>
      <c r="D69" s="20" t="s">
        <v>139</v>
      </c>
      <c r="E69" s="13">
        <v>0.3</v>
      </c>
      <c r="F69" s="135">
        <v>777</v>
      </c>
      <c r="G69" s="112">
        <f>F69*$E69</f>
        <v>233.1</v>
      </c>
    </row>
    <row r="70" spans="1:12" ht="15" customHeight="1" thickBot="1">
      <c r="A70" s="14" t="s">
        <v>56</v>
      </c>
      <c r="B70" s="17"/>
      <c r="C70" s="17"/>
      <c r="D70" s="55"/>
      <c r="E70" s="43"/>
      <c r="F70" s="138"/>
      <c r="G70" s="115">
        <f>SUM(G66:G68)</f>
        <v>568.2</v>
      </c>
      <c r="H70" s="117"/>
      <c r="I70" s="117"/>
      <c r="J70" s="117"/>
      <c r="K70" s="118"/>
      <c r="L70" s="116"/>
    </row>
    <row r="71" spans="1:12" ht="15" customHeight="1">
      <c r="A71" s="46" t="s">
        <v>164</v>
      </c>
      <c r="B71" s="47"/>
      <c r="C71" s="47"/>
      <c r="D71" s="66" t="s">
        <v>173</v>
      </c>
      <c r="E71" s="67" t="s">
        <v>174</v>
      </c>
      <c r="F71" s="168" t="s">
        <v>183</v>
      </c>
      <c r="G71" s="166" t="s">
        <v>172</v>
      </c>
      <c r="H71" s="117"/>
      <c r="I71" s="117"/>
      <c r="J71" s="117"/>
      <c r="K71" s="118"/>
      <c r="L71" s="116"/>
    </row>
    <row r="72" spans="1:9" ht="12.75">
      <c r="A72" s="17" t="s">
        <v>185</v>
      </c>
      <c r="B72" s="17"/>
      <c r="C72" s="17"/>
      <c r="D72" s="26" t="s">
        <v>175</v>
      </c>
      <c r="E72" s="56" t="s">
        <v>182</v>
      </c>
      <c r="F72" s="140">
        <v>33.68</v>
      </c>
      <c r="G72" s="112">
        <v>5.387</v>
      </c>
      <c r="I72" s="99"/>
    </row>
    <row r="73" spans="1:9" ht="12.75">
      <c r="A73" s="17" t="s">
        <v>188</v>
      </c>
      <c r="B73" s="17"/>
      <c r="C73" s="17"/>
      <c r="D73" s="26" t="s">
        <v>175</v>
      </c>
      <c r="E73" s="56" t="s">
        <v>182</v>
      </c>
      <c r="F73" s="140">
        <v>33.68</v>
      </c>
      <c r="G73" s="112">
        <v>5.387</v>
      </c>
      <c r="I73" s="99"/>
    </row>
    <row r="74" spans="1:9" ht="12.75">
      <c r="A74" s="17" t="s">
        <v>186</v>
      </c>
      <c r="B74" s="17"/>
      <c r="C74" s="17"/>
      <c r="D74" s="26" t="s">
        <v>175</v>
      </c>
      <c r="E74" s="56" t="s">
        <v>182</v>
      </c>
      <c r="F74" s="140">
        <v>33.68</v>
      </c>
      <c r="G74" s="112">
        <v>5.387</v>
      </c>
      <c r="I74" s="99"/>
    </row>
    <row r="75" spans="1:10" ht="12.75">
      <c r="A75" s="17" t="s">
        <v>187</v>
      </c>
      <c r="B75" s="17"/>
      <c r="C75" s="17"/>
      <c r="D75" s="26" t="s">
        <v>175</v>
      </c>
      <c r="E75" s="56" t="s">
        <v>182</v>
      </c>
      <c r="F75" s="140">
        <v>33.68</v>
      </c>
      <c r="G75" s="112">
        <v>5.387</v>
      </c>
      <c r="I75" s="99"/>
      <c r="J75" s="100"/>
    </row>
    <row r="76" spans="1:10" ht="12.75">
      <c r="A76" s="17" t="s">
        <v>190</v>
      </c>
      <c r="B76" s="17"/>
      <c r="C76" s="25"/>
      <c r="D76" s="26" t="s">
        <v>175</v>
      </c>
      <c r="E76" s="56" t="s">
        <v>191</v>
      </c>
      <c r="F76" s="142">
        <v>54.68890666666667</v>
      </c>
      <c r="G76" s="112">
        <v>85.38470986208692</v>
      </c>
      <c r="I76" s="102"/>
      <c r="J76" s="101"/>
    </row>
    <row r="77" spans="1:10" ht="3.75" customHeight="1">
      <c r="A77" s="17"/>
      <c r="B77" s="17"/>
      <c r="C77" s="25"/>
      <c r="D77" s="26"/>
      <c r="E77" s="56"/>
      <c r="F77" s="142"/>
      <c r="G77" s="112"/>
      <c r="I77" s="102"/>
      <c r="J77" s="101"/>
    </row>
    <row r="78" spans="1:10" ht="13.5" thickBot="1">
      <c r="A78" s="53" t="s">
        <v>56</v>
      </c>
      <c r="B78" s="54"/>
      <c r="C78" s="54"/>
      <c r="D78" s="55"/>
      <c r="E78" s="43"/>
      <c r="F78" s="138"/>
      <c r="G78" s="115">
        <f>G72+G73+G74+G75+G76</f>
        <v>106.93270986208692</v>
      </c>
      <c r="I78" s="102"/>
      <c r="J78" s="101"/>
    </row>
    <row r="79" spans="1:10" ht="12.75">
      <c r="A79" s="46" t="s">
        <v>189</v>
      </c>
      <c r="B79" s="74"/>
      <c r="C79" s="48"/>
      <c r="D79" s="66" t="s">
        <v>43</v>
      </c>
      <c r="E79" s="67" t="s">
        <v>119</v>
      </c>
      <c r="F79" s="141"/>
      <c r="G79" s="114"/>
      <c r="I79" s="102"/>
      <c r="J79" s="101"/>
    </row>
    <row r="80" spans="1:10" ht="12.75">
      <c r="A80" s="17" t="s">
        <v>121</v>
      </c>
      <c r="B80" s="17"/>
      <c r="C80" s="17"/>
      <c r="D80" s="20" t="s">
        <v>53</v>
      </c>
      <c r="E80" s="56">
        <f>D19/10/7</f>
        <v>17.857142857142858</v>
      </c>
      <c r="F80" s="140">
        <v>27.798855</v>
      </c>
      <c r="G80" s="112">
        <f>F80*$E80</f>
        <v>496.408125</v>
      </c>
      <c r="I80" s="102"/>
      <c r="J80" s="101"/>
    </row>
    <row r="81" spans="1:10" ht="12.75">
      <c r="A81" s="17" t="s">
        <v>105</v>
      </c>
      <c r="B81" s="17"/>
      <c r="C81" s="17"/>
      <c r="D81" s="20" t="s">
        <v>53</v>
      </c>
      <c r="E81" s="56">
        <f>E80*1.2</f>
        <v>21.428571428571427</v>
      </c>
      <c r="F81" s="140">
        <v>17.1785</v>
      </c>
      <c r="G81" s="112">
        <f>F81*$E81</f>
        <v>368.11071428571427</v>
      </c>
      <c r="I81" s="99"/>
      <c r="J81" s="100"/>
    </row>
    <row r="82" spans="1:10" ht="12.75">
      <c r="A82" s="17" t="s">
        <v>122</v>
      </c>
      <c r="B82" s="17"/>
      <c r="C82" s="17"/>
      <c r="D82" s="20" t="s">
        <v>53</v>
      </c>
      <c r="E82" s="56">
        <v>6</v>
      </c>
      <c r="F82" s="140">
        <v>4.52704</v>
      </c>
      <c r="G82" s="112">
        <f>F82*$E82</f>
        <v>27.162240000000004</v>
      </c>
      <c r="I82" s="102"/>
      <c r="J82" s="101"/>
    </row>
    <row r="83" spans="1:10" ht="12.75">
      <c r="A83" s="17" t="s">
        <v>123</v>
      </c>
      <c r="B83" s="17"/>
      <c r="C83" s="17"/>
      <c r="D83" s="20" t="s">
        <v>51</v>
      </c>
      <c r="E83" s="56">
        <v>400</v>
      </c>
      <c r="F83" s="140">
        <v>0.30125760282453024</v>
      </c>
      <c r="G83" s="112">
        <f>F83*$E83</f>
        <v>120.50304112981209</v>
      </c>
      <c r="I83" s="102"/>
      <c r="J83" s="101"/>
    </row>
    <row r="84" spans="1:10" ht="13.5" thickBot="1">
      <c r="A84" s="53" t="s">
        <v>56</v>
      </c>
      <c r="B84" s="54"/>
      <c r="C84" s="54"/>
      <c r="D84" s="55"/>
      <c r="E84" s="171"/>
      <c r="F84" s="138"/>
      <c r="G84" s="115">
        <f>SUM(G80:G83)</f>
        <v>1012.1841204155263</v>
      </c>
      <c r="I84" s="102"/>
      <c r="J84" s="101"/>
    </row>
    <row r="85" spans="1:10" ht="12.75">
      <c r="A85" s="46" t="s">
        <v>65</v>
      </c>
      <c r="B85" s="47"/>
      <c r="C85" s="47"/>
      <c r="D85" s="3"/>
      <c r="E85" s="170"/>
      <c r="F85" s="169"/>
      <c r="G85" s="114"/>
      <c r="I85" s="102"/>
      <c r="J85" s="101"/>
    </row>
    <row r="86" spans="1:10" ht="12.75">
      <c r="A86" s="1" t="s">
        <v>66</v>
      </c>
      <c r="B86" s="1"/>
      <c r="C86" s="1"/>
      <c r="D86" s="11" t="s">
        <v>69</v>
      </c>
      <c r="E86" s="68">
        <v>4</v>
      </c>
      <c r="F86" s="140">
        <v>37.598043066818185</v>
      </c>
      <c r="G86" s="112">
        <f>F86*$E86</f>
        <v>150.39217226727274</v>
      </c>
      <c r="I86" s="99"/>
      <c r="J86" s="100"/>
    </row>
    <row r="87" spans="1:10" ht="12.75">
      <c r="A87" s="1" t="s">
        <v>67</v>
      </c>
      <c r="B87" s="1"/>
      <c r="C87" s="1"/>
      <c r="D87" s="11" t="s">
        <v>69</v>
      </c>
      <c r="E87" s="68">
        <v>4</v>
      </c>
      <c r="F87" s="140">
        <v>114.58451220363636</v>
      </c>
      <c r="G87" s="112">
        <f>F87*$E87</f>
        <v>458.33804881454546</v>
      </c>
      <c r="I87" s="102"/>
      <c r="J87" s="101"/>
    </row>
    <row r="88" spans="1:10" ht="12.75">
      <c r="A88" s="1" t="s">
        <v>68</v>
      </c>
      <c r="B88" s="1"/>
      <c r="C88" s="1"/>
      <c r="D88" s="11" t="s">
        <v>69</v>
      </c>
      <c r="E88" s="68">
        <v>4</v>
      </c>
      <c r="F88" s="140">
        <v>21.482223921900005</v>
      </c>
      <c r="G88" s="112">
        <f>F88*$E88</f>
        <v>85.92889568760002</v>
      </c>
      <c r="I88" s="102"/>
      <c r="J88" s="101"/>
    </row>
    <row r="89" spans="1:10" ht="13.5" thickBot="1">
      <c r="A89" s="10" t="s">
        <v>56</v>
      </c>
      <c r="B89" s="8"/>
      <c r="C89" s="8"/>
      <c r="D89" s="12"/>
      <c r="E89" s="69"/>
      <c r="F89" s="138"/>
      <c r="G89" s="115">
        <f>SUM(G86:G88)</f>
        <v>694.6591167694182</v>
      </c>
      <c r="I89" s="102"/>
      <c r="J89" s="101"/>
    </row>
    <row r="90" spans="1:10" ht="12.75">
      <c r="A90" s="65" t="s">
        <v>124</v>
      </c>
      <c r="B90" s="74"/>
      <c r="C90" s="74"/>
      <c r="D90" s="75"/>
      <c r="E90" s="76"/>
      <c r="F90" s="143"/>
      <c r="G90" s="136"/>
      <c r="I90" s="102"/>
      <c r="J90" s="101"/>
    </row>
    <row r="91" spans="1:10" ht="12.75">
      <c r="A91" s="17" t="s">
        <v>125</v>
      </c>
      <c r="B91" s="17"/>
      <c r="C91" s="17"/>
      <c r="D91" s="20" t="s">
        <v>53</v>
      </c>
      <c r="E91" s="56">
        <f>D21/0.6/10</f>
        <v>156.25</v>
      </c>
      <c r="F91" s="142">
        <v>4.52704</v>
      </c>
      <c r="G91" s="112">
        <f>F91*$E91</f>
        <v>707.35</v>
      </c>
      <c r="I91" s="102"/>
      <c r="J91" s="101"/>
    </row>
    <row r="92" spans="1:10" ht="12.75">
      <c r="A92" s="17" t="s">
        <v>126</v>
      </c>
      <c r="B92" s="17"/>
      <c r="C92" s="17"/>
      <c r="D92" s="20" t="s">
        <v>53</v>
      </c>
      <c r="E92" s="56">
        <v>32</v>
      </c>
      <c r="F92" s="142">
        <v>15.220017398015266</v>
      </c>
      <c r="G92" s="112">
        <f>F92*$E92</f>
        <v>487.0405567364885</v>
      </c>
      <c r="I92" s="102"/>
      <c r="J92" s="101"/>
    </row>
    <row r="93" spans="1:10" ht="12.75">
      <c r="A93" s="17" t="s">
        <v>127</v>
      </c>
      <c r="B93" s="17"/>
      <c r="C93" s="17"/>
      <c r="D93" s="20" t="s">
        <v>53</v>
      </c>
      <c r="E93" s="56">
        <v>32</v>
      </c>
      <c r="F93" s="142">
        <v>4.52704</v>
      </c>
      <c r="G93" s="112">
        <f>F93*$E93</f>
        <v>144.86528</v>
      </c>
      <c r="I93" s="102"/>
      <c r="J93" s="101"/>
    </row>
    <row r="94" spans="1:10" ht="12.75">
      <c r="A94" s="65" t="s">
        <v>56</v>
      </c>
      <c r="B94" s="74"/>
      <c r="C94" s="74"/>
      <c r="D94" s="75"/>
      <c r="E94" s="76"/>
      <c r="F94" s="143"/>
      <c r="G94" s="113">
        <f>SUM(G91:G93)</f>
        <v>1339.2558367364886</v>
      </c>
      <c r="I94" s="102"/>
      <c r="J94" s="101"/>
    </row>
    <row r="95" spans="1:10" ht="12.75">
      <c r="A95" s="95"/>
      <c r="B95" s="95"/>
      <c r="C95" s="95"/>
      <c r="D95" s="95"/>
      <c r="E95" s="95"/>
      <c r="F95" s="137"/>
      <c r="G95" s="137"/>
      <c r="I95" s="102"/>
      <c r="J95" s="101"/>
    </row>
    <row r="96" spans="1:10" ht="13.5" thickBot="1">
      <c r="A96" s="53"/>
      <c r="B96" s="54"/>
      <c r="C96" s="54"/>
      <c r="D96" s="55"/>
      <c r="E96" s="77"/>
      <c r="F96" s="138"/>
      <c r="G96" s="138"/>
      <c r="I96" s="102"/>
      <c r="J96" s="101"/>
    </row>
    <row r="97" spans="1:9" ht="13.5" thickBot="1">
      <c r="A97" s="144" t="s">
        <v>128</v>
      </c>
      <c r="B97" s="144"/>
      <c r="C97" s="144"/>
      <c r="D97" s="145" t="s">
        <v>129</v>
      </c>
      <c r="E97" s="146"/>
      <c r="F97" s="147"/>
      <c r="G97" s="148">
        <f>SUM(G70,G89,G72,G73,G74,G75)*9</f>
        <v>11559.664050924763</v>
      </c>
      <c r="I97" s="99"/>
    </row>
    <row r="98" spans="1:10" ht="13.5" thickBot="1">
      <c r="A98" s="144" t="s">
        <v>130</v>
      </c>
      <c r="B98" s="144"/>
      <c r="C98" s="144"/>
      <c r="D98" s="145" t="s">
        <v>131</v>
      </c>
      <c r="E98" s="146"/>
      <c r="F98" s="147"/>
      <c r="G98" s="148">
        <f>(G84+G78+G94)*10</f>
        <v>24583.72667014102</v>
      </c>
      <c r="I98" s="99"/>
      <c r="J98" s="100"/>
    </row>
    <row r="99" spans="1:10" ht="13.5" thickBot="1">
      <c r="A99" s="144" t="s">
        <v>132</v>
      </c>
      <c r="B99" s="144"/>
      <c r="C99" s="144"/>
      <c r="D99" s="145" t="s">
        <v>131</v>
      </c>
      <c r="E99" s="146"/>
      <c r="F99" s="149"/>
      <c r="G99" s="150">
        <f>G58+(G70+G89+G78)*9+(G84+G94)*10</f>
        <v>37338.51301120369</v>
      </c>
      <c r="I99" s="102"/>
      <c r="J99" s="101"/>
    </row>
    <row r="100" spans="1:10" ht="13.5" thickBot="1">
      <c r="A100" s="83"/>
      <c r="B100" s="83"/>
      <c r="C100" s="83"/>
      <c r="D100" s="84"/>
      <c r="E100" s="85"/>
      <c r="F100" s="44"/>
      <c r="G100" s="44"/>
      <c r="I100" s="102"/>
      <c r="J100" s="101"/>
    </row>
    <row r="101" spans="1:10" ht="14.25" thickBot="1">
      <c r="A101" s="86" t="s">
        <v>133</v>
      </c>
      <c r="B101" s="87"/>
      <c r="C101" s="87"/>
      <c r="D101" s="88"/>
      <c r="E101" s="88"/>
      <c r="F101" s="87"/>
      <c r="G101" s="89">
        <f>G99/10</f>
        <v>3733.8513011203695</v>
      </c>
      <c r="I101" s="102"/>
      <c r="J101" s="101"/>
    </row>
    <row r="102" spans="1:10" ht="14.25" thickBot="1">
      <c r="A102" s="90" t="s">
        <v>134</v>
      </c>
      <c r="B102" s="91"/>
      <c r="C102" s="91"/>
      <c r="D102" s="92"/>
      <c r="E102" s="92"/>
      <c r="F102" s="91"/>
      <c r="G102" s="93">
        <f>G99/D21</f>
        <v>39.82774721195061</v>
      </c>
      <c r="I102" s="102"/>
      <c r="J102" s="101"/>
    </row>
    <row r="103" spans="1:10" ht="14.25" thickBot="1">
      <c r="A103" s="172" t="s">
        <v>135</v>
      </c>
      <c r="B103" s="173"/>
      <c r="C103" s="173"/>
      <c r="D103" s="174"/>
      <c r="E103" s="174"/>
      <c r="F103" s="173"/>
      <c r="G103" s="175">
        <f>G99/D22</f>
        <v>199.13873605975303</v>
      </c>
      <c r="I103" s="102"/>
      <c r="J103" s="101"/>
    </row>
    <row r="104" spans="1:21" ht="14.25" thickBot="1">
      <c r="A104" s="90" t="s">
        <v>199</v>
      </c>
      <c r="B104" s="91"/>
      <c r="C104" s="91"/>
      <c r="D104" s="92"/>
      <c r="E104" s="92"/>
      <c r="F104" s="91"/>
      <c r="G104" s="93">
        <f>G99/D23</f>
        <v>362.0704291995509</v>
      </c>
      <c r="H104" s="1"/>
      <c r="I104" s="1"/>
      <c r="J104" s="10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07"/>
      <c r="J105" s="10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07"/>
      <c r="J106" s="10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07"/>
      <c r="J107" s="10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07"/>
      <c r="J108" s="10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07"/>
      <c r="J109" s="10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76"/>
      <c r="B110" s="176"/>
      <c r="C110" s="177"/>
      <c r="D110" s="177"/>
      <c r="E110" s="176"/>
      <c r="F110" s="176"/>
      <c r="G110" s="176"/>
      <c r="H110" s="1"/>
      <c r="I110" s="68"/>
      <c r="J110" s="10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203" t="s">
        <v>200</v>
      </c>
      <c r="B111" s="204" t="s">
        <v>204</v>
      </c>
      <c r="C111" s="204" t="s">
        <v>205</v>
      </c>
      <c r="D111" s="204" t="s">
        <v>107</v>
      </c>
      <c r="E111" s="178"/>
      <c r="F111" s="178"/>
      <c r="G111" s="180"/>
      <c r="H111" s="1"/>
      <c r="I111" s="68"/>
      <c r="J111" s="10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97" t="s">
        <v>202</v>
      </c>
      <c r="B112" s="197">
        <f>D21*0.05</f>
        <v>46.875</v>
      </c>
      <c r="C112" s="179">
        <v>0.25</v>
      </c>
      <c r="D112" s="182">
        <f>B112*C112</f>
        <v>11.71875</v>
      </c>
      <c r="F112" s="178"/>
      <c r="G112" s="180"/>
      <c r="H112" s="1"/>
      <c r="I112" s="68"/>
      <c r="J112" s="10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78" t="s">
        <v>201</v>
      </c>
      <c r="B113" s="197">
        <f>D21*0.1</f>
        <v>93.75</v>
      </c>
      <c r="C113" s="179">
        <v>0.25</v>
      </c>
      <c r="D113" s="182">
        <f>B113*C113</f>
        <v>23.4375</v>
      </c>
      <c r="E113" s="178"/>
      <c r="F113" s="178"/>
      <c r="G113" s="180"/>
      <c r="H113" s="1"/>
      <c r="I113" s="68"/>
      <c r="J113" s="10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205" t="s">
        <v>203</v>
      </c>
      <c r="B114" s="206">
        <f>D21*0.12</f>
        <v>112.5</v>
      </c>
      <c r="C114" s="207">
        <v>0.25</v>
      </c>
      <c r="D114" s="215">
        <f>B114*C114</f>
        <v>28.125</v>
      </c>
      <c r="E114" s="178"/>
      <c r="F114" s="178"/>
      <c r="G114" s="180"/>
      <c r="H114" s="181"/>
      <c r="I114" s="1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78"/>
      <c r="B115" s="178"/>
      <c r="C115" s="179"/>
      <c r="D115" s="179"/>
      <c r="E115" s="178"/>
      <c r="F115" s="178"/>
      <c r="G115" s="180"/>
      <c r="H115" s="1"/>
      <c r="I115" s="1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78"/>
      <c r="B116" s="178"/>
      <c r="C116" s="179"/>
      <c r="D116" s="179"/>
      <c r="E116" s="178"/>
      <c r="F116" s="178"/>
      <c r="G116" s="180"/>
      <c r="H116" s="106"/>
      <c r="I116" s="106"/>
      <c r="J116" s="106"/>
      <c r="K116" s="183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203" t="s">
        <v>218</v>
      </c>
      <c r="B117" s="208"/>
      <c r="C117" s="177"/>
      <c r="D117" s="177"/>
      <c r="E117" s="176"/>
      <c r="F117" s="176"/>
      <c r="G117" s="184"/>
      <c r="H117" s="106"/>
      <c r="I117" s="106"/>
      <c r="J117" s="106"/>
      <c r="K117" s="183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 t="s">
        <v>220</v>
      </c>
      <c r="B118" s="190">
        <f>G101*10</f>
        <v>37338.51301120369</v>
      </c>
      <c r="C118" s="1"/>
      <c r="D118" s="11"/>
      <c r="E118" s="1"/>
      <c r="F118" s="1"/>
      <c r="G118" s="1"/>
      <c r="H118" s="106"/>
      <c r="I118" s="106"/>
      <c r="J118" s="106"/>
      <c r="K118" s="183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 t="s">
        <v>221</v>
      </c>
      <c r="B119" s="190">
        <f>B118+D112</f>
        <v>37350.23176120369</v>
      </c>
      <c r="C119" s="1"/>
      <c r="D119" s="11"/>
      <c r="E119" s="1"/>
      <c r="F119" s="1"/>
      <c r="G119" s="1"/>
      <c r="H119" s="185"/>
      <c r="I119" s="10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 t="s">
        <v>222</v>
      </c>
      <c r="B120" s="198">
        <f>B118+D113</f>
        <v>37361.95051120369</v>
      </c>
      <c r="C120" s="1"/>
      <c r="D120" s="187"/>
      <c r="E120" s="188"/>
      <c r="F120" s="1"/>
      <c r="G120" s="1"/>
      <c r="H120" s="189"/>
      <c r="I120" s="10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3" t="s">
        <v>223</v>
      </c>
      <c r="B121" s="209">
        <f>B118+D114</f>
        <v>37366.63801120369</v>
      </c>
      <c r="C121" s="1"/>
      <c r="D121" s="187"/>
      <c r="E121" s="188"/>
      <c r="F121" s="1"/>
      <c r="G121" s="1"/>
      <c r="H121" s="189"/>
      <c r="I121" s="18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186"/>
      <c r="C122" s="1"/>
      <c r="D122" s="187"/>
      <c r="E122" s="188"/>
      <c r="F122" s="1"/>
      <c r="G122" s="1"/>
      <c r="H122" s="189"/>
      <c r="I122" s="18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186"/>
      <c r="C123" s="1"/>
      <c r="D123" s="187"/>
      <c r="E123" s="18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210"/>
      <c r="B124" s="211" t="s">
        <v>211</v>
      </c>
      <c r="C124" s="210" t="s">
        <v>212</v>
      </c>
      <c r="D124" s="212" t="s">
        <v>206</v>
      </c>
      <c r="E124" s="18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 t="s">
        <v>207</v>
      </c>
      <c r="B125" s="199">
        <v>0.2</v>
      </c>
      <c r="C125" s="183">
        <f>55/100</f>
        <v>0.55</v>
      </c>
      <c r="D125" s="200">
        <f>G104</f>
        <v>362.0704291995509</v>
      </c>
      <c r="E125" s="188"/>
      <c r="F125" s="1"/>
      <c r="G125" s="1"/>
      <c r="H125" s="176"/>
      <c r="I125" s="104"/>
      <c r="J125" s="10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 t="s">
        <v>208</v>
      </c>
      <c r="B126" s="183">
        <f>B125+0.0275</f>
        <v>0.2275</v>
      </c>
      <c r="C126" s="183">
        <f>((D22*55)+(B112*82))/((D21*20)+(B112*88))</f>
        <v>0.6188524590163934</v>
      </c>
      <c r="D126" s="201">
        <f>G99/(D22*C126)</f>
        <v>321.787096679336</v>
      </c>
      <c r="E126" s="1"/>
      <c r="F126" s="1"/>
      <c r="G126" s="1"/>
      <c r="H126" s="191"/>
      <c r="I126" s="106"/>
      <c r="J126" s="19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 t="s">
        <v>209</v>
      </c>
      <c r="B127" s="183">
        <f>0.255</f>
        <v>0.255</v>
      </c>
      <c r="C127" s="183">
        <f>((D22*55)+(B113*82))/((D21*20)+(B113*88))</f>
        <v>0.6666666666666666</v>
      </c>
      <c r="D127" s="201">
        <f>G99/(D22*C127)</f>
        <v>298.70810408962956</v>
      </c>
      <c r="E127" s="1"/>
      <c r="F127" s="1"/>
      <c r="G127" s="1"/>
      <c r="H127" s="191"/>
      <c r="I127" s="106"/>
      <c r="J127" s="19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3" t="s">
        <v>210</v>
      </c>
      <c r="B128" s="213">
        <f>0.2688</f>
        <v>0.2688</v>
      </c>
      <c r="C128" s="213">
        <f>((D22*55)+(B114*82))/((D21*20)+(B114*88))</f>
        <v>0.6819371727748691</v>
      </c>
      <c r="D128" s="214">
        <f>G99/(D22*C128)</f>
        <v>292.01918301276646</v>
      </c>
      <c r="E128" s="1"/>
      <c r="F128" s="1"/>
      <c r="G128" s="1"/>
      <c r="H128" s="191"/>
      <c r="I128" s="106"/>
      <c r="J128" s="19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1"/>
      <c r="C129" s="202"/>
      <c r="D129" s="11"/>
      <c r="E129" s="1"/>
      <c r="F129" s="1"/>
      <c r="G129" s="1"/>
      <c r="H129" s="191"/>
      <c r="I129" s="106"/>
      <c r="J129" s="19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1"/>
      <c r="C130" s="1"/>
      <c r="D130" s="11"/>
      <c r="E130" s="1"/>
      <c r="F130" s="1"/>
      <c r="G130" s="1"/>
      <c r="H130" s="191"/>
      <c r="I130" s="106"/>
      <c r="J130" s="19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1"/>
      <c r="C131" s="1"/>
      <c r="D131" s="11"/>
      <c r="E131" s="1"/>
      <c r="F131" s="1"/>
      <c r="G131" s="1"/>
      <c r="H131" s="191"/>
      <c r="I131" s="106"/>
      <c r="J131" s="19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1"/>
      <c r="E132" s="1"/>
      <c r="F132" s="1"/>
      <c r="G132" s="1"/>
      <c r="H132" s="192"/>
      <c r="I132" s="184"/>
      <c r="J132" s="18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 t="s">
        <v>213</v>
      </c>
      <c r="B134" s="1"/>
      <c r="C134" s="1"/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210" t="s">
        <v>219</v>
      </c>
      <c r="B135" s="216" t="s">
        <v>215</v>
      </c>
      <c r="C135" s="210" t="s">
        <v>217</v>
      </c>
      <c r="D135" s="216" t="s">
        <v>197</v>
      </c>
      <c r="E135" s="216" t="s">
        <v>206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 t="s">
        <v>214</v>
      </c>
      <c r="B136" s="104">
        <v>0.25</v>
      </c>
      <c r="C136" s="11">
        <f>141</f>
        <v>141</v>
      </c>
      <c r="D136" s="104">
        <v>0.55</v>
      </c>
      <c r="E136" s="201">
        <f>19914/77.55</f>
        <v>256.78916827853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3" t="s">
        <v>216</v>
      </c>
      <c r="B137" s="217">
        <v>0.12</v>
      </c>
      <c r="C137" s="214">
        <v>165.44</v>
      </c>
      <c r="D137" s="218">
        <v>66.67</v>
      </c>
      <c r="E137" s="214">
        <f>(19914+234.4)/91.45</f>
        <v>220.32148715144888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1"/>
      <c r="C138" s="1"/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1"/>
      <c r="C139" s="1"/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1"/>
      <c r="C140" s="1"/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1"/>
      <c r="C141" s="1"/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1"/>
      <c r="C142" s="1"/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1"/>
      <c r="B143" s="1"/>
      <c r="C143" s="1"/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1"/>
      <c r="C144" s="1"/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1"/>
      <c r="C145" s="1"/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1"/>
      <c r="B146" s="1"/>
      <c r="C146" s="1"/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1"/>
      <c r="C147" s="1"/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1"/>
      <c r="C148" s="1"/>
      <c r="D148" s="179"/>
      <c r="E148" s="179"/>
      <c r="F148" s="179"/>
      <c r="G148" s="17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31"/>
      <c r="B149" s="31"/>
      <c r="C149" s="31"/>
      <c r="D149" s="98"/>
      <c r="E149" s="98"/>
      <c r="F149" s="98"/>
      <c r="G149" s="9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31"/>
      <c r="B150" s="31"/>
      <c r="C150" s="31"/>
      <c r="D150" s="98"/>
      <c r="E150" s="98"/>
      <c r="F150" s="98"/>
      <c r="G150" s="9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31"/>
      <c r="B151" s="25"/>
      <c r="C151" s="25"/>
      <c r="D151" s="98"/>
      <c r="E151" s="98"/>
      <c r="F151" s="98"/>
      <c r="G151" s="9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31"/>
      <c r="B152" s="25"/>
      <c r="C152" s="25"/>
      <c r="D152" s="98"/>
      <c r="E152" s="98"/>
      <c r="F152" s="98"/>
      <c r="G152" s="9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3.5">
      <c r="A154" s="193"/>
      <c r="B154" s="194"/>
      <c r="C154" s="194"/>
      <c r="D154" s="194"/>
      <c r="E154" s="194"/>
      <c r="F154" s="194"/>
      <c r="G154" s="19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3.5">
      <c r="A155" s="193"/>
      <c r="B155" s="194"/>
      <c r="C155" s="194"/>
      <c r="D155" s="194"/>
      <c r="E155" s="194"/>
      <c r="F155" s="194"/>
      <c r="G155" s="19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3.5">
      <c r="A156" s="193"/>
      <c r="B156" s="194"/>
      <c r="C156" s="194"/>
      <c r="D156" s="194"/>
      <c r="E156" s="194"/>
      <c r="F156" s="194"/>
      <c r="G156" s="19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60" spans="7:14" ht="12.75">
      <c r="G160" s="1"/>
      <c r="H160" s="1"/>
      <c r="I160" s="1"/>
      <c r="J160" s="1"/>
      <c r="K160" s="1"/>
      <c r="L160" s="1"/>
      <c r="M160" s="1"/>
      <c r="N160" s="1"/>
    </row>
    <row r="161" spans="7:14" ht="12.75">
      <c r="G161" s="1"/>
      <c r="H161" s="1"/>
      <c r="I161" s="1"/>
      <c r="J161" s="1"/>
      <c r="K161" s="1"/>
      <c r="L161" s="1"/>
      <c r="M161" s="1"/>
      <c r="N161" s="1"/>
    </row>
    <row r="162" spans="7:14" ht="12.75">
      <c r="G162" s="1"/>
      <c r="H162" s="1"/>
      <c r="I162" s="1"/>
      <c r="J162" s="1"/>
      <c r="K162" s="1"/>
      <c r="L162" s="1"/>
      <c r="M162" s="1"/>
      <c r="N162" s="1"/>
    </row>
    <row r="163" spans="7:14" ht="12.75">
      <c r="G163" s="1"/>
      <c r="H163" s="179"/>
      <c r="I163" s="179"/>
      <c r="J163" s="1"/>
      <c r="K163" s="1"/>
      <c r="L163" s="1"/>
      <c r="M163" s="1"/>
      <c r="N163" s="1"/>
    </row>
    <row r="164" spans="7:14" ht="12.75">
      <c r="G164" s="1"/>
      <c r="H164" s="98"/>
      <c r="I164" s="98"/>
      <c r="J164" s="1"/>
      <c r="K164" s="1"/>
      <c r="L164" s="1"/>
      <c r="M164" s="1"/>
      <c r="N164" s="1"/>
    </row>
    <row r="165" spans="7:14" ht="12.75">
      <c r="G165" s="1"/>
      <c r="H165" s="98"/>
      <c r="I165" s="98"/>
      <c r="J165" s="1"/>
      <c r="K165" s="1"/>
      <c r="L165" s="1"/>
      <c r="M165" s="1"/>
      <c r="N165" s="1"/>
    </row>
    <row r="166" spans="7:14" ht="12.75">
      <c r="G166" s="1"/>
      <c r="H166" s="98"/>
      <c r="I166" s="98"/>
      <c r="J166" s="1"/>
      <c r="K166" s="1"/>
      <c r="L166" s="1"/>
      <c r="M166" s="1"/>
      <c r="N166" s="1"/>
    </row>
    <row r="167" spans="7:14" ht="12.75">
      <c r="G167" s="1"/>
      <c r="H167" s="98"/>
      <c r="I167" s="98"/>
      <c r="J167" s="1"/>
      <c r="K167" s="1"/>
      <c r="L167" s="1"/>
      <c r="M167" s="1"/>
      <c r="N167" s="1"/>
    </row>
    <row r="168" spans="7:14" ht="12.75">
      <c r="G168" s="1"/>
      <c r="H168" s="1"/>
      <c r="I168" s="1"/>
      <c r="J168" s="1"/>
      <c r="K168" s="1"/>
      <c r="L168" s="1"/>
      <c r="M168" s="1"/>
      <c r="N168" s="1"/>
    </row>
    <row r="169" spans="7:14" ht="12.75">
      <c r="G169" s="1"/>
      <c r="H169" s="194"/>
      <c r="I169" s="194"/>
      <c r="J169" s="1"/>
      <c r="K169" s="1"/>
      <c r="L169" s="1"/>
      <c r="M169" s="1"/>
      <c r="N169" s="1"/>
    </row>
    <row r="170" spans="7:14" ht="12.75">
      <c r="G170" s="1"/>
      <c r="H170" s="194"/>
      <c r="I170" s="194"/>
      <c r="J170" s="1"/>
      <c r="K170" s="1"/>
      <c r="L170" s="1"/>
      <c r="M170" s="1"/>
      <c r="N170" s="1"/>
    </row>
    <row r="171" spans="7:14" ht="12.75">
      <c r="G171" s="1"/>
      <c r="H171" s="194"/>
      <c r="I171" s="194"/>
      <c r="J171" s="1"/>
      <c r="K171" s="1"/>
      <c r="L171" s="1"/>
      <c r="M171" s="1"/>
      <c r="N171" s="1"/>
    </row>
    <row r="172" spans="7:14" ht="12.75">
      <c r="G172" s="1"/>
      <c r="H172" s="1"/>
      <c r="I172" s="1"/>
      <c r="J172" s="1"/>
      <c r="K172" s="1"/>
      <c r="L172" s="1"/>
      <c r="M172" s="1"/>
      <c r="N172" s="1"/>
    </row>
    <row r="173" spans="7:14" ht="12.75">
      <c r="G173" s="1"/>
      <c r="H173" s="1"/>
      <c r="I173" s="1"/>
      <c r="J173" s="1"/>
      <c r="K173" s="1"/>
      <c r="L173" s="1"/>
      <c r="M173" s="1"/>
      <c r="N173" s="1"/>
    </row>
    <row r="174" spans="7:14" ht="12.75">
      <c r="G174" s="1"/>
      <c r="H174" s="1"/>
      <c r="I174" s="1"/>
      <c r="J174" s="1"/>
      <c r="K174" s="1"/>
      <c r="L174" s="1"/>
      <c r="M174" s="1"/>
      <c r="N174" s="1"/>
    </row>
    <row r="175" spans="7:14" ht="12.75">
      <c r="G175" s="1"/>
      <c r="H175" s="1"/>
      <c r="I175" s="1"/>
      <c r="J175" s="1"/>
      <c r="K175" s="1"/>
      <c r="L175" s="1"/>
      <c r="M175" s="1"/>
      <c r="N175" s="1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4"/>
  <rowBreaks count="2" manualBreakCount="2">
    <brk id="25" max="255" man="1"/>
    <brk id="9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8"/>
  <sheetViews>
    <sheetView view="pageBreakPreview" zoomScale="60" zoomScaleNormal="75" zoomScalePageLayoutView="0" workbookViewId="0" topLeftCell="A1">
      <selection activeCell="A3" sqref="A3"/>
    </sheetView>
  </sheetViews>
  <sheetFormatPr defaultColWidth="9.140625" defaultRowHeight="12.75"/>
  <cols>
    <col min="1" max="1" width="39.8515625" style="229" customWidth="1"/>
    <col min="2" max="2" width="17.7109375" style="229" customWidth="1"/>
    <col min="3" max="3" width="16.57421875" style="229" customWidth="1"/>
    <col min="4" max="4" width="6.28125" style="229" customWidth="1"/>
    <col min="5" max="5" width="10.421875" style="229" customWidth="1"/>
    <col min="6" max="6" width="8.57421875" style="229" customWidth="1"/>
    <col min="7" max="7" width="4.421875" style="229" customWidth="1"/>
    <col min="8" max="8" width="7.00390625" style="229" customWidth="1"/>
    <col min="9" max="9" width="9.421875" style="229" customWidth="1"/>
    <col min="10" max="10" width="6.7109375" style="229" customWidth="1"/>
    <col min="11" max="11" width="9.8515625" style="229" bestFit="1" customWidth="1"/>
    <col min="12" max="12" width="8.7109375" style="229" customWidth="1"/>
    <col min="13" max="13" width="7.28125" style="229" customWidth="1"/>
    <col min="14" max="14" width="4.7109375" style="229" customWidth="1"/>
    <col min="15" max="15" width="5.8515625" style="229" customWidth="1"/>
    <col min="16" max="16" width="31.00390625" style="229" customWidth="1"/>
    <col min="17" max="17" width="15.140625" style="229" bestFit="1" customWidth="1"/>
    <col min="18" max="16384" width="9.140625" style="229" customWidth="1"/>
  </cols>
  <sheetData>
    <row r="2" spans="1:16" ht="15.75">
      <c r="A2" s="296" t="s">
        <v>28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4" spans="10:15" ht="12.75">
      <c r="J4" s="297" t="s">
        <v>33</v>
      </c>
      <c r="K4" s="298"/>
      <c r="L4" s="299"/>
      <c r="M4" s="297" t="s">
        <v>17</v>
      </c>
      <c r="N4" s="298"/>
      <c r="O4" s="299"/>
    </row>
    <row r="5" spans="1:16" ht="14.25">
      <c r="A5" s="230" t="s">
        <v>174</v>
      </c>
      <c r="B5" s="231" t="s">
        <v>230</v>
      </c>
      <c r="C5" s="229" t="s">
        <v>2</v>
      </c>
      <c r="D5" s="229" t="s">
        <v>5</v>
      </c>
      <c r="E5" s="229" t="s">
        <v>18</v>
      </c>
      <c r="F5" s="232" t="s">
        <v>3</v>
      </c>
      <c r="G5" s="229" t="s">
        <v>11</v>
      </c>
      <c r="H5" s="229" t="s">
        <v>32</v>
      </c>
      <c r="I5" s="232" t="s">
        <v>4</v>
      </c>
      <c r="J5" s="233" t="s">
        <v>12</v>
      </c>
      <c r="K5" s="234" t="s">
        <v>13</v>
      </c>
      <c r="L5" s="235" t="s">
        <v>14</v>
      </c>
      <c r="M5" s="236" t="s">
        <v>15</v>
      </c>
      <c r="N5" s="237" t="s">
        <v>16</v>
      </c>
      <c r="O5" s="238" t="s">
        <v>35</v>
      </c>
      <c r="P5" s="239" t="s">
        <v>34</v>
      </c>
    </row>
    <row r="6" spans="1:16" ht="15">
      <c r="A6" s="229" t="s">
        <v>1</v>
      </c>
      <c r="B6" s="240">
        <v>83.23</v>
      </c>
      <c r="C6" s="240">
        <v>2.7</v>
      </c>
      <c r="D6" s="240">
        <v>7</v>
      </c>
      <c r="E6" s="240">
        <v>9460</v>
      </c>
      <c r="F6" s="240">
        <f>(C6*D6)/10</f>
        <v>1.8900000000000001</v>
      </c>
      <c r="G6" s="240">
        <v>85</v>
      </c>
      <c r="H6" s="240">
        <v>2000</v>
      </c>
      <c r="I6" s="241">
        <f aca="true" t="shared" si="0" ref="I6:I15">(F6)*(G6/100)</f>
        <v>1.6065</v>
      </c>
      <c r="J6" s="242">
        <f aca="true" t="shared" si="1" ref="J6:J14">((E6-0.1*E6))/H6</f>
        <v>4.257</v>
      </c>
      <c r="K6" s="243">
        <f>(((E6+0.1*E6)/2)*(8.75/100))/(H6*0.1)</f>
        <v>2.2763125</v>
      </c>
      <c r="L6" s="244">
        <f aca="true" t="shared" si="2" ref="L6:L15">(E6*(1/100))/(H6*0.1)</f>
        <v>0.47300000000000003</v>
      </c>
      <c r="M6" s="245" t="s">
        <v>225</v>
      </c>
      <c r="N6" s="246">
        <f aca="true" t="shared" si="3" ref="N6:N14">(E6*0.6)/H6</f>
        <v>2.838</v>
      </c>
      <c r="O6" s="247" t="s">
        <v>225</v>
      </c>
      <c r="P6" s="248">
        <f>J6+K6+L6+N6</f>
        <v>9.8443125</v>
      </c>
    </row>
    <row r="7" spans="1:16" ht="15">
      <c r="A7" s="229" t="s">
        <v>19</v>
      </c>
      <c r="B7" s="240">
        <v>72.5</v>
      </c>
      <c r="C7" s="240">
        <v>2.2</v>
      </c>
      <c r="D7" s="240">
        <v>7</v>
      </c>
      <c r="E7" s="240">
        <v>4030</v>
      </c>
      <c r="F7" s="240">
        <f aca="true" t="shared" si="4" ref="F7:F15">(C7*D7)/10</f>
        <v>1.5400000000000003</v>
      </c>
      <c r="G7" s="240">
        <v>80</v>
      </c>
      <c r="H7" s="240">
        <v>2000</v>
      </c>
      <c r="I7" s="241">
        <f t="shared" si="0"/>
        <v>1.2320000000000002</v>
      </c>
      <c r="J7" s="249">
        <f t="shared" si="1"/>
        <v>1.8135</v>
      </c>
      <c r="K7" s="250">
        <f>(((E7+0.1*E7)/2)*(8.75/100))/(H7*0.1)</f>
        <v>0.96971875</v>
      </c>
      <c r="L7" s="251">
        <f t="shared" si="2"/>
        <v>0.2015</v>
      </c>
      <c r="M7" s="252" t="s">
        <v>225</v>
      </c>
      <c r="N7" s="253">
        <f t="shared" si="3"/>
        <v>1.209</v>
      </c>
      <c r="O7" s="254" t="s">
        <v>225</v>
      </c>
      <c r="P7" s="255">
        <f aca="true" t="shared" si="5" ref="P7:P15">J7+K7+L7+N7</f>
        <v>4.19371875</v>
      </c>
    </row>
    <row r="8" spans="1:16" ht="15">
      <c r="A8" s="229" t="s">
        <v>30</v>
      </c>
      <c r="B8" s="240">
        <v>60</v>
      </c>
      <c r="C8" s="240">
        <v>0.75</v>
      </c>
      <c r="D8" s="240">
        <v>7</v>
      </c>
      <c r="E8" s="240">
        <v>3083.33</v>
      </c>
      <c r="F8" s="240">
        <f>(C8*D8)/10</f>
        <v>0.525</v>
      </c>
      <c r="G8" s="240">
        <v>85</v>
      </c>
      <c r="H8" s="240">
        <v>2000</v>
      </c>
      <c r="I8" s="241">
        <f t="shared" si="0"/>
        <v>0.44625</v>
      </c>
      <c r="J8" s="249">
        <f t="shared" si="1"/>
        <v>1.3874985</v>
      </c>
      <c r="K8" s="250">
        <f>(((E8+0.1*E8)/2)*(8.75/100))/(H8*0.1)</f>
        <v>0.74192628125</v>
      </c>
      <c r="L8" s="251">
        <f t="shared" si="2"/>
        <v>0.1541665</v>
      </c>
      <c r="M8" s="252" t="s">
        <v>225</v>
      </c>
      <c r="N8" s="253">
        <f t="shared" si="3"/>
        <v>0.9249989999999999</v>
      </c>
      <c r="O8" s="254" t="s">
        <v>225</v>
      </c>
      <c r="P8" s="255">
        <f t="shared" si="5"/>
        <v>3.2085902812500002</v>
      </c>
    </row>
    <row r="9" spans="1:16" ht="15">
      <c r="A9" s="229" t="s">
        <v>6</v>
      </c>
      <c r="B9" s="256" t="s">
        <v>225</v>
      </c>
      <c r="C9" s="240">
        <v>12</v>
      </c>
      <c r="D9" s="240">
        <v>8.5</v>
      </c>
      <c r="E9" s="240">
        <v>2500</v>
      </c>
      <c r="F9" s="240">
        <f t="shared" si="4"/>
        <v>10.2</v>
      </c>
      <c r="G9" s="240">
        <v>60</v>
      </c>
      <c r="H9" s="240">
        <v>1200</v>
      </c>
      <c r="I9" s="241">
        <f t="shared" si="0"/>
        <v>6.119999999999999</v>
      </c>
      <c r="J9" s="249">
        <f t="shared" si="1"/>
        <v>1.875</v>
      </c>
      <c r="K9" s="250">
        <f>(((E9+0.1*E9)/2)*(12.75/100))/(H9*0.1)</f>
        <v>1.4609375</v>
      </c>
      <c r="L9" s="251">
        <f t="shared" si="2"/>
        <v>0.20833333333333334</v>
      </c>
      <c r="M9" s="252" t="s">
        <v>225</v>
      </c>
      <c r="N9" s="253">
        <f t="shared" si="3"/>
        <v>1.25</v>
      </c>
      <c r="O9" s="254" t="s">
        <v>225</v>
      </c>
      <c r="P9" s="255">
        <f t="shared" si="5"/>
        <v>4.794270833333334</v>
      </c>
    </row>
    <row r="10" spans="1:16" ht="15">
      <c r="A10" s="229" t="s">
        <v>31</v>
      </c>
      <c r="B10" s="240">
        <v>77.5</v>
      </c>
      <c r="C10" s="240">
        <v>12</v>
      </c>
      <c r="D10" s="240">
        <v>10</v>
      </c>
      <c r="E10" s="240">
        <v>8533.33</v>
      </c>
      <c r="F10" s="240">
        <f t="shared" si="4"/>
        <v>12</v>
      </c>
      <c r="G10" s="240">
        <v>70</v>
      </c>
      <c r="H10" s="240">
        <v>1200</v>
      </c>
      <c r="I10" s="241">
        <f t="shared" si="0"/>
        <v>8.399999999999999</v>
      </c>
      <c r="J10" s="249">
        <f t="shared" si="1"/>
        <v>6.3999975</v>
      </c>
      <c r="K10" s="250">
        <f aca="true" t="shared" si="6" ref="K10:K15">(((E10+0.1*E10)/2)*(12.75/100))/(H10*0.1)</f>
        <v>4.986664718750001</v>
      </c>
      <c r="L10" s="251">
        <f t="shared" si="2"/>
        <v>0.7111108333333332</v>
      </c>
      <c r="M10" s="252" t="s">
        <v>225</v>
      </c>
      <c r="N10" s="253">
        <f t="shared" si="3"/>
        <v>4.266665</v>
      </c>
      <c r="O10" s="254" t="s">
        <v>225</v>
      </c>
      <c r="P10" s="255">
        <f t="shared" si="5"/>
        <v>16.364438052083333</v>
      </c>
    </row>
    <row r="11" spans="1:16" ht="15">
      <c r="A11" s="229" t="s">
        <v>0</v>
      </c>
      <c r="B11" s="256" t="s">
        <v>225</v>
      </c>
      <c r="C11" s="240">
        <v>14</v>
      </c>
      <c r="D11" s="240">
        <v>10.5</v>
      </c>
      <c r="E11" s="240">
        <v>11950</v>
      </c>
      <c r="F11" s="240">
        <f t="shared" si="4"/>
        <v>14.7</v>
      </c>
      <c r="G11" s="240">
        <v>65</v>
      </c>
      <c r="H11" s="240">
        <v>1500</v>
      </c>
      <c r="I11" s="241">
        <f t="shared" si="0"/>
        <v>9.555</v>
      </c>
      <c r="J11" s="249">
        <f t="shared" si="1"/>
        <v>7.17</v>
      </c>
      <c r="K11" s="250">
        <f t="shared" si="6"/>
        <v>5.586625</v>
      </c>
      <c r="L11" s="251">
        <f t="shared" si="2"/>
        <v>0.7966666666666666</v>
      </c>
      <c r="M11" s="252" t="s">
        <v>225</v>
      </c>
      <c r="N11" s="253">
        <f t="shared" si="3"/>
        <v>4.78</v>
      </c>
      <c r="O11" s="254" t="s">
        <v>225</v>
      </c>
      <c r="P11" s="255">
        <f t="shared" si="5"/>
        <v>18.333291666666668</v>
      </c>
    </row>
    <row r="12" spans="1:16" ht="15">
      <c r="A12" s="229" t="s">
        <v>7</v>
      </c>
      <c r="B12" s="240">
        <v>118.2</v>
      </c>
      <c r="C12" s="240">
        <v>2</v>
      </c>
      <c r="D12" s="240">
        <v>5</v>
      </c>
      <c r="E12" s="240">
        <v>49500</v>
      </c>
      <c r="F12" s="240">
        <f t="shared" si="4"/>
        <v>1</v>
      </c>
      <c r="G12" s="240">
        <v>70</v>
      </c>
      <c r="H12" s="240">
        <v>2500</v>
      </c>
      <c r="I12" s="241">
        <f t="shared" si="0"/>
        <v>0.7</v>
      </c>
      <c r="J12" s="249">
        <f t="shared" si="1"/>
        <v>17.82</v>
      </c>
      <c r="K12" s="250">
        <f t="shared" si="6"/>
        <v>13.88475</v>
      </c>
      <c r="L12" s="251">
        <f t="shared" si="2"/>
        <v>1.98</v>
      </c>
      <c r="M12" s="252" t="s">
        <v>225</v>
      </c>
      <c r="N12" s="253">
        <f t="shared" si="3"/>
        <v>11.88</v>
      </c>
      <c r="O12" s="254" t="s">
        <v>225</v>
      </c>
      <c r="P12" s="255">
        <f t="shared" si="5"/>
        <v>45.564750000000004</v>
      </c>
    </row>
    <row r="13" spans="1:16" ht="15">
      <c r="A13" s="229" t="s">
        <v>8</v>
      </c>
      <c r="B13" s="240">
        <v>78.8</v>
      </c>
      <c r="C13" s="240">
        <v>1.83</v>
      </c>
      <c r="D13" s="240">
        <v>5</v>
      </c>
      <c r="E13" s="240">
        <v>28030</v>
      </c>
      <c r="F13" s="240">
        <f t="shared" si="4"/>
        <v>0.915</v>
      </c>
      <c r="G13" s="240">
        <v>70</v>
      </c>
      <c r="H13" s="240">
        <v>2500</v>
      </c>
      <c r="I13" s="241">
        <f t="shared" si="0"/>
        <v>0.6405</v>
      </c>
      <c r="J13" s="249">
        <f t="shared" si="1"/>
        <v>10.0908</v>
      </c>
      <c r="K13" s="250">
        <f t="shared" si="6"/>
        <v>7.862415</v>
      </c>
      <c r="L13" s="251">
        <f t="shared" si="2"/>
        <v>1.1212</v>
      </c>
      <c r="M13" s="252" t="s">
        <v>225</v>
      </c>
      <c r="N13" s="253">
        <f t="shared" si="3"/>
        <v>6.7272</v>
      </c>
      <c r="O13" s="254" t="s">
        <v>225</v>
      </c>
      <c r="P13" s="255">
        <f t="shared" si="5"/>
        <v>25.801615</v>
      </c>
    </row>
    <row r="14" spans="1:16" ht="15">
      <c r="A14" s="229" t="s">
        <v>9</v>
      </c>
      <c r="B14" s="240">
        <v>108.35</v>
      </c>
      <c r="C14" s="240">
        <v>2</v>
      </c>
      <c r="D14" s="240">
        <v>5</v>
      </c>
      <c r="E14" s="240">
        <v>63500</v>
      </c>
      <c r="F14" s="240">
        <f t="shared" si="4"/>
        <v>1</v>
      </c>
      <c r="G14" s="240">
        <v>70</v>
      </c>
      <c r="H14" s="240">
        <v>2500</v>
      </c>
      <c r="I14" s="241">
        <f t="shared" si="0"/>
        <v>0.7</v>
      </c>
      <c r="J14" s="249">
        <f t="shared" si="1"/>
        <v>22.86</v>
      </c>
      <c r="K14" s="250">
        <f t="shared" si="6"/>
        <v>17.81175</v>
      </c>
      <c r="L14" s="251">
        <f t="shared" si="2"/>
        <v>2.54</v>
      </c>
      <c r="M14" s="252" t="s">
        <v>225</v>
      </c>
      <c r="N14" s="253">
        <f t="shared" si="3"/>
        <v>15.24</v>
      </c>
      <c r="O14" s="254" t="s">
        <v>225</v>
      </c>
      <c r="P14" s="255">
        <f t="shared" si="5"/>
        <v>58.451750000000004</v>
      </c>
    </row>
    <row r="15" spans="1:16" ht="15">
      <c r="A15" s="229" t="s">
        <v>10</v>
      </c>
      <c r="B15" s="240">
        <v>40</v>
      </c>
      <c r="C15" s="240">
        <v>1.3</v>
      </c>
      <c r="D15" s="240">
        <v>5</v>
      </c>
      <c r="E15" s="240">
        <v>25500</v>
      </c>
      <c r="F15" s="240">
        <f t="shared" si="4"/>
        <v>0.65</v>
      </c>
      <c r="G15" s="240">
        <v>70</v>
      </c>
      <c r="H15" s="240">
        <v>2000</v>
      </c>
      <c r="I15" s="241">
        <f t="shared" si="0"/>
        <v>0.45499999999999996</v>
      </c>
      <c r="J15" s="257">
        <f>((E15-0.1*E15))/H15</f>
        <v>11.475</v>
      </c>
      <c r="K15" s="258">
        <f t="shared" si="6"/>
        <v>8.9409375</v>
      </c>
      <c r="L15" s="259">
        <f t="shared" si="2"/>
        <v>1.275</v>
      </c>
      <c r="M15" s="260" t="s">
        <v>225</v>
      </c>
      <c r="N15" s="261">
        <f>(E15*0.6)/H15</f>
        <v>7.65</v>
      </c>
      <c r="O15" s="262" t="s">
        <v>225</v>
      </c>
      <c r="P15" s="263">
        <f t="shared" si="5"/>
        <v>29.340937499999995</v>
      </c>
    </row>
    <row r="16" spans="2:17" ht="14.25">
      <c r="B16" s="240"/>
      <c r="C16" s="240"/>
      <c r="D16" s="240"/>
      <c r="E16" s="240"/>
      <c r="F16" s="240"/>
      <c r="G16" s="240"/>
      <c r="H16" s="240"/>
      <c r="I16" s="240"/>
      <c r="J16" s="241"/>
      <c r="K16" s="241"/>
      <c r="L16" s="241"/>
      <c r="M16" s="240"/>
      <c r="N16" s="240"/>
      <c r="O16" s="240"/>
      <c r="P16" s="240"/>
      <c r="Q16" s="240"/>
    </row>
    <row r="17" spans="1:17" ht="15">
      <c r="A17" s="230" t="s">
        <v>173</v>
      </c>
      <c r="B17" s="240"/>
      <c r="C17" s="240"/>
      <c r="D17" s="240"/>
      <c r="E17" s="240"/>
      <c r="F17" s="240"/>
      <c r="G17" s="240"/>
      <c r="H17" s="240"/>
      <c r="I17" s="240"/>
      <c r="J17" s="241"/>
      <c r="K17" s="241"/>
      <c r="L17" s="241"/>
      <c r="M17" s="240"/>
      <c r="N17" s="240"/>
      <c r="O17" s="240"/>
      <c r="P17" s="264" t="s">
        <v>38</v>
      </c>
      <c r="Q17" s="240"/>
    </row>
    <row r="18" spans="1:17" ht="15">
      <c r="A18" s="265" t="s">
        <v>226</v>
      </c>
      <c r="B18" s="265">
        <v>75</v>
      </c>
      <c r="C18" s="266" t="s">
        <v>225</v>
      </c>
      <c r="D18" s="266" t="s">
        <v>225</v>
      </c>
      <c r="E18" s="267">
        <v>47000</v>
      </c>
      <c r="F18" s="268" t="s">
        <v>225</v>
      </c>
      <c r="G18" s="268" t="s">
        <v>225</v>
      </c>
      <c r="H18" s="240">
        <v>12000</v>
      </c>
      <c r="I18" s="268" t="s">
        <v>225</v>
      </c>
      <c r="J18" s="241">
        <f>((E18-0.4*E18))/H18</f>
        <v>2.35</v>
      </c>
      <c r="K18" s="241">
        <f>(((E18+0.4*E18)/2)*(12.75/100))/(H18*0.1)</f>
        <v>3.495625</v>
      </c>
      <c r="L18" s="241">
        <f>(E18*(1.5/100))/(H18*0.1)</f>
        <v>0.5875</v>
      </c>
      <c r="M18" s="240">
        <f>((0.12*B18)*1.4)</f>
        <v>12.6</v>
      </c>
      <c r="N18" s="240">
        <f>((100/100)*E18)/H18</f>
        <v>3.9166666666666665</v>
      </c>
      <c r="O18" s="240"/>
      <c r="P18" s="248">
        <f>J18+K18+L18+M18+N18+O18</f>
        <v>22.949791666666666</v>
      </c>
      <c r="Q18" s="240"/>
    </row>
    <row r="19" spans="1:17" ht="15">
      <c r="A19" s="265" t="s">
        <v>37</v>
      </c>
      <c r="B19" s="265">
        <v>150</v>
      </c>
      <c r="C19" s="266" t="s">
        <v>225</v>
      </c>
      <c r="D19" s="266" t="s">
        <v>225</v>
      </c>
      <c r="E19" s="265">
        <v>95000</v>
      </c>
      <c r="F19" s="265" t="s">
        <v>225</v>
      </c>
      <c r="G19" s="265" t="s">
        <v>225</v>
      </c>
      <c r="H19" s="240">
        <v>16000</v>
      </c>
      <c r="I19" s="265" t="s">
        <v>225</v>
      </c>
      <c r="J19" s="241">
        <f>((E19-0.4*E19))/H19</f>
        <v>3.5625</v>
      </c>
      <c r="K19" s="241">
        <f>(((E19+0.4*E19)/2)*(12.75/100))/(H19*0.1)</f>
        <v>5.29921875</v>
      </c>
      <c r="L19" s="241">
        <f>(E19*(1.5/100))/(H19*0.1)</f>
        <v>0.890625</v>
      </c>
      <c r="M19" s="240">
        <f>((0.12*B19)*1.4)</f>
        <v>25.2</v>
      </c>
      <c r="N19" s="240">
        <f>((80/100)*E19)/H19</f>
        <v>4.75</v>
      </c>
      <c r="O19" s="240"/>
      <c r="P19" s="263">
        <f>J19+K19+L19+M19+N19+O19</f>
        <v>39.70234375</v>
      </c>
      <c r="Q19" s="240"/>
    </row>
    <row r="21" spans="12:13" ht="12.75">
      <c r="L21" s="229" t="s">
        <v>35</v>
      </c>
      <c r="M21" s="229">
        <f>((500/160)*1.9)</f>
        <v>5.9375</v>
      </c>
    </row>
    <row r="22" spans="1:9" ht="12.75" customHeight="1">
      <c r="A22" s="269" t="s">
        <v>141</v>
      </c>
      <c r="B22" s="270"/>
      <c r="C22" s="270"/>
      <c r="D22" s="270"/>
      <c r="E22" s="269"/>
      <c r="I22" s="270"/>
    </row>
    <row r="23" spans="1:5" ht="14.25">
      <c r="A23" s="230" t="s">
        <v>39</v>
      </c>
      <c r="B23" s="271" t="s">
        <v>229</v>
      </c>
      <c r="C23" s="271" t="s">
        <v>172</v>
      </c>
      <c r="D23" s="265"/>
      <c r="E23" s="267"/>
    </row>
    <row r="24" spans="1:5" ht="18.75" customHeight="1">
      <c r="A24" s="272" t="s">
        <v>36</v>
      </c>
      <c r="B24" s="273"/>
      <c r="C24" s="274"/>
      <c r="D24" s="265"/>
      <c r="E24" s="265"/>
    </row>
    <row r="25" spans="1:3" ht="14.25">
      <c r="A25" s="273" t="s">
        <v>1</v>
      </c>
      <c r="B25" s="242">
        <f>P6+$P$18+$M$21</f>
        <v>38.73160416666666</v>
      </c>
      <c r="C25" s="275">
        <f>B25/I6</f>
        <v>24.109308538230103</v>
      </c>
    </row>
    <row r="26" spans="1:19" ht="14.25">
      <c r="A26" s="276" t="s">
        <v>19</v>
      </c>
      <c r="B26" s="249">
        <f aca="true" t="shared" si="7" ref="B26:B32">P7+$P$18+$M$21</f>
        <v>33.081010416666665</v>
      </c>
      <c r="C26" s="277">
        <f aca="true" t="shared" si="8" ref="C26:C32">B26/I7</f>
        <v>26.851469494047613</v>
      </c>
      <c r="S26" s="229" t="s">
        <v>231</v>
      </c>
    </row>
    <row r="27" spans="1:19" ht="14.25">
      <c r="A27" s="276" t="s">
        <v>30</v>
      </c>
      <c r="B27" s="249">
        <f t="shared" si="7"/>
        <v>32.095881947916666</v>
      </c>
      <c r="C27" s="277">
        <f t="shared" si="8"/>
        <v>71.92354498132586</v>
      </c>
      <c r="S27" s="229" t="s">
        <v>232</v>
      </c>
    </row>
    <row r="28" spans="1:19" ht="14.25">
      <c r="A28" s="276" t="s">
        <v>6</v>
      </c>
      <c r="B28" s="249">
        <f t="shared" si="7"/>
        <v>33.6815625</v>
      </c>
      <c r="C28" s="277">
        <f t="shared" si="8"/>
        <v>5.503523284313726</v>
      </c>
      <c r="S28" s="229" t="s">
        <v>233</v>
      </c>
    </row>
    <row r="29" spans="1:19" ht="14.25">
      <c r="A29" s="278" t="s">
        <v>31</v>
      </c>
      <c r="B29" s="279">
        <f t="shared" si="7"/>
        <v>45.25172971875</v>
      </c>
      <c r="C29" s="280">
        <f t="shared" si="8"/>
        <v>5.3871106808035725</v>
      </c>
      <c r="S29" s="229" t="s">
        <v>6</v>
      </c>
    </row>
    <row r="30" spans="1:19" ht="14.25">
      <c r="A30" s="278" t="s">
        <v>0</v>
      </c>
      <c r="B30" s="279">
        <f t="shared" si="7"/>
        <v>47.22058333333334</v>
      </c>
      <c r="C30" s="280">
        <f t="shared" si="8"/>
        <v>4.941976277690564</v>
      </c>
      <c r="S30" s="229" t="s">
        <v>23</v>
      </c>
    </row>
    <row r="31" spans="1:19" s="284" customFormat="1" ht="14.25">
      <c r="A31" s="281"/>
      <c r="B31" s="282"/>
      <c r="C31" s="283"/>
      <c r="S31" s="285" t="s">
        <v>22</v>
      </c>
    </row>
    <row r="32" spans="1:19" ht="14.25">
      <c r="A32" s="276" t="s">
        <v>8</v>
      </c>
      <c r="B32" s="249">
        <f t="shared" si="7"/>
        <v>54.68890666666667</v>
      </c>
      <c r="C32" s="277">
        <f t="shared" si="8"/>
        <v>85.38470986208692</v>
      </c>
      <c r="S32" s="229" t="s">
        <v>234</v>
      </c>
    </row>
    <row r="33" spans="1:19" ht="14.25">
      <c r="A33" s="276"/>
      <c r="B33" s="249"/>
      <c r="C33" s="277"/>
      <c r="S33" s="229" t="s">
        <v>191</v>
      </c>
    </row>
    <row r="34" spans="1:19" ht="14.25">
      <c r="A34" s="233" t="s">
        <v>10</v>
      </c>
      <c r="B34" s="257">
        <f>P15+$P$18+$M$21</f>
        <v>58.228229166666665</v>
      </c>
      <c r="C34" s="286">
        <f>B34/I15</f>
        <v>127.97413003663004</v>
      </c>
      <c r="S34" s="229" t="s">
        <v>20</v>
      </c>
    </row>
    <row r="35" spans="2:19" ht="14.25">
      <c r="B35" s="287"/>
      <c r="C35" s="256"/>
      <c r="S35" s="229" t="s">
        <v>21</v>
      </c>
    </row>
    <row r="36" spans="2:3" ht="14.25">
      <c r="B36" s="240" t="s">
        <v>141</v>
      </c>
      <c r="C36" s="240"/>
    </row>
    <row r="37" spans="1:3" ht="18.75" customHeight="1">
      <c r="A37" s="272" t="s">
        <v>37</v>
      </c>
      <c r="B37" s="240"/>
      <c r="C37" s="240"/>
    </row>
    <row r="38" spans="1:3" ht="14.25">
      <c r="A38" s="288" t="s">
        <v>1</v>
      </c>
      <c r="B38" s="289">
        <f>$P$19+$M$21+P6</f>
        <v>55.48415625</v>
      </c>
      <c r="C38" s="275">
        <f aca="true" t="shared" si="9" ref="C38:C47">B38/I6</f>
        <v>34.53728991596638</v>
      </c>
    </row>
    <row r="39" spans="1:3" ht="14.25">
      <c r="A39" s="290" t="s">
        <v>19</v>
      </c>
      <c r="B39" s="291">
        <f aca="true" t="shared" si="10" ref="B39:B47">$P$19+$M$21+P7</f>
        <v>49.8335625</v>
      </c>
      <c r="C39" s="277">
        <f t="shared" si="9"/>
        <v>40.44932021103895</v>
      </c>
    </row>
    <row r="40" spans="1:3" ht="14.25">
      <c r="A40" s="290" t="s">
        <v>30</v>
      </c>
      <c r="B40" s="291">
        <f t="shared" si="10"/>
        <v>48.848434031249994</v>
      </c>
      <c r="C40" s="277">
        <f t="shared" si="9"/>
        <v>109.46427794117646</v>
      </c>
    </row>
    <row r="41" spans="1:3" ht="14.25">
      <c r="A41" s="290" t="s">
        <v>6</v>
      </c>
      <c r="B41" s="291">
        <f t="shared" si="10"/>
        <v>50.43411458333333</v>
      </c>
      <c r="C41" s="277">
        <f t="shared" si="9"/>
        <v>8.2408683959695</v>
      </c>
    </row>
    <row r="42" spans="1:3" ht="14.25">
      <c r="A42" s="290" t="s">
        <v>31</v>
      </c>
      <c r="B42" s="291">
        <f t="shared" si="10"/>
        <v>62.00428180208333</v>
      </c>
      <c r="C42" s="277">
        <f t="shared" si="9"/>
        <v>7.381462119295636</v>
      </c>
    </row>
    <row r="43" spans="1:3" ht="14.25">
      <c r="A43" s="292" t="s">
        <v>0</v>
      </c>
      <c r="B43" s="291">
        <f t="shared" si="10"/>
        <v>63.973135416666665</v>
      </c>
      <c r="C43" s="277">
        <f t="shared" si="9"/>
        <v>6.6952522675736965</v>
      </c>
    </row>
    <row r="44" spans="1:3" ht="14.25">
      <c r="A44" s="290" t="s">
        <v>7</v>
      </c>
      <c r="B44" s="291">
        <f t="shared" si="10"/>
        <v>91.20459375</v>
      </c>
      <c r="C44" s="277">
        <f t="shared" si="9"/>
        <v>130.2922767857143</v>
      </c>
    </row>
    <row r="45" spans="1:5" ht="14.25">
      <c r="A45" s="290" t="s">
        <v>8</v>
      </c>
      <c r="B45" s="291">
        <f t="shared" si="10"/>
        <v>71.44145875</v>
      </c>
      <c r="C45" s="277">
        <f t="shared" si="9"/>
        <v>111.54013856362216</v>
      </c>
      <c r="E45" s="229" t="s">
        <v>24</v>
      </c>
    </row>
    <row r="46" spans="1:5" ht="14.25">
      <c r="A46" s="290" t="s">
        <v>9</v>
      </c>
      <c r="B46" s="291">
        <f t="shared" si="10"/>
        <v>104.09159375</v>
      </c>
      <c r="C46" s="277">
        <f t="shared" si="9"/>
        <v>148.7022767857143</v>
      </c>
      <c r="E46" s="229" t="s">
        <v>227</v>
      </c>
    </row>
    <row r="47" spans="1:5" ht="14.25">
      <c r="A47" s="293" t="s">
        <v>10</v>
      </c>
      <c r="B47" s="294">
        <f t="shared" si="10"/>
        <v>74.98078124999999</v>
      </c>
      <c r="C47" s="286">
        <f t="shared" si="9"/>
        <v>164.79292582417582</v>
      </c>
      <c r="E47" s="229" t="s">
        <v>228</v>
      </c>
    </row>
    <row r="48" spans="2:3" ht="14.25">
      <c r="B48" s="240"/>
      <c r="C48" s="240"/>
    </row>
  </sheetData>
  <sheetProtection/>
  <mergeCells count="3">
    <mergeCell ref="A2:P2"/>
    <mergeCell ref="J4:L4"/>
    <mergeCell ref="M4:O4"/>
  </mergeCells>
  <printOptions/>
  <pageMargins left="0.787401575" right="0.787401575" top="0.984251969" bottom="0.984251969" header="0.492125985" footer="0.492125985"/>
  <pageSetup horizontalDpi="300" verticalDpi="300" orientation="landscape" paperSize="9" scale="62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0" bestFit="1" customWidth="1"/>
    <col min="2" max="2" width="17.421875" style="0" bestFit="1" customWidth="1"/>
    <col min="3" max="4" width="12.00390625" style="0" bestFit="1" customWidth="1"/>
  </cols>
  <sheetData>
    <row r="2" spans="1:4" ht="12.75">
      <c r="A2" t="s">
        <v>132</v>
      </c>
      <c r="B2" t="s">
        <v>131</v>
      </c>
      <c r="C2" s="96" t="s">
        <v>25</v>
      </c>
      <c r="D2" t="s">
        <v>29</v>
      </c>
    </row>
    <row r="3" spans="1:4" ht="12.75">
      <c r="A3" t="s">
        <v>27</v>
      </c>
      <c r="B3" s="295">
        <v>45507.42784798336</v>
      </c>
      <c r="C3" s="295">
        <f>B3/10</f>
        <v>4550.742784798336</v>
      </c>
      <c r="D3" s="295">
        <f>C3-C4</f>
        <v>816.8914836779668</v>
      </c>
    </row>
    <row r="4" spans="1:4" ht="12.75">
      <c r="A4" t="s">
        <v>26</v>
      </c>
      <c r="B4" s="295">
        <v>37338.51301120369</v>
      </c>
      <c r="C4" s="295">
        <f>B4/10</f>
        <v>3733.8513011203695</v>
      </c>
      <c r="D4" s="295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Leite</dc:creator>
  <cp:keywords/>
  <dc:description/>
  <cp:lastModifiedBy>Willian Santos</cp:lastModifiedBy>
  <cp:lastPrinted>2004-10-14T10:47:23Z</cp:lastPrinted>
  <dcterms:created xsi:type="dcterms:W3CDTF">2002-06-29T19:34:08Z</dcterms:created>
  <dcterms:modified xsi:type="dcterms:W3CDTF">2015-08-21T13:03:41Z</dcterms:modified>
  <cp:category/>
  <cp:version/>
  <cp:contentType/>
  <cp:contentStatus/>
</cp:coreProperties>
</file>