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090" activeTab="0"/>
  </bookViews>
  <sheets>
    <sheet name="Input" sheetId="1" r:id="rId1"/>
    <sheet name="Output-Tab" sheetId="2" r:id="rId2"/>
    <sheet name="Output-Chart" sheetId="3" r:id="rId3"/>
  </sheets>
  <definedNames>
    <definedName name="C_5">'Input'!$G$7</definedName>
    <definedName name="C_7">'Input'!$G$10</definedName>
    <definedName name="f">'Input'!$G$4</definedName>
    <definedName name="L_5">'Input'!$G$6</definedName>
    <definedName name="L_7">'Input'!$G$9</definedName>
    <definedName name="R_5">'Input'!$G$5</definedName>
    <definedName name="R_7">'Input'!$G$8</definedName>
    <definedName name="U">'Input'!$G$3</definedName>
  </definedNames>
  <calcPr fullCalcOnLoad="1"/>
</workbook>
</file>

<file path=xl/sharedStrings.xml><?xml version="1.0" encoding="utf-8"?>
<sst xmlns="http://schemas.openxmlformats.org/spreadsheetml/2006/main" count="70" uniqueCount="62">
  <si>
    <t>V</t>
  </si>
  <si>
    <t>Hz</t>
  </si>
  <si>
    <t>mH</t>
  </si>
  <si>
    <t>µF</t>
  </si>
  <si>
    <t>mΩ</t>
  </si>
  <si>
    <t>Total</t>
  </si>
  <si>
    <t>U</t>
  </si>
  <si>
    <t>f</t>
  </si>
  <si>
    <r>
      <t>R</t>
    </r>
    <r>
      <rPr>
        <i/>
        <vertAlign val="subscript"/>
        <sz val="10"/>
        <rFont val="Arial"/>
        <family val="2"/>
      </rPr>
      <t>5</t>
    </r>
  </si>
  <si>
    <r>
      <t>L</t>
    </r>
    <r>
      <rPr>
        <i/>
        <vertAlign val="subscript"/>
        <sz val="10"/>
        <rFont val="Arial"/>
        <family val="2"/>
      </rPr>
      <t>5</t>
    </r>
  </si>
  <si>
    <r>
      <t>C</t>
    </r>
    <r>
      <rPr>
        <i/>
        <vertAlign val="subscript"/>
        <sz val="10"/>
        <rFont val="Arial"/>
        <family val="2"/>
      </rPr>
      <t>5</t>
    </r>
  </si>
  <si>
    <r>
      <t>R</t>
    </r>
    <r>
      <rPr>
        <i/>
        <vertAlign val="subscript"/>
        <sz val="10"/>
        <rFont val="Arial"/>
        <family val="2"/>
      </rPr>
      <t>7</t>
    </r>
  </si>
  <si>
    <r>
      <t>C</t>
    </r>
    <r>
      <rPr>
        <i/>
        <vertAlign val="subscript"/>
        <sz val="10"/>
        <rFont val="Arial"/>
        <family val="2"/>
      </rPr>
      <t>7</t>
    </r>
  </si>
  <si>
    <r>
      <t>L</t>
    </r>
    <r>
      <rPr>
        <i/>
        <vertAlign val="subscript"/>
        <sz val="10"/>
        <rFont val="Arial"/>
        <family val="2"/>
      </rPr>
      <t>7</t>
    </r>
  </si>
  <si>
    <t>Circuit 5</t>
  </si>
  <si>
    <t>Circuit 7</t>
  </si>
  <si>
    <t>Rated TRMS mains voltage</t>
  </si>
  <si>
    <t>Rated mains frequency</t>
  </si>
  <si>
    <t>Ohmic winding resistance of lower frequency reactor (usually tuned to or near the 5th harmonic)</t>
  </si>
  <si>
    <t>Ohmic winding resistance of higher frequency reactor (usually tuned to or near the 7th harmonic)</t>
  </si>
  <si>
    <t>Inductance of lower frequency reactor (usually tuned to or near the 5th harmonic)</t>
  </si>
  <si>
    <t>Capacitance of lower frequency reactor (usually tuned to or near the 5th harmonic)</t>
  </si>
  <si>
    <t>Inductance of higher frequency reactor (usually tuned to or near the 7th harmonic)</t>
  </si>
  <si>
    <t>Capacitance of higher frequency reactor (usually tuned to or near the 7th harmonic)</t>
  </si>
  <si>
    <t>Harmonics in the mains voltage:</t>
  </si>
  <si>
    <t>No.</t>
  </si>
  <si>
    <r>
      <t>U</t>
    </r>
    <r>
      <rPr>
        <i/>
        <vertAlign val="subscript"/>
        <sz val="10"/>
        <rFont val="Arial"/>
        <family val="2"/>
      </rPr>
      <t>f</t>
    </r>
  </si>
  <si>
    <r>
      <t>U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²</t>
    </r>
  </si>
  <si>
    <t>Dimensioning a combined filter consisting of 2 acceptor circuits operating in parallel – output values</t>
  </si>
  <si>
    <r>
      <t>U</t>
    </r>
    <r>
      <rPr>
        <b/>
        <i/>
        <vertAlign val="subscript"/>
        <sz val="10"/>
        <rFont val="Arial"/>
        <family val="2"/>
      </rPr>
      <t>C5</t>
    </r>
  </si>
  <si>
    <r>
      <t>Z</t>
    </r>
    <r>
      <rPr>
        <b/>
        <i/>
        <vertAlign val="subscript"/>
        <sz val="10"/>
        <rFont val="Arial"/>
        <family val="2"/>
      </rPr>
      <t>5</t>
    </r>
  </si>
  <si>
    <r>
      <t>φ</t>
    </r>
    <r>
      <rPr>
        <b/>
        <i/>
        <vertAlign val="subscript"/>
        <sz val="10"/>
        <rFont val="Arial"/>
        <family val="2"/>
      </rPr>
      <t>5</t>
    </r>
  </si>
  <si>
    <r>
      <t>U</t>
    </r>
    <r>
      <rPr>
        <b/>
        <i/>
        <vertAlign val="subscript"/>
        <sz val="10"/>
        <rFont val="Arial"/>
        <family val="2"/>
      </rPr>
      <t>L5</t>
    </r>
  </si>
  <si>
    <r>
      <t>Z</t>
    </r>
    <r>
      <rPr>
        <b/>
        <i/>
        <vertAlign val="subscript"/>
        <sz val="10"/>
        <rFont val="Arial"/>
        <family val="2"/>
      </rPr>
      <t>7</t>
    </r>
  </si>
  <si>
    <r>
      <t>φ</t>
    </r>
    <r>
      <rPr>
        <b/>
        <i/>
        <vertAlign val="subscript"/>
        <sz val="10"/>
        <rFont val="Arial"/>
        <family val="2"/>
      </rPr>
      <t>7</t>
    </r>
  </si>
  <si>
    <r>
      <t>U</t>
    </r>
    <r>
      <rPr>
        <b/>
        <i/>
        <vertAlign val="subscript"/>
        <sz val="10"/>
        <rFont val="Arial"/>
        <family val="2"/>
      </rPr>
      <t>L7</t>
    </r>
  </si>
  <si>
    <r>
      <t>U</t>
    </r>
    <r>
      <rPr>
        <b/>
        <i/>
        <vertAlign val="subscript"/>
        <sz val="10"/>
        <rFont val="Arial"/>
        <family val="2"/>
      </rPr>
      <t>C7</t>
    </r>
  </si>
  <si>
    <r>
      <t>Z</t>
    </r>
    <r>
      <rPr>
        <b/>
        <i/>
        <vertAlign val="subscript"/>
        <sz val="10"/>
        <rFont val="Arial"/>
        <family val="2"/>
      </rPr>
      <t>tot</t>
    </r>
  </si>
  <si>
    <r>
      <t>φ</t>
    </r>
    <r>
      <rPr>
        <b/>
        <i/>
        <vertAlign val="subscript"/>
        <sz val="10"/>
        <rFont val="Arial"/>
        <family val="2"/>
      </rPr>
      <t>tot</t>
    </r>
  </si>
  <si>
    <t>Harmonic</t>
  </si>
  <si>
    <r>
      <t>I</t>
    </r>
    <r>
      <rPr>
        <b/>
        <i/>
        <vertAlign val="subscript"/>
        <sz val="10"/>
        <rFont val="Arial"/>
        <family val="2"/>
      </rPr>
      <t>tot</t>
    </r>
  </si>
  <si>
    <r>
      <t>I</t>
    </r>
    <r>
      <rPr>
        <b/>
        <i/>
        <vertAlign val="subscript"/>
        <sz val="10"/>
        <rFont val="Arial"/>
        <family val="2"/>
      </rPr>
      <t>7</t>
    </r>
  </si>
  <si>
    <r>
      <t>I</t>
    </r>
    <r>
      <rPr>
        <b/>
        <i/>
        <vertAlign val="subscript"/>
        <sz val="10"/>
        <rFont val="Arial"/>
        <family val="2"/>
      </rPr>
      <t>5</t>
    </r>
  </si>
  <si>
    <r>
      <t>U</t>
    </r>
    <r>
      <rPr>
        <b/>
        <i/>
        <vertAlign val="subscript"/>
        <sz val="10"/>
        <rFont val="Arial"/>
        <family val="2"/>
      </rPr>
      <t>L5</t>
    </r>
    <r>
      <rPr>
        <b/>
        <i/>
        <sz val="10"/>
        <rFont val="Arial"/>
        <family val="2"/>
      </rPr>
      <t>²</t>
    </r>
  </si>
  <si>
    <r>
      <t>U</t>
    </r>
    <r>
      <rPr>
        <b/>
        <i/>
        <vertAlign val="subscript"/>
        <sz val="10"/>
        <rFont val="Arial"/>
        <family val="2"/>
      </rPr>
      <t>C5</t>
    </r>
    <r>
      <rPr>
        <b/>
        <i/>
        <sz val="10"/>
        <rFont val="Arial"/>
        <family val="2"/>
      </rPr>
      <t>²</t>
    </r>
  </si>
  <si>
    <r>
      <t>U</t>
    </r>
    <r>
      <rPr>
        <b/>
        <i/>
        <vertAlign val="subscript"/>
        <sz val="10"/>
        <rFont val="Arial"/>
        <family val="2"/>
      </rPr>
      <t>L7</t>
    </r>
    <r>
      <rPr>
        <b/>
        <i/>
        <sz val="10"/>
        <rFont val="Arial"/>
        <family val="2"/>
      </rPr>
      <t>²</t>
    </r>
  </si>
  <si>
    <r>
      <t>U</t>
    </r>
    <r>
      <rPr>
        <b/>
        <i/>
        <vertAlign val="subscript"/>
        <sz val="10"/>
        <rFont val="Arial"/>
        <family val="2"/>
      </rPr>
      <t>C7</t>
    </r>
    <r>
      <rPr>
        <b/>
        <i/>
        <sz val="10"/>
        <rFont val="Arial"/>
        <family val="2"/>
      </rPr>
      <t>²</t>
    </r>
  </si>
  <si>
    <r>
      <t>I</t>
    </r>
    <r>
      <rPr>
        <b/>
        <i/>
        <vertAlign val="subscript"/>
        <sz val="10"/>
        <rFont val="Arial"/>
        <family val="2"/>
      </rPr>
      <t>5</t>
    </r>
    <r>
      <rPr>
        <b/>
        <i/>
        <sz val="10"/>
        <rFont val="Arial"/>
        <family val="2"/>
      </rPr>
      <t>²</t>
    </r>
  </si>
  <si>
    <r>
      <t>I</t>
    </r>
    <r>
      <rPr>
        <b/>
        <i/>
        <vertAlign val="subscript"/>
        <sz val="10"/>
        <rFont val="Arial"/>
        <family val="2"/>
      </rPr>
      <t>7</t>
    </r>
    <r>
      <rPr>
        <b/>
        <i/>
        <sz val="10"/>
        <rFont val="Arial"/>
        <family val="2"/>
      </rPr>
      <t>²</t>
    </r>
  </si>
  <si>
    <t>Total ohmic power loss in the reactor winding:</t>
  </si>
  <si>
    <r>
      <t>f</t>
    </r>
    <r>
      <rPr>
        <i/>
        <vertAlign val="subscript"/>
        <sz val="10"/>
        <rFont val="Arial"/>
        <family val="2"/>
      </rPr>
      <t>0(5)</t>
    </r>
  </si>
  <si>
    <r>
      <t>f</t>
    </r>
    <r>
      <rPr>
        <i/>
        <vertAlign val="subscript"/>
        <sz val="10"/>
        <rFont val="Arial"/>
        <family val="2"/>
      </rPr>
      <t>0(7)</t>
    </r>
  </si>
  <si>
    <t>Resonance frequency of the 5th order filter</t>
  </si>
  <si>
    <t>Resonance frequency of the 7th order filter</t>
  </si>
  <si>
    <t>Ratings of your system and the filters:</t>
  </si>
  <si>
    <r>
      <t>X</t>
    </r>
    <r>
      <rPr>
        <b/>
        <i/>
        <vertAlign val="subscript"/>
        <sz val="10"/>
        <rFont val="Arial"/>
        <family val="2"/>
      </rPr>
      <t>L5</t>
    </r>
  </si>
  <si>
    <r>
      <t>X</t>
    </r>
    <r>
      <rPr>
        <b/>
        <i/>
        <vertAlign val="subscript"/>
        <sz val="10"/>
        <rFont val="Arial"/>
        <family val="2"/>
      </rPr>
      <t>C5</t>
    </r>
  </si>
  <si>
    <r>
      <t>X</t>
    </r>
    <r>
      <rPr>
        <b/>
        <i/>
        <vertAlign val="subscript"/>
        <sz val="10"/>
        <rFont val="Arial"/>
        <family val="2"/>
      </rPr>
      <t>L7</t>
    </r>
  </si>
  <si>
    <r>
      <t>X</t>
    </r>
    <r>
      <rPr>
        <b/>
        <i/>
        <vertAlign val="subscript"/>
        <sz val="10"/>
        <rFont val="Arial"/>
        <family val="2"/>
      </rPr>
      <t>C7</t>
    </r>
  </si>
  <si>
    <t>Dimensioning a combined filter consisting of 2 acceptor circuits operating in parallel – input values</t>
  </si>
  <si>
    <r>
      <t>I</t>
    </r>
    <r>
      <rPr>
        <b/>
        <i/>
        <vertAlign val="subscript"/>
        <sz val="10"/>
        <rFont val="Arial"/>
        <family val="2"/>
      </rPr>
      <t>tot</t>
    </r>
    <r>
      <rPr>
        <b/>
        <i/>
        <sz val="10"/>
        <rFont val="Arial"/>
        <family val="2"/>
      </rPr>
      <t>²</t>
    </r>
  </si>
  <si>
    <t>Totals (TRMS):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</si>
</sst>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V"/>
    <numFmt numFmtId="165" formatCode="0\H\z"/>
    <numFmt numFmtId="166" formatCode="0\Ω"/>
    <numFmt numFmtId="167" formatCode="0.0\Ω"/>
    <numFmt numFmtId="168" formatCode="0.00\Ω"/>
    <numFmt numFmtId="169" formatCode="0.000\Ω"/>
    <numFmt numFmtId="170" formatCode="0.00\°"/>
    <numFmt numFmtId="171" formatCode="0.0\H\z"/>
    <numFmt numFmtId="172" formatCode="0.000"/>
    <numFmt numFmtId="173" formatCode="0.000000000000"/>
    <numFmt numFmtId="174" formatCode="0.0\V"/>
    <numFmt numFmtId="175" formatCode="0.00\V"/>
    <numFmt numFmtId="176" formatCode="0.00\A"/>
    <numFmt numFmtId="177" formatCode="0.000\A"/>
    <numFmt numFmtId="178" formatCode="0\m\s"/>
    <numFmt numFmtId="179" formatCode="0\A"/>
    <numFmt numFmtId="180" formatCode="0\°"/>
    <numFmt numFmtId="181" formatCode="0.00\H\z"/>
    <numFmt numFmtId="182" formatCode="0.00\W"/>
    <numFmt numFmtId="183" formatCode="0.00\V\²"/>
    <numFmt numFmtId="184" formatCode="0.00\A\²"/>
    <numFmt numFmtId="185" formatCode="0.000\W"/>
    <numFmt numFmtId="186" formatCode="0.000\A\²"/>
    <numFmt numFmtId="187" formatCode="0.00000000000"/>
    <numFmt numFmtId="188" formatCode="0.0000000000"/>
    <numFmt numFmtId="189" formatCode="0.000000000"/>
    <numFmt numFmtId="190" formatCode="0.0\A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i/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i/>
      <sz val="24"/>
      <name val="Arial"/>
      <family val="2"/>
    </font>
    <font>
      <sz val="24"/>
      <name val="Wingdings"/>
      <family val="0"/>
    </font>
    <font>
      <i/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0"/>
      <name val="Wingdings"/>
      <family val="0"/>
    </font>
    <font>
      <i/>
      <sz val="24"/>
      <color indexed="12"/>
      <name val="Arial"/>
      <family val="2"/>
    </font>
    <font>
      <sz val="24"/>
      <color indexed="12"/>
      <name val="Arial"/>
      <family val="2"/>
    </font>
    <font>
      <sz val="24"/>
      <color indexed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thick"/>
      <top style="hair"/>
      <bottom style="thin"/>
    </border>
    <border>
      <left>
        <color indexed="63"/>
      </left>
      <right style="double"/>
      <top style="thick"/>
      <bottom style="hair"/>
    </border>
    <border>
      <left style="double"/>
      <right>
        <color indexed="63"/>
      </right>
      <top style="thick"/>
      <bottom style="hair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thick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ck"/>
      <top style="double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ck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medium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n"/>
      <bottom style="thin"/>
    </border>
    <border>
      <left>
        <color indexed="63"/>
      </left>
      <right style="medium"/>
      <top style="thick"/>
      <bottom style="hair"/>
    </border>
    <border>
      <left style="medium"/>
      <right style="medium"/>
      <top style="thick"/>
      <bottom style="hair"/>
    </border>
    <border>
      <left style="hair"/>
      <right style="thick"/>
      <top style="thin"/>
      <bottom style="hair"/>
    </border>
    <border>
      <left>
        <color indexed="63"/>
      </left>
      <right style="thick"/>
      <top style="thick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5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" fontId="0" fillId="0" borderId="1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75" fontId="0" fillId="0" borderId="2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69" fontId="0" fillId="0" borderId="4" xfId="0" applyNumberFormat="1" applyBorder="1" applyAlignment="1">
      <alignment vertical="center"/>
    </xf>
    <xf numFmtId="170" fontId="0" fillId="0" borderId="4" xfId="0" applyNumberFormat="1" applyBorder="1" applyAlignment="1">
      <alignment vertical="center"/>
    </xf>
    <xf numFmtId="175" fontId="0" fillId="0" borderId="4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69" fontId="0" fillId="0" borderId="6" xfId="0" applyNumberFormat="1" applyBorder="1" applyAlignment="1">
      <alignment vertical="center"/>
    </xf>
    <xf numFmtId="170" fontId="0" fillId="0" borderId="6" xfId="0" applyNumberFormat="1" applyBorder="1" applyAlignment="1">
      <alignment vertical="center"/>
    </xf>
    <xf numFmtId="175" fontId="0" fillId="0" borderId="6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65" fontId="1" fillId="0" borderId="7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9" fontId="0" fillId="0" borderId="17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9" fontId="0" fillId="0" borderId="13" xfId="0" applyNumberForma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3" fontId="0" fillId="0" borderId="22" xfId="0" applyNumberFormat="1" applyBorder="1" applyAlignment="1">
      <alignment vertical="center"/>
    </xf>
    <xf numFmtId="175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75" fontId="0" fillId="0" borderId="25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75" fontId="0" fillId="0" borderId="21" xfId="0" applyNumberFormat="1" applyBorder="1" applyAlignment="1">
      <alignment vertical="center"/>
    </xf>
    <xf numFmtId="0" fontId="1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9" fontId="0" fillId="0" borderId="29" xfId="0" applyNumberFormat="1" applyBorder="1" applyAlignment="1">
      <alignment vertical="center"/>
    </xf>
    <xf numFmtId="169" fontId="0" fillId="0" borderId="30" xfId="0" applyNumberFormat="1" applyBorder="1" applyAlignment="1">
      <alignment vertical="center"/>
    </xf>
    <xf numFmtId="169" fontId="0" fillId="0" borderId="28" xfId="0" applyNumberForma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84" fontId="0" fillId="0" borderId="33" xfId="0" applyNumberFormat="1" applyBorder="1" applyAlignment="1">
      <alignment vertical="center"/>
    </xf>
    <xf numFmtId="169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84" fontId="0" fillId="0" borderId="34" xfId="0" applyNumberFormat="1" applyBorder="1" applyAlignment="1">
      <alignment vertical="center"/>
    </xf>
    <xf numFmtId="169" fontId="0" fillId="0" borderId="25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69" fontId="0" fillId="0" borderId="21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65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65" fontId="0" fillId="0" borderId="38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" xfId="0" applyFont="1" applyBorder="1" applyAlignment="1">
      <alignment vertical="center"/>
    </xf>
    <xf numFmtId="172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vertical="center"/>
    </xf>
    <xf numFmtId="172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65" fontId="11" fillId="0" borderId="0" xfId="0" applyNumberFormat="1" applyFont="1" applyAlignment="1">
      <alignment vertical="center"/>
    </xf>
    <xf numFmtId="175" fontId="11" fillId="0" borderId="0" xfId="0" applyNumberFormat="1" applyFont="1" applyAlignment="1">
      <alignment vertical="center"/>
    </xf>
    <xf numFmtId="0" fontId="1" fillId="0" borderId="39" xfId="0" applyFont="1" applyBorder="1" applyAlignment="1">
      <alignment horizontal="centerContinuous" vertical="center" wrapText="1"/>
    </xf>
    <xf numFmtId="165" fontId="1" fillId="0" borderId="40" xfId="0" applyNumberFormat="1" applyFont="1" applyBorder="1" applyAlignment="1">
      <alignment horizontal="centerContinuous" vertical="center" wrapText="1"/>
    </xf>
    <xf numFmtId="175" fontId="1" fillId="0" borderId="41" xfId="0" applyNumberFormat="1" applyFont="1" applyBorder="1" applyAlignment="1">
      <alignment horizontal="centerContinuous" vertical="center" wrapText="1"/>
    </xf>
    <xf numFmtId="0" fontId="0" fillId="0" borderId="49" xfId="0" applyFont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175" fontId="6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65" fontId="0" fillId="0" borderId="53" xfId="0" applyNumberFormat="1" applyBorder="1" applyAlignment="1">
      <alignment vertical="center"/>
    </xf>
    <xf numFmtId="175" fontId="0" fillId="0" borderId="54" xfId="0" applyNumberFormat="1" applyBorder="1" applyAlignment="1">
      <alignment vertical="center"/>
    </xf>
    <xf numFmtId="172" fontId="0" fillId="2" borderId="43" xfId="0" applyNumberFormat="1" applyFill="1" applyBorder="1" applyAlignment="1" applyProtection="1">
      <alignment vertical="center"/>
      <protection locked="0"/>
    </xf>
    <xf numFmtId="172" fontId="0" fillId="2" borderId="4" xfId="0" applyNumberFormat="1" applyFill="1" applyBorder="1" applyAlignment="1" applyProtection="1">
      <alignment vertical="center"/>
      <protection locked="0"/>
    </xf>
    <xf numFmtId="175" fontId="0" fillId="2" borderId="55" xfId="0" applyNumberFormat="1" applyFill="1" applyBorder="1" applyAlignment="1" applyProtection="1">
      <alignment vertical="center"/>
      <protection locked="0"/>
    </xf>
    <xf numFmtId="175" fontId="0" fillId="2" borderId="56" xfId="0" applyNumberFormat="1" applyFill="1" applyBorder="1" applyAlignment="1" applyProtection="1">
      <alignment vertical="center"/>
      <protection locked="0"/>
    </xf>
    <xf numFmtId="165" fontId="1" fillId="0" borderId="57" xfId="0" applyNumberFormat="1" applyFont="1" applyBorder="1" applyAlignment="1">
      <alignment vertical="center"/>
    </xf>
    <xf numFmtId="165" fontId="1" fillId="0" borderId="58" xfId="0" applyNumberFormat="1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175" fontId="1" fillId="0" borderId="60" xfId="0" applyNumberFormat="1" applyFont="1" applyBorder="1" applyAlignment="1">
      <alignment vertical="center"/>
    </xf>
    <xf numFmtId="177" fontId="1" fillId="0" borderId="61" xfId="0" applyNumberFormat="1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175" fontId="1" fillId="0" borderId="63" xfId="0" applyNumberFormat="1" applyFon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165" fontId="1" fillId="0" borderId="65" xfId="0" applyNumberFormat="1" applyFont="1" applyBorder="1" applyAlignment="1">
      <alignment vertical="center"/>
    </xf>
    <xf numFmtId="165" fontId="1" fillId="0" borderId="66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6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68" xfId="0" applyFont="1" applyBorder="1" applyAlignment="1">
      <alignment vertical="center"/>
    </xf>
    <xf numFmtId="185" fontId="1" fillId="0" borderId="69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182" fontId="1" fillId="0" borderId="71" xfId="0" applyNumberFormat="1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177" fontId="1" fillId="0" borderId="74" xfId="0" applyNumberFormat="1" applyFont="1" applyBorder="1" applyAlignment="1">
      <alignment vertical="center"/>
    </xf>
    <xf numFmtId="0" fontId="0" fillId="0" borderId="75" xfId="0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170" fontId="0" fillId="0" borderId="77" xfId="0" applyNumberFormat="1" applyBorder="1" applyAlignment="1">
      <alignment vertical="center"/>
    </xf>
    <xf numFmtId="170" fontId="0" fillId="0" borderId="45" xfId="0" applyNumberFormat="1" applyBorder="1" applyAlignment="1">
      <alignment vertical="center"/>
    </xf>
    <xf numFmtId="170" fontId="0" fillId="0" borderId="9" xfId="0" applyNumberFormat="1" applyBorder="1" applyAlignment="1">
      <alignment vertical="center"/>
    </xf>
    <xf numFmtId="0" fontId="0" fillId="0" borderId="78" xfId="0" applyBorder="1" applyAlignment="1">
      <alignment horizontal="centerContinuous" vertical="center"/>
    </xf>
    <xf numFmtId="177" fontId="0" fillId="0" borderId="2" xfId="0" applyNumberFormat="1" applyBorder="1" applyAlignment="1">
      <alignment vertical="center"/>
    </xf>
    <xf numFmtId="184" fontId="0" fillId="0" borderId="79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4" fontId="0" fillId="0" borderId="8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84" fontId="0" fillId="0" borderId="27" xfId="0" applyNumberFormat="1" applyBorder="1" applyAlignment="1">
      <alignment vertical="center"/>
    </xf>
    <xf numFmtId="0" fontId="1" fillId="0" borderId="81" xfId="0" applyFont="1" applyBorder="1" applyAlignment="1">
      <alignment vertical="center"/>
    </xf>
    <xf numFmtId="185" fontId="1" fillId="0" borderId="68" xfId="0" applyNumberFormat="1" applyFont="1" applyBorder="1" applyAlignment="1">
      <alignment vertical="center"/>
    </xf>
    <xf numFmtId="0" fontId="1" fillId="0" borderId="82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Combined dual passive filter</a:t>
            </a:r>
          </a:p>
        </c:rich>
      </c:tx>
      <c:layout>
        <c:manualLayout>
          <c:xMode val="factor"/>
          <c:yMode val="factor"/>
          <c:x val="0.077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0175"/>
          <c:w val="0.999"/>
          <c:h val="0.99825"/>
        </c:manualLayout>
      </c:layout>
      <c:scatterChart>
        <c:scatterStyle val="smooth"/>
        <c:varyColors val="0"/>
        <c:ser>
          <c:idx val="0"/>
          <c:order val="0"/>
          <c:tx>
            <c:strRef>
              <c:f>'Output-Tab'!$C$3</c:f>
              <c:strCache>
                <c:ptCount val="1"/>
                <c:pt idx="0">
                  <c:v>Z5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'Output-Tab'!$C$4:$C$30</c:f>
              <c:numCache>
                <c:ptCount val="27"/>
                <c:pt idx="0">
                  <c:v>7.121986924970787</c:v>
                </c:pt>
                <c:pt idx="1">
                  <c:v>2.8131766355106493</c:v>
                </c:pt>
                <c:pt idx="2">
                  <c:v>1.0445990878942935</c:v>
                </c:pt>
                <c:pt idx="3">
                  <c:v>0.09068077599673308</c:v>
                </c:pt>
                <c:pt idx="4">
                  <c:v>0.9688883186040081</c:v>
                </c:pt>
                <c:pt idx="5">
                  <c:v>1.721414843197556</c:v>
                </c:pt>
                <c:pt idx="6">
                  <c:v>2.401404320984848</c:v>
                </c:pt>
                <c:pt idx="7">
                  <c:v>3.0360441230908863</c:v>
                </c:pt>
                <c:pt idx="8">
                  <c:v>3.64044815282501</c:v>
                </c:pt>
                <c:pt idx="9">
                  <c:v>4.223686328832153</c:v>
                </c:pt>
                <c:pt idx="10">
                  <c:v>4.7915308382378425</c:v>
                </c:pt>
                <c:pt idx="11">
                  <c:v>5.347829952167655</c:v>
                </c:pt>
                <c:pt idx="12">
                  <c:v>5.8952479186228794</c:v>
                </c:pt>
                <c:pt idx="13">
                  <c:v>6.435687799859116</c:v>
                </c:pt>
                <c:pt idx="14">
                  <c:v>6.970545189038144</c:v>
                </c:pt>
                <c:pt idx="15">
                  <c:v>7.500866788727456</c:v>
                </c:pt>
                <c:pt idx="16">
                  <c:v>8.027453022954203</c:v>
                </c:pt>
                <c:pt idx="17">
                  <c:v>8.550926446392387</c:v>
                </c:pt>
                <c:pt idx="18">
                  <c:v>9.071778551229666</c:v>
                </c:pt>
                <c:pt idx="19">
                  <c:v>9.590402532283541</c:v>
                </c:pt>
                <c:pt idx="20">
                  <c:v>10.107116690828352</c:v>
                </c:pt>
                <c:pt idx="21">
                  <c:v>10.6221814556605</c:v>
                </c:pt>
                <c:pt idx="22">
                  <c:v>11.13581196394586</c:v>
                </c:pt>
                <c:pt idx="23">
                  <c:v>11.648187496892504</c:v>
                </c:pt>
                <c:pt idx="24">
                  <c:v>12.159458650885567</c:v>
                </c:pt>
                <c:pt idx="25">
                  <c:v>12.669752853760157</c:v>
                </c:pt>
                <c:pt idx="26">
                  <c:v>13.179178655246062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'Output-Tab'!$M$3</c:f>
              <c:strCache>
                <c:ptCount val="1"/>
                <c:pt idx="0">
                  <c:v>Z7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'Output-Tab'!$M$4:$M$30</c:f>
              <c:numCache>
                <c:ptCount val="27"/>
                <c:pt idx="0">
                  <c:v>14.681891683970006</c:v>
                </c:pt>
                <c:pt idx="1">
                  <c:v>6.959401696910255</c:v>
                </c:pt>
                <c:pt idx="2">
                  <c:v>4.215665892889367</c:v>
                </c:pt>
                <c:pt idx="3">
                  <c:v>2.7166231662402938</c:v>
                </c:pt>
                <c:pt idx="4">
                  <c:v>1.7154671761795277</c:v>
                </c:pt>
                <c:pt idx="5">
                  <c:v>0.963281895615841</c:v>
                </c:pt>
                <c:pt idx="6">
                  <c:v>0.35353083777628813</c:v>
                </c:pt>
                <c:pt idx="7">
                  <c:v>0.16876914382429203</c:v>
                </c:pt>
                <c:pt idx="8">
                  <c:v>0.6299903396684302</c:v>
                </c:pt>
                <c:pt idx="9">
                  <c:v>1.0502340220385198</c:v>
                </c:pt>
                <c:pt idx="10">
                  <c:v>1.4403554554682876</c:v>
                </c:pt>
                <c:pt idx="11">
                  <c:v>1.8078622902289885</c:v>
                </c:pt>
                <c:pt idx="12">
                  <c:v>2.157967984062059</c:v>
                </c:pt>
                <c:pt idx="13">
                  <c:v>2.4943995420008402</c:v>
                </c:pt>
                <c:pt idx="14">
                  <c:v>2.8198910243001993</c:v>
                </c:pt>
                <c:pt idx="15">
                  <c:v>3.1364933223051024</c:v>
                </c:pt>
                <c:pt idx="16">
                  <c:v>3.445774915824287</c:v>
                </c:pt>
                <c:pt idx="17">
                  <c:v>3.748955807161612</c:v>
                </c:pt>
                <c:pt idx="18">
                  <c:v>4.046999194897104</c:v>
                </c:pt>
                <c:pt idx="19">
                  <c:v>4.340675659792341</c:v>
                </c:pt>
                <c:pt idx="20">
                  <c:v>4.630609018314622</c:v>
                </c:pt>
                <c:pt idx="21">
                  <c:v>4.917309673802529</c:v>
                </c:pt>
                <c:pt idx="22">
                  <c:v>5.201199268962673</c:v>
                </c:pt>
                <c:pt idx="23">
                  <c:v>5.482629176136863</c:v>
                </c:pt>
                <c:pt idx="24">
                  <c:v>5.761894550416509</c:v>
                </c:pt>
                <c:pt idx="25">
                  <c:v>6.039245140034118</c:v>
                </c:pt>
                <c:pt idx="26">
                  <c:v>6.3148936946316665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'Output-Tab'!$W$3</c:f>
              <c:strCache>
                <c:ptCount val="1"/>
                <c:pt idx="0">
                  <c:v>Ztot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'Output-Tab'!$W$4:$W$30</c:f>
              <c:numCache>
                <c:ptCount val="27"/>
                <c:pt idx="0">
                  <c:v>4.795672322616852</c:v>
                </c:pt>
                <c:pt idx="1">
                  <c:v>2.003365988651631</c:v>
                </c:pt>
                <c:pt idx="2">
                  <c:v>0.8371690093406231</c:v>
                </c:pt>
                <c:pt idx="3">
                  <c:v>0.09375183871308694</c:v>
                </c:pt>
                <c:pt idx="4">
                  <c:v>2.2239013543727983</c:v>
                </c:pt>
                <c:pt idx="5">
                  <c:v>2.184950092918032</c:v>
                </c:pt>
                <c:pt idx="6">
                  <c:v>0.41444022399414626</c:v>
                </c:pt>
                <c:pt idx="7">
                  <c:v>0.15991608397096135</c:v>
                </c:pt>
                <c:pt idx="8">
                  <c:v>0.5370679527990595</c:v>
                </c:pt>
                <c:pt idx="9">
                  <c:v>0.8411027618993691</c:v>
                </c:pt>
                <c:pt idx="10">
                  <c:v>1.1074572131528326</c:v>
                </c:pt>
                <c:pt idx="11">
                  <c:v>1.3511164955884005</c:v>
                </c:pt>
                <c:pt idx="12">
                  <c:v>1.5797149975817177</c:v>
                </c:pt>
                <c:pt idx="13">
                  <c:v>1.7976535866431689</c:v>
                </c:pt>
                <c:pt idx="14">
                  <c:v>2.007694258854263</c:v>
                </c:pt>
                <c:pt idx="15">
                  <c:v>2.211680486739331</c:v>
                </c:pt>
                <c:pt idx="16">
                  <c:v>2.410901132973257</c:v>
                </c:pt>
                <c:pt idx="17">
                  <c:v>2.6062905072914644</c:v>
                </c:pt>
                <c:pt idx="18">
                  <c:v>2.7985458262122336</c:v>
                </c:pt>
                <c:pt idx="19">
                  <c:v>2.98819989602822</c:v>
                </c:pt>
                <c:pt idx="20">
                  <c:v>3.175668054004016</c:v>
                </c:pt>
                <c:pt idx="21">
                  <c:v>3.361279578812768</c:v>
                </c:pt>
                <c:pt idx="22">
                  <c:v>3.5452993452653003</c:v>
                </c:pt>
                <c:pt idx="23">
                  <c:v>3.727943138146627</c:v>
                </c:pt>
                <c:pt idx="24">
                  <c:v>3.909388722359454</c:v>
                </c:pt>
                <c:pt idx="25">
                  <c:v>4.089784000096858</c:v>
                </c:pt>
                <c:pt idx="26">
                  <c:v>4.269253123723248</c:v>
                </c:pt>
              </c:numCache>
            </c:numRef>
          </c:yVal>
          <c:smooth val="1"/>
        </c:ser>
        <c:axId val="8735954"/>
        <c:axId val="11514723"/>
      </c:scatterChart>
      <c:scatterChart>
        <c:scatterStyle val="lineMarker"/>
        <c:varyColors val="0"/>
        <c:ser>
          <c:idx val="1"/>
          <c:order val="1"/>
          <c:tx>
            <c:strRef>
              <c:f>'Output-Tab'!$F$3</c:f>
              <c:strCache>
                <c:ptCount val="1"/>
                <c:pt idx="0">
                  <c:v>φ5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'Output-Tab'!$F$4:$F$30</c:f>
              <c:numCache>
                <c:ptCount val="27"/>
                <c:pt idx="0">
                  <c:v>-89.86645428991686</c:v>
                </c:pt>
                <c:pt idx="1">
                  <c:v>-89.66190695332743</c:v>
                </c:pt>
                <c:pt idx="2">
                  <c:v>-89.08945930885587</c:v>
                </c:pt>
                <c:pt idx="3">
                  <c:v>79.45196754804246</c:v>
                </c:pt>
                <c:pt idx="4">
                  <c:v>89.01830122272627</c:v>
                </c:pt>
                <c:pt idx="5">
                  <c:v>89.44747503182539</c:v>
                </c:pt>
                <c:pt idx="6">
                  <c:v>89.6039327878016</c:v>
                </c:pt>
                <c:pt idx="7">
                  <c:v>89.68672567316517</c:v>
                </c:pt>
                <c:pt idx="8">
                  <c:v>89.73873732133767</c:v>
                </c:pt>
                <c:pt idx="9">
                  <c:v>89.77481462531664</c:v>
                </c:pt>
                <c:pt idx="10">
                  <c:v>89.80150146693508</c:v>
                </c:pt>
                <c:pt idx="11">
                  <c:v>89.82215001677551</c:v>
                </c:pt>
                <c:pt idx="12">
                  <c:v>89.8386647669574</c:v>
                </c:pt>
                <c:pt idx="13">
                  <c:v>89.852212999738</c:v>
                </c:pt>
                <c:pt idx="14">
                  <c:v>89.86355287669318</c:v>
                </c:pt>
                <c:pt idx="15">
                  <c:v>89.87319989234773</c:v>
                </c:pt>
                <c:pt idx="16">
                  <c:v>89.88151775973537</c:v>
                </c:pt>
                <c:pt idx="17">
                  <c:v>89.88877105384002</c:v>
                </c:pt>
                <c:pt idx="18">
                  <c:v>89.89515722134064</c:v>
                </c:pt>
                <c:pt idx="19">
                  <c:v>89.90082685146554</c:v>
                </c:pt>
                <c:pt idx="20">
                  <c:v>89.90589696383103</c:v>
                </c:pt>
                <c:pt idx="21">
                  <c:v>89.91045998121687</c:v>
                </c:pt>
                <c:pt idx="22">
                  <c:v>89.91458994680877</c:v>
                </c:pt>
                <c:pt idx="23">
                  <c:v>89.91834693061782</c:v>
                </c:pt>
                <c:pt idx="24">
                  <c:v>89.92178021549613</c:v>
                </c:pt>
                <c:pt idx="25">
                  <c:v>89.92493064205635</c:v>
                </c:pt>
                <c:pt idx="26">
                  <c:v>89.92783236222178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'Output-Tab'!$P$3</c:f>
              <c:strCache>
                <c:ptCount val="1"/>
                <c:pt idx="0">
                  <c:v>φ7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'Output-Tab'!$P$4:$P$30</c:f>
              <c:numCache>
                <c:ptCount val="27"/>
                <c:pt idx="0">
                  <c:v>-89.93521882853837</c:v>
                </c:pt>
                <c:pt idx="1">
                  <c:v>-89.86333439522134</c:v>
                </c:pt>
                <c:pt idx="2">
                  <c:v>-89.77438620090048</c:v>
                </c:pt>
                <c:pt idx="3">
                  <c:v>-89.64989039676921</c:v>
                </c:pt>
                <c:pt idx="4">
                  <c:v>-89.44555932222904</c:v>
                </c:pt>
                <c:pt idx="5">
                  <c:v>-89.01258704707536</c:v>
                </c:pt>
                <c:pt idx="6">
                  <c:v>-87.30869366823451</c:v>
                </c:pt>
                <c:pt idx="7">
                  <c:v>84.35530556957428</c:v>
                </c:pt>
                <c:pt idx="8">
                  <c:v>88.49010377777796</c:v>
                </c:pt>
                <c:pt idx="9">
                  <c:v>89.09434513928248</c:v>
                </c:pt>
                <c:pt idx="10">
                  <c:v>89.33965536589245</c:v>
                </c:pt>
                <c:pt idx="11">
                  <c:v>89.47389615324052</c:v>
                </c:pt>
                <c:pt idx="12">
                  <c:v>89.5592523488521</c:v>
                </c:pt>
                <c:pt idx="13">
                  <c:v>89.61869903178281</c:v>
                </c:pt>
                <c:pt idx="14">
                  <c:v>89.66271198954949</c:v>
                </c:pt>
                <c:pt idx="15">
                  <c:v>89.69675867840876</c:v>
                </c:pt>
                <c:pt idx="16">
                  <c:v>89.72397685800068</c:v>
                </c:pt>
                <c:pt idx="17">
                  <c:v>89.74629921054691</c:v>
                </c:pt>
                <c:pt idx="18">
                  <c:v>89.76498324779114</c:v>
                </c:pt>
                <c:pt idx="19">
                  <c:v>89.78088382251106</c:v>
                </c:pt>
                <c:pt idx="20">
                  <c:v>89.7946032642142</c:v>
                </c:pt>
                <c:pt idx="21">
                  <c:v>89.80657883893215</c:v>
                </c:pt>
                <c:pt idx="22">
                  <c:v>89.81713610545778</c:v>
                </c:pt>
                <c:pt idx="23">
                  <c:v>89.82652275714035</c:v>
                </c:pt>
                <c:pt idx="24">
                  <c:v>89.83493081184938</c:v>
                </c:pt>
                <c:pt idx="25">
                  <c:v>89.84251158621339</c:v>
                </c:pt>
                <c:pt idx="26">
                  <c:v>89.84938605758225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'Output-Tab'!$X$3</c:f>
              <c:strCache>
                <c:ptCount val="1"/>
                <c:pt idx="0">
                  <c:v>φtot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'Output-Tab'!$B$4:$B$30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</c:numCache>
            </c:numRef>
          </c:xVal>
          <c:yVal>
            <c:numRef>
              <c:f>'Output-Tab'!$X$4:$X$30</c:f>
              <c:numCache>
                <c:ptCount val="27"/>
                <c:pt idx="0">
                  <c:v>-89.91275775686967</c:v>
                </c:pt>
                <c:pt idx="1">
                  <c:v>-89.80535144597806</c:v>
                </c:pt>
                <c:pt idx="2">
                  <c:v>-89.6383774373579</c:v>
                </c:pt>
                <c:pt idx="3">
                  <c:v>-89.2760798357811</c:v>
                </c:pt>
                <c:pt idx="4">
                  <c:v>-87.4545197399946</c:v>
                </c:pt>
                <c:pt idx="5">
                  <c:v>87.49178005255817</c:v>
                </c:pt>
                <c:pt idx="6">
                  <c:v>89.07100260210368</c:v>
                </c:pt>
                <c:pt idx="7">
                  <c:v>89.40661415571923</c:v>
                </c:pt>
                <c:pt idx="8">
                  <c:v>89.5545888417723</c:v>
                </c:pt>
                <c:pt idx="9">
                  <c:v>89.6393272807721</c:v>
                </c:pt>
                <c:pt idx="10">
                  <c:v>89.69476634020332</c:v>
                </c:pt>
                <c:pt idx="11">
                  <c:v>89.73417067774476</c:v>
                </c:pt>
                <c:pt idx="12">
                  <c:v>89.7637962814631</c:v>
                </c:pt>
                <c:pt idx="13">
                  <c:v>89.78698932751466</c:v>
                </c:pt>
                <c:pt idx="14">
                  <c:v>89.80570764222539</c:v>
                </c:pt>
                <c:pt idx="15">
                  <c:v>89.82117657833618</c:v>
                </c:pt>
                <c:pt idx="16">
                  <c:v>89.83420439332225</c:v>
                </c:pt>
                <c:pt idx="17">
                  <c:v>89.84534713186325</c:v>
                </c:pt>
                <c:pt idx="18">
                  <c:v>89.85500073853157</c:v>
                </c:pt>
                <c:pt idx="19">
                  <c:v>89.86345537079707</c:v>
                </c:pt>
                <c:pt idx="20">
                  <c:v>89.87092889237609</c:v>
                </c:pt>
                <c:pt idx="21">
                  <c:v>89.8775883246382</c:v>
                </c:pt>
                <c:pt idx="22">
                  <c:v>89.88356403810165</c:v>
                </c:pt>
                <c:pt idx="23">
                  <c:v>89.88895940820919</c:v>
                </c:pt>
                <c:pt idx="24">
                  <c:v>89.89385754820034</c:v>
                </c:pt>
                <c:pt idx="25">
                  <c:v>89.89832610651696</c:v>
                </c:pt>
                <c:pt idx="26">
                  <c:v>89.90242075141168</c:v>
                </c:pt>
              </c:numCache>
            </c:numRef>
          </c:yVal>
          <c:smooth val="1"/>
        </c:ser>
        <c:axId val="36523644"/>
        <c:axId val="60277341"/>
      </c:scatterChart>
      <c:valAx>
        <c:axId val="8735954"/>
        <c:scaling>
          <c:orientation val="minMax"/>
          <c:max val="1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2400" b="0" i="0" u="none" baseline="0"/>
                  <a:t>è</a:t>
                </a:r>
              </a:p>
            </c:rich>
          </c:tx>
          <c:layout>
            <c:manualLayout>
              <c:xMode val="factor"/>
              <c:yMode val="factor"/>
              <c:x val="0.024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H\z" sourceLinked="0"/>
        <c:majorTickMark val="cross"/>
        <c:minorTickMark val="out"/>
        <c:tickLblPos val="nextTo"/>
        <c:crossAx val="11514723"/>
        <c:crosses val="autoZero"/>
        <c:crossBetween val="midCat"/>
        <c:dispUnits/>
        <c:majorUnit val="450"/>
        <c:minorUnit val="50"/>
      </c:valAx>
      <c:valAx>
        <c:axId val="1151472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Z</a:t>
                </a:r>
                <a:r>
                  <a:rPr lang="en-US" cap="none" sz="2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2400" b="0" i="0" u="none" baseline="0">
                    <a:solidFill>
                      <a:srgbClr val="0000FF"/>
                    </a:solidFill>
                  </a:rPr>
                  <a:t>è</a:t>
                </a:r>
              </a:p>
            </c:rich>
          </c:tx>
          <c:layout>
            <c:manualLayout>
              <c:xMode val="factor"/>
              <c:yMode val="factor"/>
              <c:x val="0.03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Ω" sourceLinked="0"/>
        <c:majorTickMark val="cross"/>
        <c:minorTickMark val="out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crossBetween val="midCat"/>
        <c:dispUnits/>
        <c:majorUnit val="1"/>
        <c:minorUnit val="0.1"/>
      </c:valAx>
      <c:valAx>
        <c:axId val="36523644"/>
        <c:scaling>
          <c:orientation val="minMax"/>
        </c:scaling>
        <c:axPos val="b"/>
        <c:delete val="1"/>
        <c:majorTickMark val="in"/>
        <c:minorTickMark val="none"/>
        <c:tickLblPos val="nextTo"/>
        <c:crossAx val="60277341"/>
        <c:crosses val="max"/>
        <c:crossBetween val="midCat"/>
        <c:dispUnits/>
      </c:valAx>
      <c:valAx>
        <c:axId val="6027734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φ</a:t>
                </a:r>
                <a:r>
                  <a:rPr lang="en-US" cap="none" sz="2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2400" b="1" i="0" u="none" baseline="0">
                    <a:solidFill>
                      <a:srgbClr val="FF0000"/>
                    </a:solidFill>
                  </a:rPr>
                  <a:t>è</a:t>
                </a:r>
              </a:p>
            </c:rich>
          </c:tx>
          <c:layout>
            <c:manualLayout>
              <c:xMode val="factor"/>
              <c:yMode val="factor"/>
              <c:x val="0.036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°" sourceLinked="0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max"/>
        <c:crossBetween val="midCat"/>
        <c:dispUnits/>
        <c:majorUnit val="1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40225"/>
        </c:manualLayout>
      </c:layout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13</xdr:row>
      <xdr:rowOff>66675</xdr:rowOff>
    </xdr:from>
    <xdr:to>
      <xdr:col>8</xdr:col>
      <xdr:colOff>2228850</xdr:colOff>
      <xdr:row>26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981325"/>
          <a:ext cx="33623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53100"/>
    <xdr:graphicFrame>
      <xdr:nvGraphicFramePr>
        <xdr:cNvPr id="1" name="Shape 1025"/>
        <xdr:cNvGraphicFramePr/>
      </xdr:nvGraphicFramePr>
      <xdr:xfrm>
        <a:off x="0" y="0"/>
        <a:ext cx="9715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G6" sqref="G6"/>
    </sheetView>
  </sheetViews>
  <sheetFormatPr defaultColWidth="11.421875" defaultRowHeight="12.75"/>
  <cols>
    <col min="1" max="1" width="4.7109375" style="3" customWidth="1"/>
    <col min="2" max="2" width="8.7109375" style="4" customWidth="1"/>
    <col min="3" max="3" width="8.7109375" style="8" customWidth="1"/>
    <col min="4" max="4" width="8.7109375" style="3" hidden="1" customWidth="1"/>
    <col min="5" max="6" width="4.7109375" style="3" customWidth="1"/>
    <col min="7" max="7" width="7.7109375" style="3" customWidth="1"/>
    <col min="8" max="8" width="4.7109375" style="3" customWidth="1"/>
    <col min="9" max="9" width="94.7109375" style="3" customWidth="1"/>
    <col min="10" max="16384" width="8.7109375" style="3" customWidth="1"/>
  </cols>
  <sheetData>
    <row r="1" spans="1:3" s="9" customFormat="1" ht="37.5" customHeight="1" thickBot="1">
      <c r="A1" s="9" t="s">
        <v>59</v>
      </c>
      <c r="B1" s="88"/>
      <c r="C1" s="89"/>
    </row>
    <row r="2" spans="1:9" s="5" customFormat="1" ht="27" thickBot="1" thickTop="1">
      <c r="A2" s="90" t="s">
        <v>24</v>
      </c>
      <c r="B2" s="91"/>
      <c r="C2" s="92"/>
      <c r="F2" s="74" t="s">
        <v>54</v>
      </c>
      <c r="G2" s="75"/>
      <c r="H2" s="75"/>
      <c r="I2" s="76"/>
    </row>
    <row r="3" spans="1:9" ht="15" customHeight="1" thickTop="1">
      <c r="A3" s="93" t="s">
        <v>25</v>
      </c>
      <c r="B3" s="94" t="s">
        <v>7</v>
      </c>
      <c r="C3" s="95" t="s">
        <v>26</v>
      </c>
      <c r="D3" s="7" t="s">
        <v>27</v>
      </c>
      <c r="F3" s="77" t="s">
        <v>6</v>
      </c>
      <c r="G3" s="99">
        <v>240</v>
      </c>
      <c r="H3" s="78" t="s">
        <v>0</v>
      </c>
      <c r="I3" s="79" t="s">
        <v>16</v>
      </c>
    </row>
    <row r="4" spans="1:9" ht="15" customHeight="1">
      <c r="A4" s="96">
        <f>1+ROW($A4)-ROW($A$4)</f>
        <v>1</v>
      </c>
      <c r="B4" s="97">
        <f aca="true" t="shared" si="0" ref="B4:B30">$A4*f</f>
        <v>50</v>
      </c>
      <c r="C4" s="98">
        <f>SQRT(U^2-SUM($D5:$D30))</f>
        <v>239.48538577541638</v>
      </c>
      <c r="F4" s="80" t="s">
        <v>7</v>
      </c>
      <c r="G4" s="100">
        <v>50</v>
      </c>
      <c r="H4" s="82" t="s">
        <v>1</v>
      </c>
      <c r="I4" s="83" t="s">
        <v>17</v>
      </c>
    </row>
    <row r="5" spans="1:9" ht="15" customHeight="1">
      <c r="A5" s="69">
        <f aca="true" t="shared" si="1" ref="A5:A30">1+ROW($A5)-ROW($A$4)</f>
        <v>2</v>
      </c>
      <c r="B5" s="70">
        <f t="shared" si="0"/>
        <v>100</v>
      </c>
      <c r="C5" s="101">
        <v>0</v>
      </c>
      <c r="D5" s="3">
        <f>C5^2</f>
        <v>0</v>
      </c>
      <c r="F5" s="80" t="s">
        <v>8</v>
      </c>
      <c r="G5" s="100">
        <v>16.6</v>
      </c>
      <c r="H5" s="82" t="s">
        <v>4</v>
      </c>
      <c r="I5" s="83" t="s">
        <v>18</v>
      </c>
    </row>
    <row r="6" spans="1:9" ht="15" customHeight="1">
      <c r="A6" s="69">
        <f t="shared" si="1"/>
        <v>3</v>
      </c>
      <c r="B6" s="70">
        <f t="shared" si="0"/>
        <v>150</v>
      </c>
      <c r="C6" s="101">
        <v>12</v>
      </c>
      <c r="D6" s="3">
        <f aca="true" t="shared" si="2" ref="D6:D30">C6^2</f>
        <v>144</v>
      </c>
      <c r="F6" s="80" t="s">
        <v>9</v>
      </c>
      <c r="G6" s="100">
        <v>1.587</v>
      </c>
      <c r="H6" s="82" t="s">
        <v>2</v>
      </c>
      <c r="I6" s="83" t="s">
        <v>20</v>
      </c>
    </row>
    <row r="7" spans="1:9" ht="15" customHeight="1">
      <c r="A7" s="69">
        <f t="shared" si="1"/>
        <v>4</v>
      </c>
      <c r="B7" s="70">
        <f t="shared" si="0"/>
        <v>200</v>
      </c>
      <c r="C7" s="101">
        <v>0</v>
      </c>
      <c r="D7" s="3">
        <f t="shared" si="2"/>
        <v>0</v>
      </c>
      <c r="F7" s="80" t="s">
        <v>10</v>
      </c>
      <c r="G7" s="100">
        <v>417.7</v>
      </c>
      <c r="H7" s="82" t="s">
        <v>3</v>
      </c>
      <c r="I7" s="83" t="s">
        <v>21</v>
      </c>
    </row>
    <row r="8" spans="1:9" ht="15" customHeight="1">
      <c r="A8" s="69">
        <f t="shared" si="1"/>
        <v>5</v>
      </c>
      <c r="B8" s="70">
        <f t="shared" si="0"/>
        <v>250</v>
      </c>
      <c r="C8" s="101">
        <v>8</v>
      </c>
      <c r="D8" s="3">
        <f t="shared" si="2"/>
        <v>64</v>
      </c>
      <c r="F8" s="80" t="s">
        <v>11</v>
      </c>
      <c r="G8" s="100">
        <v>16.6</v>
      </c>
      <c r="H8" s="82" t="s">
        <v>4</v>
      </c>
      <c r="I8" s="83" t="s">
        <v>19</v>
      </c>
    </row>
    <row r="9" spans="1:9" ht="15" customHeight="1">
      <c r="A9" s="69">
        <f t="shared" si="1"/>
        <v>6</v>
      </c>
      <c r="B9" s="70">
        <f t="shared" si="0"/>
        <v>300</v>
      </c>
      <c r="C9" s="101">
        <v>0</v>
      </c>
      <c r="D9" s="3">
        <f t="shared" si="2"/>
        <v>0</v>
      </c>
      <c r="F9" s="80" t="s">
        <v>13</v>
      </c>
      <c r="G9" s="100">
        <f>(5/7)^2*L_5</f>
        <v>0.8096938775510204</v>
      </c>
      <c r="H9" s="82" t="s">
        <v>2</v>
      </c>
      <c r="I9" s="83" t="s">
        <v>22</v>
      </c>
    </row>
    <row r="10" spans="1:9" ht="15" customHeight="1">
      <c r="A10" s="69">
        <f t="shared" si="1"/>
        <v>7</v>
      </c>
      <c r="B10" s="70">
        <f t="shared" si="0"/>
        <v>350</v>
      </c>
      <c r="C10" s="101">
        <v>4</v>
      </c>
      <c r="D10" s="3">
        <f t="shared" si="2"/>
        <v>16</v>
      </c>
      <c r="F10" s="80" t="s">
        <v>12</v>
      </c>
      <c r="G10" s="100">
        <f>(5/7)^2*C_5</f>
        <v>213.1122448979592</v>
      </c>
      <c r="H10" s="82" t="s">
        <v>3</v>
      </c>
      <c r="I10" s="83" t="s">
        <v>23</v>
      </c>
    </row>
    <row r="11" spans="1:9" ht="15" customHeight="1">
      <c r="A11" s="69">
        <f t="shared" si="1"/>
        <v>8</v>
      </c>
      <c r="B11" s="70">
        <f t="shared" si="0"/>
        <v>400</v>
      </c>
      <c r="C11" s="101">
        <v>0</v>
      </c>
      <c r="D11" s="3">
        <f t="shared" si="2"/>
        <v>0</v>
      </c>
      <c r="F11" s="80" t="s">
        <v>50</v>
      </c>
      <c r="G11" s="81">
        <f>1/2/PI()/SQRT(L_5/1000*C_5/1000000)</f>
        <v>195.47869481141365</v>
      </c>
      <c r="H11" s="82" t="s">
        <v>1</v>
      </c>
      <c r="I11" s="83" t="s">
        <v>52</v>
      </c>
    </row>
    <row r="12" spans="1:9" ht="15" customHeight="1" thickBot="1">
      <c r="A12" s="69">
        <f t="shared" si="1"/>
        <v>9</v>
      </c>
      <c r="B12" s="70">
        <f t="shared" si="0"/>
        <v>450</v>
      </c>
      <c r="C12" s="101">
        <v>3</v>
      </c>
      <c r="D12" s="3">
        <f t="shared" si="2"/>
        <v>9</v>
      </c>
      <c r="F12" s="84" t="s">
        <v>51</v>
      </c>
      <c r="G12" s="85">
        <f>1/2/PI()/SQRT(L_7/1000*C_7/1000000)</f>
        <v>383.13824183037076</v>
      </c>
      <c r="H12" s="86" t="s">
        <v>1</v>
      </c>
      <c r="I12" s="87" t="s">
        <v>53</v>
      </c>
    </row>
    <row r="13" spans="1:4" ht="15" customHeight="1" thickTop="1">
      <c r="A13" s="69">
        <f t="shared" si="1"/>
        <v>10</v>
      </c>
      <c r="B13" s="70">
        <f t="shared" si="0"/>
        <v>500</v>
      </c>
      <c r="C13" s="101">
        <v>0</v>
      </c>
      <c r="D13" s="3">
        <f t="shared" si="2"/>
        <v>0</v>
      </c>
    </row>
    <row r="14" spans="1:4" ht="15" customHeight="1">
      <c r="A14" s="69">
        <f t="shared" si="1"/>
        <v>11</v>
      </c>
      <c r="B14" s="70">
        <f t="shared" si="0"/>
        <v>550</v>
      </c>
      <c r="C14" s="101">
        <v>2.5</v>
      </c>
      <c r="D14" s="73">
        <f>C14^2</f>
        <v>6.25</v>
      </c>
    </row>
    <row r="15" spans="1:4" ht="15" customHeight="1">
      <c r="A15" s="69">
        <f t="shared" si="1"/>
        <v>12</v>
      </c>
      <c r="B15" s="70">
        <f t="shared" si="0"/>
        <v>600</v>
      </c>
      <c r="C15" s="101">
        <v>0</v>
      </c>
      <c r="D15" s="3">
        <f t="shared" si="2"/>
        <v>0</v>
      </c>
    </row>
    <row r="16" spans="1:4" ht="15" customHeight="1">
      <c r="A16" s="69">
        <f t="shared" si="1"/>
        <v>13</v>
      </c>
      <c r="B16" s="70">
        <f t="shared" si="0"/>
        <v>650</v>
      </c>
      <c r="C16" s="101">
        <v>2</v>
      </c>
      <c r="D16" s="3">
        <f t="shared" si="2"/>
        <v>4</v>
      </c>
    </row>
    <row r="17" spans="1:4" ht="15" customHeight="1">
      <c r="A17" s="69">
        <f t="shared" si="1"/>
        <v>14</v>
      </c>
      <c r="B17" s="70">
        <f t="shared" si="0"/>
        <v>700</v>
      </c>
      <c r="C17" s="101">
        <v>0</v>
      </c>
      <c r="D17" s="3">
        <f t="shared" si="2"/>
        <v>0</v>
      </c>
    </row>
    <row r="18" spans="1:4" ht="15" customHeight="1">
      <c r="A18" s="69">
        <f t="shared" si="1"/>
        <v>15</v>
      </c>
      <c r="B18" s="70">
        <f t="shared" si="0"/>
        <v>750</v>
      </c>
      <c r="C18" s="101">
        <v>1.5</v>
      </c>
      <c r="D18" s="3">
        <f t="shared" si="2"/>
        <v>2.25</v>
      </c>
    </row>
    <row r="19" spans="1:4" ht="15" customHeight="1">
      <c r="A19" s="69">
        <f t="shared" si="1"/>
        <v>16</v>
      </c>
      <c r="B19" s="70">
        <f t="shared" si="0"/>
        <v>800</v>
      </c>
      <c r="C19" s="101">
        <v>0</v>
      </c>
      <c r="D19" s="3">
        <f t="shared" si="2"/>
        <v>0</v>
      </c>
    </row>
    <row r="20" spans="1:4" ht="15" customHeight="1">
      <c r="A20" s="69">
        <f t="shared" si="1"/>
        <v>17</v>
      </c>
      <c r="B20" s="70">
        <f t="shared" si="0"/>
        <v>850</v>
      </c>
      <c r="C20" s="101">
        <v>1</v>
      </c>
      <c r="D20" s="3">
        <f t="shared" si="2"/>
        <v>1</v>
      </c>
    </row>
    <row r="21" spans="1:4" ht="15" customHeight="1">
      <c r="A21" s="69">
        <f t="shared" si="1"/>
        <v>18</v>
      </c>
      <c r="B21" s="70">
        <f t="shared" si="0"/>
        <v>900</v>
      </c>
      <c r="C21" s="101">
        <v>0</v>
      </c>
      <c r="D21" s="3">
        <f t="shared" si="2"/>
        <v>0</v>
      </c>
    </row>
    <row r="22" spans="1:4" ht="15" customHeight="1">
      <c r="A22" s="69">
        <f t="shared" si="1"/>
        <v>19</v>
      </c>
      <c r="B22" s="70">
        <f t="shared" si="0"/>
        <v>950</v>
      </c>
      <c r="C22" s="101">
        <v>0.5</v>
      </c>
      <c r="D22" s="3">
        <f t="shared" si="2"/>
        <v>0.25</v>
      </c>
    </row>
    <row r="23" spans="1:4" ht="15" customHeight="1">
      <c r="A23" s="69">
        <f t="shared" si="1"/>
        <v>20</v>
      </c>
      <c r="B23" s="70">
        <f t="shared" si="0"/>
        <v>1000</v>
      </c>
      <c r="C23" s="101">
        <v>0</v>
      </c>
      <c r="D23" s="3">
        <f t="shared" si="2"/>
        <v>0</v>
      </c>
    </row>
    <row r="24" spans="1:4" ht="15" customHeight="1">
      <c r="A24" s="69">
        <f t="shared" si="1"/>
        <v>21</v>
      </c>
      <c r="B24" s="70">
        <f t="shared" si="0"/>
        <v>1050</v>
      </c>
      <c r="C24" s="101">
        <v>0</v>
      </c>
      <c r="D24" s="3">
        <f t="shared" si="2"/>
        <v>0</v>
      </c>
    </row>
    <row r="25" spans="1:4" ht="15" customHeight="1">
      <c r="A25" s="69">
        <f t="shared" si="1"/>
        <v>22</v>
      </c>
      <c r="B25" s="70">
        <f t="shared" si="0"/>
        <v>1100</v>
      </c>
      <c r="C25" s="101">
        <v>0</v>
      </c>
      <c r="D25" s="3">
        <f t="shared" si="2"/>
        <v>0</v>
      </c>
    </row>
    <row r="26" spans="1:4" ht="15" customHeight="1">
      <c r="A26" s="69">
        <f t="shared" si="1"/>
        <v>23</v>
      </c>
      <c r="B26" s="70">
        <f t="shared" si="0"/>
        <v>1150</v>
      </c>
      <c r="C26" s="101">
        <v>0</v>
      </c>
      <c r="D26" s="3">
        <f t="shared" si="2"/>
        <v>0</v>
      </c>
    </row>
    <row r="27" spans="1:4" ht="15" customHeight="1">
      <c r="A27" s="69">
        <f t="shared" si="1"/>
        <v>24</v>
      </c>
      <c r="B27" s="70">
        <f t="shared" si="0"/>
        <v>1200</v>
      </c>
      <c r="C27" s="101">
        <v>0</v>
      </c>
      <c r="D27" s="3">
        <f t="shared" si="2"/>
        <v>0</v>
      </c>
    </row>
    <row r="28" spans="1:4" ht="15" customHeight="1">
      <c r="A28" s="69">
        <f t="shared" si="1"/>
        <v>25</v>
      </c>
      <c r="B28" s="70">
        <f t="shared" si="0"/>
        <v>1250</v>
      </c>
      <c r="C28" s="101">
        <v>0</v>
      </c>
      <c r="D28" s="3">
        <f t="shared" si="2"/>
        <v>0</v>
      </c>
    </row>
    <row r="29" spans="1:4" ht="15" customHeight="1">
      <c r="A29" s="69">
        <f t="shared" si="1"/>
        <v>26</v>
      </c>
      <c r="B29" s="70">
        <f t="shared" si="0"/>
        <v>1300</v>
      </c>
      <c r="C29" s="101">
        <v>0</v>
      </c>
      <c r="D29" s="3">
        <f t="shared" si="2"/>
        <v>0</v>
      </c>
    </row>
    <row r="30" spans="1:4" ht="15" customHeight="1" thickBot="1">
      <c r="A30" s="71">
        <f t="shared" si="1"/>
        <v>27</v>
      </c>
      <c r="B30" s="72">
        <f t="shared" si="0"/>
        <v>1350</v>
      </c>
      <c r="C30" s="102">
        <v>0</v>
      </c>
      <c r="D30" s="3">
        <f t="shared" si="2"/>
        <v>0</v>
      </c>
    </row>
    <row r="31" ht="13.5" thickTop="1"/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showGridLines="0" workbookViewId="0" topLeftCell="A1">
      <selection activeCell="P11" sqref="P11"/>
    </sheetView>
  </sheetViews>
  <sheetFormatPr defaultColWidth="11.421875" defaultRowHeight="12.75"/>
  <cols>
    <col min="1" max="1" width="3.7109375" style="4" customWidth="1"/>
    <col min="2" max="2" width="7.7109375" style="4" customWidth="1"/>
    <col min="3" max="3" width="9.7109375" style="3" customWidth="1"/>
    <col min="4" max="5" width="9.7109375" style="3" hidden="1" customWidth="1"/>
    <col min="6" max="7" width="9.7109375" style="3" customWidth="1"/>
    <col min="8" max="8" width="9.7109375" style="3" hidden="1" customWidth="1"/>
    <col min="9" max="9" width="9.7109375" style="3" customWidth="1"/>
    <col min="10" max="10" width="9.7109375" style="3" hidden="1" customWidth="1"/>
    <col min="11" max="11" width="9.7109375" style="3" customWidth="1"/>
    <col min="12" max="12" width="9.7109375" style="3" hidden="1" customWidth="1"/>
    <col min="13" max="13" width="9.7109375" style="3" customWidth="1"/>
    <col min="14" max="15" width="9.7109375" style="3" hidden="1" customWidth="1"/>
    <col min="16" max="17" width="9.7109375" style="3" customWidth="1"/>
    <col min="18" max="18" width="9.7109375" style="3" hidden="1" customWidth="1"/>
    <col min="19" max="19" width="9.7109375" style="3" customWidth="1"/>
    <col min="20" max="20" width="9.7109375" style="3" hidden="1" customWidth="1"/>
    <col min="21" max="21" width="9.7109375" style="3" customWidth="1"/>
    <col min="22" max="22" width="9.7109375" style="3" hidden="1" customWidth="1"/>
    <col min="23" max="24" width="9.7109375" style="3" customWidth="1"/>
    <col min="25" max="25" width="9.7109375" style="3" hidden="1" customWidth="1"/>
    <col min="26" max="16384" width="9.7109375" style="3" customWidth="1"/>
  </cols>
  <sheetData>
    <row r="1" spans="1:2" s="2" customFormat="1" ht="37.5" customHeight="1" thickBot="1">
      <c r="A1" s="9" t="s">
        <v>28</v>
      </c>
      <c r="B1" s="9"/>
    </row>
    <row r="2" spans="1:32" s="1" customFormat="1" ht="16.5" thickTop="1">
      <c r="A2" s="25" t="s">
        <v>39</v>
      </c>
      <c r="B2" s="31"/>
      <c r="C2" s="32" t="s">
        <v>14</v>
      </c>
      <c r="D2" s="26"/>
      <c r="E2" s="26"/>
      <c r="F2" s="26"/>
      <c r="G2" s="26"/>
      <c r="H2" s="26"/>
      <c r="I2" s="26"/>
      <c r="J2" s="26"/>
      <c r="K2" s="57"/>
      <c r="L2" s="58"/>
      <c r="M2" s="42" t="s">
        <v>15</v>
      </c>
      <c r="N2" s="26"/>
      <c r="O2" s="26"/>
      <c r="P2" s="26"/>
      <c r="Q2" s="26"/>
      <c r="R2" s="41"/>
      <c r="S2" s="42"/>
      <c r="T2" s="26"/>
      <c r="U2" s="130"/>
      <c r="V2" s="131"/>
      <c r="W2" s="51" t="s">
        <v>5</v>
      </c>
      <c r="X2" s="27"/>
      <c r="Y2" s="27"/>
      <c r="Z2" s="135"/>
      <c r="AA2" s="3"/>
      <c r="AB2" s="3"/>
      <c r="AC2" s="3"/>
      <c r="AD2" s="3"/>
      <c r="AE2" s="3"/>
      <c r="AF2" s="3"/>
    </row>
    <row r="3" spans="1:26" ht="14.25">
      <c r="A3" s="28" t="s">
        <v>25</v>
      </c>
      <c r="B3" s="33" t="s">
        <v>7</v>
      </c>
      <c r="C3" s="34" t="s">
        <v>30</v>
      </c>
      <c r="D3" s="29" t="s">
        <v>55</v>
      </c>
      <c r="E3" s="29" t="s">
        <v>56</v>
      </c>
      <c r="F3" s="29" t="s">
        <v>31</v>
      </c>
      <c r="G3" s="29" t="s">
        <v>32</v>
      </c>
      <c r="H3" s="29" t="s">
        <v>43</v>
      </c>
      <c r="I3" s="29" t="s">
        <v>29</v>
      </c>
      <c r="J3" s="29" t="s">
        <v>44</v>
      </c>
      <c r="K3" s="43" t="s">
        <v>42</v>
      </c>
      <c r="L3" s="59" t="s">
        <v>47</v>
      </c>
      <c r="M3" s="44" t="s">
        <v>33</v>
      </c>
      <c r="N3" s="29" t="s">
        <v>57</v>
      </c>
      <c r="O3" s="29" t="s">
        <v>58</v>
      </c>
      <c r="P3" s="29" t="s">
        <v>34</v>
      </c>
      <c r="Q3" s="29" t="s">
        <v>35</v>
      </c>
      <c r="R3" s="43" t="s">
        <v>45</v>
      </c>
      <c r="S3" s="44" t="s">
        <v>36</v>
      </c>
      <c r="T3" s="29" t="s">
        <v>46</v>
      </c>
      <c r="U3" s="29" t="s">
        <v>41</v>
      </c>
      <c r="V3" s="52" t="s">
        <v>48</v>
      </c>
      <c r="W3" s="53" t="s">
        <v>37</v>
      </c>
      <c r="X3" s="29" t="s">
        <v>38</v>
      </c>
      <c r="Y3" s="29" t="s">
        <v>60</v>
      </c>
      <c r="Z3" s="30" t="s">
        <v>40</v>
      </c>
    </row>
    <row r="4" spans="1:26" ht="12.75">
      <c r="A4" s="10">
        <f>Input!A4</f>
        <v>1</v>
      </c>
      <c r="B4" s="35">
        <f>Input!B4</f>
        <v>50</v>
      </c>
      <c r="C4" s="36">
        <f>SQRT((R_5/1000)^2+($D4-$E4)^2)</f>
        <v>7.121986924970787</v>
      </c>
      <c r="D4" s="11">
        <f aca="true" t="shared" si="0" ref="D4:D30">2*PI()*$B4*L_5/1000</f>
        <v>0.49857075412470014</v>
      </c>
      <c r="E4" s="11">
        <f aca="true" t="shared" si="1" ref="E4:E30">1/2/PI()/$B4/C_5*1000000</f>
        <v>7.6205383333442835</v>
      </c>
      <c r="F4" s="12">
        <f aca="true" t="shared" si="2" ref="F4:F30">ATAN(($D4-$E4)/R_5*1000)*180/PI()</f>
        <v>-89.86645428991686</v>
      </c>
      <c r="G4" s="13">
        <f>$K4*$D4</f>
        <v>16.76504192520458</v>
      </c>
      <c r="H4" s="14">
        <f aca="true" t="shared" si="3" ref="H4:H30">$G4^2</f>
        <v>281.06663075386734</v>
      </c>
      <c r="I4" s="13">
        <f>$K4*$E4</f>
        <v>256.249777176443</v>
      </c>
      <c r="J4" s="14">
        <f aca="true" t="shared" si="4" ref="J4:J30">$I4^2</f>
        <v>65663.94830297669</v>
      </c>
      <c r="K4" s="60">
        <f>Input!$C4/$C4</f>
        <v>33.6262040773683</v>
      </c>
      <c r="L4" s="61">
        <f>$K4^2</f>
        <v>1130.7216006528204</v>
      </c>
      <c r="M4" s="62">
        <f>SQRT((R_7/1000)^2+($N4-$O4)^2)</f>
        <v>14.681891683970006</v>
      </c>
      <c r="N4" s="11">
        <f aca="true" t="shared" si="5" ref="N4:N30">2*PI()*$B4*L_7/1000</f>
        <v>0.2543728337370919</v>
      </c>
      <c r="O4" s="11">
        <f aca="true" t="shared" si="6" ref="O4:O30">1/2/PI()/$B4/C_7*1000000</f>
        <v>14.936255133354795</v>
      </c>
      <c r="P4" s="12">
        <f aca="true" t="shared" si="7" ref="P4:P30">ATAN(($N4-$O4)/R_7*1000)*180/PI()</f>
        <v>-89.93521882853837</v>
      </c>
      <c r="Q4" s="13">
        <f aca="true" t="shared" si="8" ref="Q4:Q30">$U4*$N4</f>
        <v>4.149232096898349</v>
      </c>
      <c r="R4" s="45">
        <f aca="true" t="shared" si="9" ref="R4:R30">$Q4^2</f>
        <v>17.216126993931475</v>
      </c>
      <c r="S4" s="46">
        <f>$U4*$O4</f>
        <v>243.6344647983594</v>
      </c>
      <c r="T4" s="14">
        <f>$S4^2</f>
        <v>59357.752437583025</v>
      </c>
      <c r="U4" s="136">
        <f>Input!$C4/$M4</f>
        <v>16.311616440876723</v>
      </c>
      <c r="V4" s="137">
        <f>$U4^2</f>
        <v>266.0688309142798</v>
      </c>
      <c r="W4" s="54">
        <f>1/SQRT(1/$C4^2+1/$M4^2+2/$C4/$M4*COS(($F4-$P4)*PI()/180))</f>
        <v>4.795672322616852</v>
      </c>
      <c r="X4" s="11">
        <f>ATAN(($C4*SIN($F4*PI()/180)+$M4/SIN($P4*PI()/180))/($C4*COS($F4*PI()/180)+$M4*COS($P4*PI()/180)))*180/PI()</f>
        <v>-89.91275775686967</v>
      </c>
      <c r="Y4" s="11">
        <f>$Z4^2</f>
        <v>2493.785128055145</v>
      </c>
      <c r="Z4" s="132">
        <f>SQRT($K4^2+$U4^2+2*$K4*$U4*COS(($F4-$P4)*PI()/180))</f>
        <v>49.937812607834005</v>
      </c>
    </row>
    <row r="5" spans="1:26" ht="12.75">
      <c r="A5" s="15">
        <f>Input!A5</f>
        <v>2</v>
      </c>
      <c r="B5" s="37">
        <f>Input!B5</f>
        <v>100</v>
      </c>
      <c r="C5" s="38">
        <f aca="true" t="shared" si="10" ref="C5:C30">SQRT((R_5/1000)^2+($D5-$E5)^2)</f>
        <v>2.8131766355106493</v>
      </c>
      <c r="D5" s="16">
        <f t="shared" si="0"/>
        <v>0.9971415082494003</v>
      </c>
      <c r="E5" s="16">
        <f t="shared" si="1"/>
        <v>3.8102691666721418</v>
      </c>
      <c r="F5" s="17">
        <f t="shared" si="2"/>
        <v>-89.66190695332743</v>
      </c>
      <c r="G5" s="18">
        <f aca="true" t="shared" si="11" ref="G5:G30">$K5*$D5</f>
        <v>0</v>
      </c>
      <c r="H5" s="19">
        <f t="shared" si="3"/>
        <v>0</v>
      </c>
      <c r="I5" s="18">
        <f aca="true" t="shared" si="12" ref="I5:I30">$K5*$E5</f>
        <v>0</v>
      </c>
      <c r="J5" s="19">
        <f t="shared" si="4"/>
        <v>0</v>
      </c>
      <c r="K5" s="63">
        <f>Input!$C5/$C5</f>
        <v>0</v>
      </c>
      <c r="L5" s="64">
        <f aca="true" t="shared" si="13" ref="L5:L30">$K5^2</f>
        <v>0</v>
      </c>
      <c r="M5" s="65">
        <f aca="true" t="shared" si="14" ref="M5:M30">SQRT((R_7/1000)^2+($N5-$O5)^2)</f>
        <v>6.959401696910255</v>
      </c>
      <c r="N5" s="16">
        <f t="shared" si="5"/>
        <v>0.5087456674741838</v>
      </c>
      <c r="O5" s="16">
        <f t="shared" si="6"/>
        <v>7.468127566677397</v>
      </c>
      <c r="P5" s="17">
        <f t="shared" si="7"/>
        <v>-89.86333439522134</v>
      </c>
      <c r="Q5" s="18">
        <f t="shared" si="8"/>
        <v>0</v>
      </c>
      <c r="R5" s="47">
        <f t="shared" si="9"/>
        <v>0</v>
      </c>
      <c r="S5" s="48">
        <f aca="true" t="shared" si="15" ref="S5:S30">$U5*$O5</f>
        <v>0</v>
      </c>
      <c r="T5" s="19">
        <f aca="true" t="shared" si="16" ref="T5:T30">$S5^2</f>
        <v>0</v>
      </c>
      <c r="U5" s="138">
        <f>Input!$C5/$M5</f>
        <v>0</v>
      </c>
      <c r="V5" s="139">
        <f aca="true" t="shared" si="17" ref="V5:V30">$U5^2</f>
        <v>0</v>
      </c>
      <c r="W5" s="55">
        <f>1/SQRT(1/$C5^2+1/$M5^2+2/$C5/$M5*COS(($F5-$P5)*PI()/180))</f>
        <v>2.003365988651631</v>
      </c>
      <c r="X5" s="16">
        <f aca="true" t="shared" si="18" ref="X5:X30">ATAN(($C5*SIN($F5*PI()/180)+$M5/SIN($P5*PI()/180))/($C5*COS($F5*PI()/180)+$M5*COS($P5*PI()/180)))*180/PI()</f>
        <v>-89.80535144597806</v>
      </c>
      <c r="Y5" s="16">
        <f aca="true" t="shared" si="19" ref="Y5:Y30">$Z5^2</f>
        <v>0</v>
      </c>
      <c r="Z5" s="133">
        <f aca="true" t="shared" si="20" ref="Z5:Z30">SQRT($K5^2+$U5^2+2*$K5*$U5*COS(($F5-$P5)*PI()/180))</f>
        <v>0</v>
      </c>
    </row>
    <row r="6" spans="1:26" ht="12.75">
      <c r="A6" s="15">
        <f>Input!A6</f>
        <v>3</v>
      </c>
      <c r="B6" s="37">
        <f>Input!B6</f>
        <v>150</v>
      </c>
      <c r="C6" s="38">
        <f t="shared" si="10"/>
        <v>1.0445990878942935</v>
      </c>
      <c r="D6" s="16">
        <f t="shared" si="0"/>
        <v>1.4957122623741004</v>
      </c>
      <c r="E6" s="16">
        <f t="shared" si="1"/>
        <v>2.5401794444480945</v>
      </c>
      <c r="F6" s="17">
        <f t="shared" si="2"/>
        <v>-89.08945930885587</v>
      </c>
      <c r="G6" s="18">
        <f t="shared" si="11"/>
        <v>17.182235133547692</v>
      </c>
      <c r="H6" s="19">
        <f t="shared" si="3"/>
        <v>295.2292041845207</v>
      </c>
      <c r="I6" s="18">
        <f t="shared" si="12"/>
        <v>29.180719844225756</v>
      </c>
      <c r="J6" s="19">
        <f t="shared" si="4"/>
        <v>851.5144106271908</v>
      </c>
      <c r="K6" s="63">
        <f>Input!$C6/$C6</f>
        <v>11.487660806012805</v>
      </c>
      <c r="L6" s="64">
        <f t="shared" si="13"/>
        <v>131.96635079400278</v>
      </c>
      <c r="M6" s="65">
        <f t="shared" si="14"/>
        <v>4.215665892889367</v>
      </c>
      <c r="N6" s="16">
        <f t="shared" si="5"/>
        <v>0.7631185012112758</v>
      </c>
      <c r="O6" s="16">
        <f t="shared" si="6"/>
        <v>4.978751711118265</v>
      </c>
      <c r="P6" s="17">
        <f t="shared" si="7"/>
        <v>-89.77438620090048</v>
      </c>
      <c r="Q6" s="18">
        <f t="shared" si="8"/>
        <v>2.1722361893007895</v>
      </c>
      <c r="R6" s="47">
        <f t="shared" si="9"/>
        <v>4.718610062108016</v>
      </c>
      <c r="S6" s="48">
        <f t="shared" si="15"/>
        <v>14.172143156361626</v>
      </c>
      <c r="T6" s="19">
        <f t="shared" si="16"/>
        <v>200.84964164440768</v>
      </c>
      <c r="U6" s="138">
        <f>Input!$C6/$M6</f>
        <v>2.8465253900316427</v>
      </c>
      <c r="V6" s="139">
        <f t="shared" si="17"/>
        <v>8.102706796094795</v>
      </c>
      <c r="W6" s="55">
        <f aca="true" t="shared" si="21" ref="W6:W29">1/SQRT(1/$C6^2+1/$M6^2+2/$C6/$M6*COS(($F6-$P6)*PI()/180))</f>
        <v>0.8371690093406231</v>
      </c>
      <c r="X6" s="16">
        <f t="shared" si="18"/>
        <v>-89.6383774373579</v>
      </c>
      <c r="Y6" s="16">
        <f t="shared" si="19"/>
        <v>205.46422102247578</v>
      </c>
      <c r="Z6" s="133">
        <f t="shared" si="20"/>
        <v>14.33402319736074</v>
      </c>
    </row>
    <row r="7" spans="1:26" ht="12.75">
      <c r="A7" s="15">
        <f>Input!A7</f>
        <v>4</v>
      </c>
      <c r="B7" s="37">
        <f>Input!B7</f>
        <v>200</v>
      </c>
      <c r="C7" s="38">
        <f t="shared" si="10"/>
        <v>0.09068077599673308</v>
      </c>
      <c r="D7" s="16">
        <f t="shared" si="0"/>
        <v>1.9942830164988006</v>
      </c>
      <c r="E7" s="16">
        <f t="shared" si="1"/>
        <v>1.9051345833360709</v>
      </c>
      <c r="F7" s="17">
        <f t="shared" si="2"/>
        <v>79.45196754804246</v>
      </c>
      <c r="G7" s="18">
        <f t="shared" si="11"/>
        <v>0</v>
      </c>
      <c r="H7" s="19">
        <f t="shared" si="3"/>
        <v>0</v>
      </c>
      <c r="I7" s="18">
        <f t="shared" si="12"/>
        <v>0</v>
      </c>
      <c r="J7" s="19">
        <f t="shared" si="4"/>
        <v>0</v>
      </c>
      <c r="K7" s="63">
        <f>Input!$C7/$C7</f>
        <v>0</v>
      </c>
      <c r="L7" s="64">
        <f t="shared" si="13"/>
        <v>0</v>
      </c>
      <c r="M7" s="65">
        <f t="shared" si="14"/>
        <v>2.7166231662402938</v>
      </c>
      <c r="N7" s="16">
        <f t="shared" si="5"/>
        <v>1.0174913349483676</v>
      </c>
      <c r="O7" s="16">
        <f t="shared" si="6"/>
        <v>3.7340637833386987</v>
      </c>
      <c r="P7" s="17">
        <f t="shared" si="7"/>
        <v>-89.64989039676921</v>
      </c>
      <c r="Q7" s="18">
        <f t="shared" si="8"/>
        <v>0</v>
      </c>
      <c r="R7" s="47">
        <f t="shared" si="9"/>
        <v>0</v>
      </c>
      <c r="S7" s="48">
        <f t="shared" si="15"/>
        <v>0</v>
      </c>
      <c r="T7" s="19">
        <f t="shared" si="16"/>
        <v>0</v>
      </c>
      <c r="U7" s="138">
        <f>Input!$C7/$M7</f>
        <v>0</v>
      </c>
      <c r="V7" s="139">
        <f t="shared" si="17"/>
        <v>0</v>
      </c>
      <c r="W7" s="55">
        <f t="shared" si="21"/>
        <v>0.09375183871308694</v>
      </c>
      <c r="X7" s="16">
        <f t="shared" si="18"/>
        <v>-89.2760798357811</v>
      </c>
      <c r="Y7" s="16">
        <f t="shared" si="19"/>
        <v>0</v>
      </c>
      <c r="Z7" s="133">
        <f t="shared" si="20"/>
        <v>0</v>
      </c>
    </row>
    <row r="8" spans="1:26" ht="12.75">
      <c r="A8" s="15">
        <f>Input!A8</f>
        <v>5</v>
      </c>
      <c r="B8" s="37">
        <f>Input!B8</f>
        <v>250</v>
      </c>
      <c r="C8" s="38">
        <f t="shared" si="10"/>
        <v>0.9688883186040081</v>
      </c>
      <c r="D8" s="16">
        <f t="shared" si="0"/>
        <v>2.4928537706235008</v>
      </c>
      <c r="E8" s="16">
        <f t="shared" si="1"/>
        <v>1.5241076666688567</v>
      </c>
      <c r="F8" s="17">
        <f t="shared" si="2"/>
        <v>89.01830122272627</v>
      </c>
      <c r="G8" s="18">
        <f t="shared" si="11"/>
        <v>20.583208386413407</v>
      </c>
      <c r="H8" s="19">
        <f t="shared" si="3"/>
        <v>423.66846747851923</v>
      </c>
      <c r="I8" s="18">
        <f t="shared" si="12"/>
        <v>12.584382636502987</v>
      </c>
      <c r="J8" s="19">
        <f t="shared" si="4"/>
        <v>158.36668634191787</v>
      </c>
      <c r="K8" s="63">
        <f>Input!$C8/$C8</f>
        <v>8.256885593921233</v>
      </c>
      <c r="L8" s="64">
        <f t="shared" si="13"/>
        <v>68.17615971110399</v>
      </c>
      <c r="M8" s="65">
        <f t="shared" si="14"/>
        <v>1.7154671761795277</v>
      </c>
      <c r="N8" s="16">
        <f t="shared" si="5"/>
        <v>1.2718641686854597</v>
      </c>
      <c r="O8" s="16">
        <f t="shared" si="6"/>
        <v>2.987251026670959</v>
      </c>
      <c r="P8" s="17">
        <f t="shared" si="7"/>
        <v>-89.44555932222904</v>
      </c>
      <c r="Q8" s="18">
        <f t="shared" si="8"/>
        <v>5.931278365899114</v>
      </c>
      <c r="R8" s="47">
        <f t="shared" si="9"/>
        <v>35.18006305378287</v>
      </c>
      <c r="S8" s="48">
        <f t="shared" si="15"/>
        <v>13.930903805801929</v>
      </c>
      <c r="T8" s="19">
        <f t="shared" si="16"/>
        <v>194.07008084650667</v>
      </c>
      <c r="U8" s="138">
        <f>Input!$C8/$M8</f>
        <v>4.663452679879653</v>
      </c>
      <c r="V8" s="139">
        <f t="shared" si="17"/>
        <v>21.747790897476722</v>
      </c>
      <c r="W8" s="55">
        <f t="shared" si="21"/>
        <v>2.2239013543727983</v>
      </c>
      <c r="X8" s="16">
        <f t="shared" si="18"/>
        <v>-87.4545197399946</v>
      </c>
      <c r="Y8" s="16">
        <f t="shared" si="19"/>
        <v>12.94043677861997</v>
      </c>
      <c r="Z8" s="133">
        <f t="shared" si="20"/>
        <v>3.5972818597685627</v>
      </c>
    </row>
    <row r="9" spans="1:26" ht="12.75">
      <c r="A9" s="15">
        <f>Input!A9</f>
        <v>6</v>
      </c>
      <c r="B9" s="37">
        <f>Input!B9</f>
        <v>300</v>
      </c>
      <c r="C9" s="38">
        <f t="shared" si="10"/>
        <v>1.721414843197556</v>
      </c>
      <c r="D9" s="16">
        <f t="shared" si="0"/>
        <v>2.9914245247482008</v>
      </c>
      <c r="E9" s="16">
        <f t="shared" si="1"/>
        <v>1.2700897222240473</v>
      </c>
      <c r="F9" s="17">
        <f t="shared" si="2"/>
        <v>89.44747503182539</v>
      </c>
      <c r="G9" s="18">
        <f t="shared" si="11"/>
        <v>0</v>
      </c>
      <c r="H9" s="19">
        <f t="shared" si="3"/>
        <v>0</v>
      </c>
      <c r="I9" s="18">
        <f t="shared" si="12"/>
        <v>0</v>
      </c>
      <c r="J9" s="19">
        <f t="shared" si="4"/>
        <v>0</v>
      </c>
      <c r="K9" s="63">
        <f>Input!$C9/$C9</f>
        <v>0</v>
      </c>
      <c r="L9" s="64">
        <f t="shared" si="13"/>
        <v>0</v>
      </c>
      <c r="M9" s="65">
        <f t="shared" si="14"/>
        <v>0.963281895615841</v>
      </c>
      <c r="N9" s="16">
        <f t="shared" si="5"/>
        <v>1.5262370024225516</v>
      </c>
      <c r="O9" s="16">
        <f t="shared" si="6"/>
        <v>2.4893758555591323</v>
      </c>
      <c r="P9" s="17">
        <f t="shared" si="7"/>
        <v>-89.01258704707536</v>
      </c>
      <c r="Q9" s="18">
        <f t="shared" si="8"/>
        <v>0</v>
      </c>
      <c r="R9" s="47">
        <f t="shared" si="9"/>
        <v>0</v>
      </c>
      <c r="S9" s="48">
        <f t="shared" si="15"/>
        <v>0</v>
      </c>
      <c r="T9" s="19">
        <f t="shared" si="16"/>
        <v>0</v>
      </c>
      <c r="U9" s="138">
        <f>Input!$C9/$M9</f>
        <v>0</v>
      </c>
      <c r="V9" s="139">
        <f t="shared" si="17"/>
        <v>0</v>
      </c>
      <c r="W9" s="55">
        <f t="shared" si="21"/>
        <v>2.184950092918032</v>
      </c>
      <c r="X9" s="16">
        <f t="shared" si="18"/>
        <v>87.49178005255817</v>
      </c>
      <c r="Y9" s="16">
        <f t="shared" si="19"/>
        <v>0</v>
      </c>
      <c r="Z9" s="133">
        <f t="shared" si="20"/>
        <v>0</v>
      </c>
    </row>
    <row r="10" spans="1:26" ht="12.75">
      <c r="A10" s="15">
        <f>Input!A10</f>
        <v>7</v>
      </c>
      <c r="B10" s="37">
        <f>Input!B10</f>
        <v>350</v>
      </c>
      <c r="C10" s="38">
        <f t="shared" si="10"/>
        <v>2.401404320984848</v>
      </c>
      <c r="D10" s="16">
        <f t="shared" si="0"/>
        <v>3.4899952788729007</v>
      </c>
      <c r="E10" s="16">
        <f t="shared" si="1"/>
        <v>1.0886483333348975</v>
      </c>
      <c r="F10" s="17">
        <f t="shared" si="2"/>
        <v>89.6039327878016</v>
      </c>
      <c r="G10" s="18">
        <f t="shared" si="11"/>
        <v>5.813257265134939</v>
      </c>
      <c r="H10" s="19">
        <f t="shared" si="3"/>
        <v>33.79396003064415</v>
      </c>
      <c r="I10" s="18">
        <f t="shared" si="12"/>
        <v>1.8133528349585517</v>
      </c>
      <c r="J10" s="19">
        <f t="shared" si="4"/>
        <v>3.2882485040522162</v>
      </c>
      <c r="K10" s="63">
        <f>Input!$C10/$C10</f>
        <v>1.6656920140626492</v>
      </c>
      <c r="L10" s="64">
        <f t="shared" si="13"/>
        <v>2.774529885712085</v>
      </c>
      <c r="M10" s="65">
        <f t="shared" si="14"/>
        <v>0.35353083777628813</v>
      </c>
      <c r="N10" s="16">
        <f t="shared" si="5"/>
        <v>1.7806098361596432</v>
      </c>
      <c r="O10" s="16">
        <f t="shared" si="6"/>
        <v>2.133750733336399</v>
      </c>
      <c r="P10" s="17">
        <f t="shared" si="7"/>
        <v>-87.30869366823451</v>
      </c>
      <c r="Q10" s="18">
        <f t="shared" si="8"/>
        <v>20.146585767280655</v>
      </c>
      <c r="R10" s="47">
        <f t="shared" si="9"/>
        <v>405.88491807839546</v>
      </c>
      <c r="S10" s="48">
        <f t="shared" si="15"/>
        <v>24.142173811571393</v>
      </c>
      <c r="T10" s="19">
        <f t="shared" si="16"/>
        <v>582.8445563481235</v>
      </c>
      <c r="U10" s="138">
        <f>Input!$C10/$M10</f>
        <v>11.31443023516713</v>
      </c>
      <c r="V10" s="139">
        <f t="shared" si="17"/>
        <v>128.01633154646413</v>
      </c>
      <c r="W10" s="55">
        <f t="shared" si="21"/>
        <v>0.41444022399414626</v>
      </c>
      <c r="X10" s="16">
        <f t="shared" si="18"/>
        <v>89.07100260210368</v>
      </c>
      <c r="Y10" s="16">
        <f t="shared" si="19"/>
        <v>93.15285783378197</v>
      </c>
      <c r="Z10" s="133">
        <f t="shared" si="20"/>
        <v>9.651572816581863</v>
      </c>
    </row>
    <row r="11" spans="1:32" ht="12.75">
      <c r="A11" s="15">
        <f>Input!A11</f>
        <v>8</v>
      </c>
      <c r="B11" s="37">
        <f>Input!B11</f>
        <v>400</v>
      </c>
      <c r="C11" s="38">
        <f t="shared" si="10"/>
        <v>3.0360441230908863</v>
      </c>
      <c r="D11" s="16">
        <f t="shared" si="0"/>
        <v>3.988566032997601</v>
      </c>
      <c r="E11" s="16">
        <f t="shared" si="1"/>
        <v>0.9525672916680354</v>
      </c>
      <c r="F11" s="17">
        <f t="shared" si="2"/>
        <v>89.68672567316517</v>
      </c>
      <c r="G11" s="18">
        <f t="shared" si="11"/>
        <v>0</v>
      </c>
      <c r="H11" s="19">
        <f t="shared" si="3"/>
        <v>0</v>
      </c>
      <c r="I11" s="18">
        <f t="shared" si="12"/>
        <v>0</v>
      </c>
      <c r="J11" s="19">
        <f t="shared" si="4"/>
        <v>0</v>
      </c>
      <c r="K11" s="63">
        <f>Input!$C11/$C11</f>
        <v>0</v>
      </c>
      <c r="L11" s="64">
        <f t="shared" si="13"/>
        <v>0</v>
      </c>
      <c r="M11" s="65">
        <f t="shared" si="14"/>
        <v>0.16876914382429203</v>
      </c>
      <c r="N11" s="16">
        <f t="shared" si="5"/>
        <v>2.0349826698967353</v>
      </c>
      <c r="O11" s="16">
        <f t="shared" si="6"/>
        <v>1.8670318916693494</v>
      </c>
      <c r="P11" s="17">
        <f t="shared" si="7"/>
        <v>84.35530556957428</v>
      </c>
      <c r="Q11" s="18">
        <f t="shared" si="8"/>
        <v>0</v>
      </c>
      <c r="R11" s="47">
        <f t="shared" si="9"/>
        <v>0</v>
      </c>
      <c r="S11" s="48">
        <f t="shared" si="15"/>
        <v>0</v>
      </c>
      <c r="T11" s="19">
        <f t="shared" si="16"/>
        <v>0</v>
      </c>
      <c r="U11" s="138">
        <f>Input!$C11/$M11</f>
        <v>0</v>
      </c>
      <c r="V11" s="139">
        <f t="shared" si="17"/>
        <v>0</v>
      </c>
      <c r="W11" s="55">
        <f t="shared" si="21"/>
        <v>0.15991608397096135</v>
      </c>
      <c r="X11" s="16">
        <f t="shared" si="18"/>
        <v>89.40661415571923</v>
      </c>
      <c r="Y11" s="16">
        <f t="shared" si="19"/>
        <v>0</v>
      </c>
      <c r="Z11" s="133">
        <f t="shared" si="20"/>
        <v>0</v>
      </c>
      <c r="AA11" s="5"/>
      <c r="AB11" s="5"/>
      <c r="AC11" s="5"/>
      <c r="AD11" s="5"/>
      <c r="AE11" s="5"/>
      <c r="AF11" s="5"/>
    </row>
    <row r="12" spans="1:32" s="5" customFormat="1" ht="12.75">
      <c r="A12" s="15">
        <f>Input!A12</f>
        <v>9</v>
      </c>
      <c r="B12" s="37">
        <f>Input!B12</f>
        <v>450</v>
      </c>
      <c r="C12" s="38">
        <f t="shared" si="10"/>
        <v>3.64044815282501</v>
      </c>
      <c r="D12" s="16">
        <f t="shared" si="0"/>
        <v>4.487136787122301</v>
      </c>
      <c r="E12" s="16">
        <f t="shared" si="1"/>
        <v>0.8467264814826981</v>
      </c>
      <c r="F12" s="17">
        <f t="shared" si="2"/>
        <v>89.73873732133767</v>
      </c>
      <c r="G12" s="18">
        <f t="shared" si="11"/>
        <v>3.697734398695052</v>
      </c>
      <c r="H12" s="19">
        <f t="shared" si="3"/>
        <v>13.673239683292659</v>
      </c>
      <c r="I12" s="18">
        <f t="shared" si="12"/>
        <v>0.6977655875903354</v>
      </c>
      <c r="J12" s="19">
        <f t="shared" si="4"/>
        <v>0.486876815225286</v>
      </c>
      <c r="K12" s="63">
        <f>Input!$C12/$C12</f>
        <v>0.8240743650399145</v>
      </c>
      <c r="L12" s="64">
        <f t="shared" si="13"/>
        <v>0.6790985591159382</v>
      </c>
      <c r="M12" s="65">
        <f t="shared" si="14"/>
        <v>0.6299903396684302</v>
      </c>
      <c r="N12" s="16">
        <f t="shared" si="5"/>
        <v>2.289355503633827</v>
      </c>
      <c r="O12" s="16">
        <f t="shared" si="6"/>
        <v>1.6595839037060882</v>
      </c>
      <c r="P12" s="17">
        <f t="shared" si="7"/>
        <v>88.49010377777796</v>
      </c>
      <c r="Q12" s="18">
        <f t="shared" si="8"/>
        <v>10.901860042038436</v>
      </c>
      <c r="R12" s="47">
        <f t="shared" si="9"/>
        <v>118.85055237619429</v>
      </c>
      <c r="S12" s="48">
        <f t="shared" si="15"/>
        <v>7.902901675823518</v>
      </c>
      <c r="T12" s="19">
        <f t="shared" si="16"/>
        <v>62.45585489773417</v>
      </c>
      <c r="U12" s="138">
        <f>Input!$C12/$M12</f>
        <v>4.761977781403645</v>
      </c>
      <c r="V12" s="139">
        <f t="shared" si="17"/>
        <v>22.67643239058198</v>
      </c>
      <c r="W12" s="55">
        <f t="shared" si="21"/>
        <v>0.5370679527990595</v>
      </c>
      <c r="X12" s="16">
        <f t="shared" si="18"/>
        <v>89.5545888417723</v>
      </c>
      <c r="Y12" s="16">
        <f t="shared" si="19"/>
        <v>31.202114945840272</v>
      </c>
      <c r="Z12" s="133">
        <f t="shared" si="20"/>
        <v>5.585885332321124</v>
      </c>
      <c r="AA12" s="6"/>
      <c r="AB12" s="6"/>
      <c r="AC12" s="6"/>
      <c r="AD12" s="6"/>
      <c r="AE12" s="6"/>
      <c r="AF12" s="6"/>
    </row>
    <row r="13" spans="1:26" s="6" customFormat="1" ht="12.75">
      <c r="A13" s="15">
        <f>Input!A13</f>
        <v>10</v>
      </c>
      <c r="B13" s="37">
        <f>Input!B13</f>
        <v>500</v>
      </c>
      <c r="C13" s="38">
        <f t="shared" si="10"/>
        <v>4.223686328832153</v>
      </c>
      <c r="D13" s="16">
        <f t="shared" si="0"/>
        <v>4.9857075412470016</v>
      </c>
      <c r="E13" s="16">
        <f t="shared" si="1"/>
        <v>0.7620538333344283</v>
      </c>
      <c r="F13" s="17">
        <f t="shared" si="2"/>
        <v>89.77481462531664</v>
      </c>
      <c r="G13" s="18">
        <f t="shared" si="11"/>
        <v>0</v>
      </c>
      <c r="H13" s="19">
        <f t="shared" si="3"/>
        <v>0</v>
      </c>
      <c r="I13" s="18">
        <f t="shared" si="12"/>
        <v>0</v>
      </c>
      <c r="J13" s="19">
        <f t="shared" si="4"/>
        <v>0</v>
      </c>
      <c r="K13" s="63">
        <f>Input!$C13/$C13</f>
        <v>0</v>
      </c>
      <c r="L13" s="64">
        <f t="shared" si="13"/>
        <v>0</v>
      </c>
      <c r="M13" s="65">
        <f t="shared" si="14"/>
        <v>1.0502340220385198</v>
      </c>
      <c r="N13" s="16">
        <f t="shared" si="5"/>
        <v>2.5437283373709194</v>
      </c>
      <c r="O13" s="16">
        <f t="shared" si="6"/>
        <v>1.4936255133354794</v>
      </c>
      <c r="P13" s="17">
        <f t="shared" si="7"/>
        <v>89.09434513928248</v>
      </c>
      <c r="Q13" s="18">
        <f t="shared" si="8"/>
        <v>0</v>
      </c>
      <c r="R13" s="47">
        <f t="shared" si="9"/>
        <v>0</v>
      </c>
      <c r="S13" s="48">
        <f t="shared" si="15"/>
        <v>0</v>
      </c>
      <c r="T13" s="19">
        <f t="shared" si="16"/>
        <v>0</v>
      </c>
      <c r="U13" s="138">
        <f>Input!$C13/$M13</f>
        <v>0</v>
      </c>
      <c r="V13" s="139">
        <f t="shared" si="17"/>
        <v>0</v>
      </c>
      <c r="W13" s="55">
        <f t="shared" si="21"/>
        <v>0.8411027618993691</v>
      </c>
      <c r="X13" s="16">
        <f t="shared" si="18"/>
        <v>89.6393272807721</v>
      </c>
      <c r="Y13" s="16">
        <f t="shared" si="19"/>
        <v>0</v>
      </c>
      <c r="Z13" s="133">
        <f t="shared" si="20"/>
        <v>0</v>
      </c>
    </row>
    <row r="14" spans="1:26" s="6" customFormat="1" ht="12.75">
      <c r="A14" s="15">
        <f>Input!A14</f>
        <v>11</v>
      </c>
      <c r="B14" s="37">
        <f>Input!B14</f>
        <v>550</v>
      </c>
      <c r="C14" s="38">
        <f t="shared" si="10"/>
        <v>4.7915308382378425</v>
      </c>
      <c r="D14" s="16">
        <f t="shared" si="0"/>
        <v>5.484278295371701</v>
      </c>
      <c r="E14" s="16">
        <f t="shared" si="1"/>
        <v>0.6927762121222076</v>
      </c>
      <c r="F14" s="17">
        <f t="shared" si="2"/>
        <v>89.80150146693508</v>
      </c>
      <c r="G14" s="18">
        <f t="shared" si="11"/>
        <v>2.861443701669166</v>
      </c>
      <c r="H14" s="19">
        <f t="shared" si="3"/>
        <v>8.187860057822139</v>
      </c>
      <c r="I14" s="18">
        <f t="shared" si="12"/>
        <v>0.36145870469707053</v>
      </c>
      <c r="J14" s="19">
        <f t="shared" si="4"/>
        <v>0.13065239520128405</v>
      </c>
      <c r="K14" s="63">
        <f>Input!$C14/$C14</f>
        <v>0.5217539204901398</v>
      </c>
      <c r="L14" s="64">
        <f t="shared" si="13"/>
        <v>0.27222715354683114</v>
      </c>
      <c r="M14" s="65">
        <f t="shared" si="14"/>
        <v>1.4403554554682876</v>
      </c>
      <c r="N14" s="16">
        <f t="shared" si="5"/>
        <v>2.7981011711080113</v>
      </c>
      <c r="O14" s="16">
        <f t="shared" si="6"/>
        <v>1.357841375759527</v>
      </c>
      <c r="P14" s="17">
        <f t="shared" si="7"/>
        <v>89.33965536589245</v>
      </c>
      <c r="Q14" s="18">
        <f t="shared" si="8"/>
        <v>4.856615706360993</v>
      </c>
      <c r="R14" s="47">
        <f t="shared" si="9"/>
        <v>23.58671611927229</v>
      </c>
      <c r="S14" s="48">
        <f t="shared" si="15"/>
        <v>2.356781741972967</v>
      </c>
      <c r="T14" s="19">
        <f t="shared" si="16"/>
        <v>5.554420179297132</v>
      </c>
      <c r="U14" s="138">
        <f>Input!$C14/$M14</f>
        <v>1.7356826681280568</v>
      </c>
      <c r="V14" s="139">
        <f t="shared" si="17"/>
        <v>3.0125943244401303</v>
      </c>
      <c r="W14" s="55">
        <f t="shared" si="21"/>
        <v>1.1074572131528326</v>
      </c>
      <c r="X14" s="16">
        <f t="shared" si="18"/>
        <v>89.69476634020332</v>
      </c>
      <c r="Y14" s="16">
        <f t="shared" si="19"/>
        <v>5.095961110232506</v>
      </c>
      <c r="Z14" s="133">
        <f t="shared" si="20"/>
        <v>2.257423555789322</v>
      </c>
    </row>
    <row r="15" spans="1:26" s="6" customFormat="1" ht="12.75">
      <c r="A15" s="15">
        <f>Input!A15</f>
        <v>12</v>
      </c>
      <c r="B15" s="37">
        <f>Input!B15</f>
        <v>600</v>
      </c>
      <c r="C15" s="38">
        <f t="shared" si="10"/>
        <v>5.347829952167655</v>
      </c>
      <c r="D15" s="16">
        <f t="shared" si="0"/>
        <v>5.9828490494964015</v>
      </c>
      <c r="E15" s="16">
        <f t="shared" si="1"/>
        <v>0.6350448611120236</v>
      </c>
      <c r="F15" s="17">
        <f t="shared" si="2"/>
        <v>89.82215001677551</v>
      </c>
      <c r="G15" s="18">
        <f t="shared" si="11"/>
        <v>0</v>
      </c>
      <c r="H15" s="19">
        <f t="shared" si="3"/>
        <v>0</v>
      </c>
      <c r="I15" s="18">
        <f t="shared" si="12"/>
        <v>0</v>
      </c>
      <c r="J15" s="19">
        <f t="shared" si="4"/>
        <v>0</v>
      </c>
      <c r="K15" s="63">
        <f>Input!$C15/$C15</f>
        <v>0</v>
      </c>
      <c r="L15" s="64">
        <f t="shared" si="13"/>
        <v>0</v>
      </c>
      <c r="M15" s="65">
        <f t="shared" si="14"/>
        <v>1.8078622902289885</v>
      </c>
      <c r="N15" s="16">
        <f t="shared" si="5"/>
        <v>3.052474004845103</v>
      </c>
      <c r="O15" s="16">
        <f t="shared" si="6"/>
        <v>1.2446879277795662</v>
      </c>
      <c r="P15" s="17">
        <f t="shared" si="7"/>
        <v>89.47389615324052</v>
      </c>
      <c r="Q15" s="18">
        <f t="shared" si="8"/>
        <v>0</v>
      </c>
      <c r="R15" s="47">
        <f t="shared" si="9"/>
        <v>0</v>
      </c>
      <c r="S15" s="48">
        <f t="shared" si="15"/>
        <v>0</v>
      </c>
      <c r="T15" s="19">
        <f t="shared" si="16"/>
        <v>0</v>
      </c>
      <c r="U15" s="138">
        <f>Input!$C15/$M15</f>
        <v>0</v>
      </c>
      <c r="V15" s="139">
        <f t="shared" si="17"/>
        <v>0</v>
      </c>
      <c r="W15" s="55">
        <f t="shared" si="21"/>
        <v>1.3511164955884005</v>
      </c>
      <c r="X15" s="16">
        <f t="shared" si="18"/>
        <v>89.73417067774476</v>
      </c>
      <c r="Y15" s="16">
        <f t="shared" si="19"/>
        <v>0</v>
      </c>
      <c r="Z15" s="133">
        <f t="shared" si="20"/>
        <v>0</v>
      </c>
    </row>
    <row r="16" spans="1:26" s="6" customFormat="1" ht="12.75">
      <c r="A16" s="15">
        <f>Input!A16</f>
        <v>13</v>
      </c>
      <c r="B16" s="37">
        <f>Input!B16</f>
        <v>650</v>
      </c>
      <c r="C16" s="38">
        <f t="shared" si="10"/>
        <v>5.8952479186228794</v>
      </c>
      <c r="D16" s="16">
        <f t="shared" si="0"/>
        <v>6.481419803621102</v>
      </c>
      <c r="E16" s="16">
        <f t="shared" si="1"/>
        <v>0.5861952564110987</v>
      </c>
      <c r="F16" s="17">
        <f t="shared" si="2"/>
        <v>89.8386647669574</v>
      </c>
      <c r="G16" s="18">
        <f t="shared" si="11"/>
        <v>2.198862505221036</v>
      </c>
      <c r="H16" s="19">
        <f t="shared" si="3"/>
        <v>4.834996316866931</v>
      </c>
      <c r="I16" s="18">
        <f t="shared" si="12"/>
        <v>0.1988704341201084</v>
      </c>
      <c r="J16" s="19">
        <f t="shared" si="4"/>
        <v>0.03954944956712038</v>
      </c>
      <c r="K16" s="63">
        <f>Input!$C16/$C16</f>
        <v>0.33925630060138284</v>
      </c>
      <c r="L16" s="64">
        <f t="shared" si="13"/>
        <v>0.11509483749773583</v>
      </c>
      <c r="M16" s="65">
        <f t="shared" si="14"/>
        <v>2.157967984062059</v>
      </c>
      <c r="N16" s="16">
        <f t="shared" si="5"/>
        <v>3.306846838582195</v>
      </c>
      <c r="O16" s="16">
        <f t="shared" si="6"/>
        <v>1.1489427025657533</v>
      </c>
      <c r="P16" s="17">
        <f t="shared" si="7"/>
        <v>89.5592523488521</v>
      </c>
      <c r="Q16" s="18">
        <f t="shared" si="8"/>
        <v>3.0647784054307787</v>
      </c>
      <c r="R16" s="47">
        <f t="shared" si="9"/>
        <v>9.392866674394826</v>
      </c>
      <c r="S16" s="48">
        <f t="shared" si="15"/>
        <v>1.0648375796595801</v>
      </c>
      <c r="T16" s="19">
        <f t="shared" si="16"/>
        <v>1.1338790710552726</v>
      </c>
      <c r="U16" s="138">
        <f>Input!$C16/$M16</f>
        <v>0.9267978092220314</v>
      </c>
      <c r="V16" s="139">
        <f t="shared" si="17"/>
        <v>0.8589541791787568</v>
      </c>
      <c r="W16" s="55">
        <f t="shared" si="21"/>
        <v>1.5797149975817177</v>
      </c>
      <c r="X16" s="16">
        <f t="shared" si="18"/>
        <v>89.7637962814631</v>
      </c>
      <c r="Y16" s="16">
        <f t="shared" si="19"/>
        <v>1.6028855314700932</v>
      </c>
      <c r="Z16" s="133">
        <f t="shared" si="20"/>
        <v>1.2660511567350243</v>
      </c>
    </row>
    <row r="17" spans="1:26" s="6" customFormat="1" ht="12.75">
      <c r="A17" s="15">
        <f>Input!A17</f>
        <v>14</v>
      </c>
      <c r="B17" s="37">
        <f>Input!B17</f>
        <v>700</v>
      </c>
      <c r="C17" s="38">
        <f t="shared" si="10"/>
        <v>6.435687799859116</v>
      </c>
      <c r="D17" s="16">
        <f t="shared" si="0"/>
        <v>6.9799905577458015</v>
      </c>
      <c r="E17" s="16">
        <f t="shared" si="1"/>
        <v>0.5443241666674488</v>
      </c>
      <c r="F17" s="17">
        <f t="shared" si="2"/>
        <v>89.852212999738</v>
      </c>
      <c r="G17" s="18">
        <f t="shared" si="11"/>
        <v>0</v>
      </c>
      <c r="H17" s="19">
        <f t="shared" si="3"/>
        <v>0</v>
      </c>
      <c r="I17" s="18">
        <f t="shared" si="12"/>
        <v>0</v>
      </c>
      <c r="J17" s="19">
        <f t="shared" si="4"/>
        <v>0</v>
      </c>
      <c r="K17" s="63">
        <f>Input!$C17/$C17</f>
        <v>0</v>
      </c>
      <c r="L17" s="64">
        <f t="shared" si="13"/>
        <v>0</v>
      </c>
      <c r="M17" s="65">
        <f t="shared" si="14"/>
        <v>2.4943995420008402</v>
      </c>
      <c r="N17" s="16">
        <f t="shared" si="5"/>
        <v>3.5612196723192864</v>
      </c>
      <c r="O17" s="16">
        <f t="shared" si="6"/>
        <v>1.0668753666681996</v>
      </c>
      <c r="P17" s="17">
        <f t="shared" si="7"/>
        <v>89.61869903178281</v>
      </c>
      <c r="Q17" s="18">
        <f t="shared" si="8"/>
        <v>0</v>
      </c>
      <c r="R17" s="47">
        <f t="shared" si="9"/>
        <v>0</v>
      </c>
      <c r="S17" s="48">
        <f t="shared" si="15"/>
        <v>0</v>
      </c>
      <c r="T17" s="19">
        <f t="shared" si="16"/>
        <v>0</v>
      </c>
      <c r="U17" s="138">
        <f>Input!$C17/$M17</f>
        <v>0</v>
      </c>
      <c r="V17" s="139">
        <f t="shared" si="17"/>
        <v>0</v>
      </c>
      <c r="W17" s="55">
        <f t="shared" si="21"/>
        <v>1.7976535866431689</v>
      </c>
      <c r="X17" s="16">
        <f t="shared" si="18"/>
        <v>89.78698932751466</v>
      </c>
      <c r="Y17" s="16">
        <f t="shared" si="19"/>
        <v>0</v>
      </c>
      <c r="Z17" s="133">
        <f t="shared" si="20"/>
        <v>0</v>
      </c>
    </row>
    <row r="18" spans="1:26" s="6" customFormat="1" ht="12.75">
      <c r="A18" s="15">
        <f>Input!A18</f>
        <v>15</v>
      </c>
      <c r="B18" s="37">
        <f>Input!B18</f>
        <v>750</v>
      </c>
      <c r="C18" s="38">
        <f t="shared" si="10"/>
        <v>6.970545189038144</v>
      </c>
      <c r="D18" s="16">
        <f t="shared" si="0"/>
        <v>7.478561311870502</v>
      </c>
      <c r="E18" s="16">
        <f t="shared" si="1"/>
        <v>0.5080358888896189</v>
      </c>
      <c r="F18" s="17">
        <f t="shared" si="2"/>
        <v>89.86355287669318</v>
      </c>
      <c r="G18" s="18">
        <f t="shared" si="11"/>
        <v>1.6093206002662308</v>
      </c>
      <c r="H18" s="19">
        <f t="shared" si="3"/>
        <v>2.5899127944412617</v>
      </c>
      <c r="I18" s="18">
        <f t="shared" si="12"/>
        <v>0.10932485374785773</v>
      </c>
      <c r="J18" s="19">
        <f t="shared" si="4"/>
        <v>0.011951923646990483</v>
      </c>
      <c r="K18" s="63">
        <f>Input!$C18/$C18</f>
        <v>0.21519120231210825</v>
      </c>
      <c r="L18" s="64">
        <f t="shared" si="13"/>
        <v>0.0463072535525307</v>
      </c>
      <c r="M18" s="65">
        <f t="shared" si="14"/>
        <v>2.8198910243001993</v>
      </c>
      <c r="N18" s="16">
        <f t="shared" si="5"/>
        <v>3.8155925060563787</v>
      </c>
      <c r="O18" s="16">
        <f t="shared" si="6"/>
        <v>0.9957503422236529</v>
      </c>
      <c r="P18" s="17">
        <f t="shared" si="7"/>
        <v>89.66271198954949</v>
      </c>
      <c r="Q18" s="18">
        <f t="shared" si="8"/>
        <v>2.0296489154239277</v>
      </c>
      <c r="R18" s="47">
        <f t="shared" si="9"/>
        <v>4.119474719881526</v>
      </c>
      <c r="S18" s="48">
        <f t="shared" si="15"/>
        <v>0.5296749060386637</v>
      </c>
      <c r="T18" s="19">
        <f t="shared" si="16"/>
        <v>0.28055550608706725</v>
      </c>
      <c r="U18" s="138">
        <f>Input!$C18/$M18</f>
        <v>0.531935449658821</v>
      </c>
      <c r="V18" s="139">
        <f t="shared" si="17"/>
        <v>0.2829553226037321</v>
      </c>
      <c r="W18" s="55">
        <f t="shared" si="21"/>
        <v>2.007694258854263</v>
      </c>
      <c r="X18" s="16">
        <f t="shared" si="18"/>
        <v>89.80570764222539</v>
      </c>
      <c r="Y18" s="16">
        <f t="shared" si="19"/>
        <v>0.5581968275779643</v>
      </c>
      <c r="Z18" s="133">
        <f t="shared" si="20"/>
        <v>0.7471257106926279</v>
      </c>
    </row>
    <row r="19" spans="1:32" s="6" customFormat="1" ht="12.75">
      <c r="A19" s="15">
        <f>Input!A19</f>
        <v>16</v>
      </c>
      <c r="B19" s="37">
        <f>Input!B19</f>
        <v>800</v>
      </c>
      <c r="C19" s="38">
        <f t="shared" si="10"/>
        <v>7.500866788727456</v>
      </c>
      <c r="D19" s="16">
        <f t="shared" si="0"/>
        <v>7.977132065995202</v>
      </c>
      <c r="E19" s="16">
        <f t="shared" si="1"/>
        <v>0.4762836458340177</v>
      </c>
      <c r="F19" s="17">
        <f t="shared" si="2"/>
        <v>89.87319989234773</v>
      </c>
      <c r="G19" s="18">
        <f t="shared" si="11"/>
        <v>0</v>
      </c>
      <c r="H19" s="19">
        <f t="shared" si="3"/>
        <v>0</v>
      </c>
      <c r="I19" s="18">
        <f t="shared" si="12"/>
        <v>0</v>
      </c>
      <c r="J19" s="19">
        <f t="shared" si="4"/>
        <v>0</v>
      </c>
      <c r="K19" s="63">
        <f>Input!$C19/$C19</f>
        <v>0</v>
      </c>
      <c r="L19" s="64">
        <f t="shared" si="13"/>
        <v>0</v>
      </c>
      <c r="M19" s="65">
        <f t="shared" si="14"/>
        <v>3.1364933223051024</v>
      </c>
      <c r="N19" s="16">
        <f t="shared" si="5"/>
        <v>4.0699653397934705</v>
      </c>
      <c r="O19" s="16">
        <f t="shared" si="6"/>
        <v>0.9335159458346747</v>
      </c>
      <c r="P19" s="17">
        <f t="shared" si="7"/>
        <v>89.69675867840876</v>
      </c>
      <c r="Q19" s="18">
        <f t="shared" si="8"/>
        <v>0</v>
      </c>
      <c r="R19" s="47">
        <f t="shared" si="9"/>
        <v>0</v>
      </c>
      <c r="S19" s="48">
        <f t="shared" si="15"/>
        <v>0</v>
      </c>
      <c r="T19" s="19">
        <f t="shared" si="16"/>
        <v>0</v>
      </c>
      <c r="U19" s="138">
        <f>Input!$C19/$M19</f>
        <v>0</v>
      </c>
      <c r="V19" s="139">
        <f t="shared" si="17"/>
        <v>0</v>
      </c>
      <c r="W19" s="55">
        <f t="shared" si="21"/>
        <v>2.211680486739331</v>
      </c>
      <c r="X19" s="16">
        <f t="shared" si="18"/>
        <v>89.82117657833618</v>
      </c>
      <c r="Y19" s="16">
        <f t="shared" si="19"/>
        <v>0</v>
      </c>
      <c r="Z19" s="133">
        <f t="shared" si="20"/>
        <v>0</v>
      </c>
      <c r="AA19" s="3"/>
      <c r="AB19" s="3"/>
      <c r="AC19" s="3"/>
      <c r="AD19" s="3"/>
      <c r="AE19" s="3"/>
      <c r="AF19" s="3"/>
    </row>
    <row r="20" spans="1:26" ht="12.75">
      <c r="A20" s="15">
        <f>Input!A20</f>
        <v>17</v>
      </c>
      <c r="B20" s="37">
        <f>Input!B20</f>
        <v>850</v>
      </c>
      <c r="C20" s="38">
        <f t="shared" si="10"/>
        <v>8.027453022954203</v>
      </c>
      <c r="D20" s="16">
        <f t="shared" si="0"/>
        <v>8.475702820119903</v>
      </c>
      <c r="E20" s="16">
        <f t="shared" si="1"/>
        <v>0.4482669607849578</v>
      </c>
      <c r="F20" s="17">
        <f t="shared" si="2"/>
        <v>89.88151775973537</v>
      </c>
      <c r="G20" s="18">
        <f t="shared" si="11"/>
        <v>1.0558396039047437</v>
      </c>
      <c r="H20" s="19">
        <f t="shared" si="3"/>
        <v>1.1147972691737262</v>
      </c>
      <c r="I20" s="18">
        <f t="shared" si="12"/>
        <v>0.055841742019935234</v>
      </c>
      <c r="J20" s="19">
        <f t="shared" si="4"/>
        <v>0.0031183001518210003</v>
      </c>
      <c r="K20" s="63">
        <f>Input!$C20/$C20</f>
        <v>0.12457251349095874</v>
      </c>
      <c r="L20" s="64">
        <f t="shared" si="13"/>
        <v>0.015518311117455098</v>
      </c>
      <c r="M20" s="65">
        <f t="shared" si="14"/>
        <v>3.445774915824287</v>
      </c>
      <c r="N20" s="16">
        <f t="shared" si="5"/>
        <v>4.324338173530562</v>
      </c>
      <c r="O20" s="16">
        <f t="shared" si="6"/>
        <v>0.8786032431385173</v>
      </c>
      <c r="P20" s="17">
        <f t="shared" si="7"/>
        <v>89.72397685800068</v>
      </c>
      <c r="Q20" s="18">
        <f t="shared" si="8"/>
        <v>1.2549682666942592</v>
      </c>
      <c r="R20" s="47">
        <f t="shared" si="9"/>
        <v>1.5749453504095934</v>
      </c>
      <c r="S20" s="48">
        <f t="shared" si="15"/>
        <v>0.25497987088583257</v>
      </c>
      <c r="T20" s="19">
        <f t="shared" si="16"/>
        <v>0.06501473455695585</v>
      </c>
      <c r="U20" s="138">
        <f>Input!$C20/$M20</f>
        <v>0.2902104822365576</v>
      </c>
      <c r="V20" s="139">
        <f t="shared" si="17"/>
        <v>0.0842221239999753</v>
      </c>
      <c r="W20" s="55">
        <f t="shared" si="21"/>
        <v>2.410901132973257</v>
      </c>
      <c r="X20" s="16">
        <f t="shared" si="18"/>
        <v>89.83420439332225</v>
      </c>
      <c r="Y20" s="16">
        <f t="shared" si="19"/>
        <v>0.17204466022153003</v>
      </c>
      <c r="Z20" s="133">
        <f t="shared" si="20"/>
        <v>0.41478266625008575</v>
      </c>
    </row>
    <row r="21" spans="1:26" ht="12.75">
      <c r="A21" s="15">
        <f>Input!A21</f>
        <v>18</v>
      </c>
      <c r="B21" s="37">
        <f>Input!B21</f>
        <v>900</v>
      </c>
      <c r="C21" s="38">
        <f t="shared" si="10"/>
        <v>8.550926446392387</v>
      </c>
      <c r="D21" s="16">
        <f t="shared" si="0"/>
        <v>8.974273574244602</v>
      </c>
      <c r="E21" s="16">
        <f t="shared" si="1"/>
        <v>0.42336324074134907</v>
      </c>
      <c r="F21" s="17">
        <f t="shared" si="2"/>
        <v>89.88877105384002</v>
      </c>
      <c r="G21" s="18">
        <f t="shared" si="11"/>
        <v>0</v>
      </c>
      <c r="H21" s="19">
        <f t="shared" si="3"/>
        <v>0</v>
      </c>
      <c r="I21" s="18">
        <f t="shared" si="12"/>
        <v>0</v>
      </c>
      <c r="J21" s="19">
        <f t="shared" si="4"/>
        <v>0</v>
      </c>
      <c r="K21" s="63">
        <f>Input!$C21/$C21</f>
        <v>0</v>
      </c>
      <c r="L21" s="64">
        <f t="shared" si="13"/>
        <v>0</v>
      </c>
      <c r="M21" s="65">
        <f t="shared" si="14"/>
        <v>3.748955807161612</v>
      </c>
      <c r="N21" s="16">
        <f t="shared" si="5"/>
        <v>4.578711007267654</v>
      </c>
      <c r="O21" s="16">
        <f t="shared" si="6"/>
        <v>0.8297919518530441</v>
      </c>
      <c r="P21" s="17">
        <f t="shared" si="7"/>
        <v>89.74629921054691</v>
      </c>
      <c r="Q21" s="18">
        <f t="shared" si="8"/>
        <v>0</v>
      </c>
      <c r="R21" s="47">
        <f t="shared" si="9"/>
        <v>0</v>
      </c>
      <c r="S21" s="48">
        <f t="shared" si="15"/>
        <v>0</v>
      </c>
      <c r="T21" s="19">
        <f t="shared" si="16"/>
        <v>0</v>
      </c>
      <c r="U21" s="138">
        <f>Input!$C21/$M21</f>
        <v>0</v>
      </c>
      <c r="V21" s="139">
        <f t="shared" si="17"/>
        <v>0</v>
      </c>
      <c r="W21" s="55">
        <f t="shared" si="21"/>
        <v>2.6062905072914644</v>
      </c>
      <c r="X21" s="16">
        <f t="shared" si="18"/>
        <v>89.84534713186325</v>
      </c>
      <c r="Y21" s="16">
        <f t="shared" si="19"/>
        <v>0</v>
      </c>
      <c r="Z21" s="133">
        <f t="shared" si="20"/>
        <v>0</v>
      </c>
    </row>
    <row r="22" spans="1:26" ht="12.75">
      <c r="A22" s="15">
        <f>Input!A22</f>
        <v>19</v>
      </c>
      <c r="B22" s="37">
        <f>Input!B22</f>
        <v>950</v>
      </c>
      <c r="C22" s="38">
        <f t="shared" si="10"/>
        <v>9.071778551229666</v>
      </c>
      <c r="D22" s="16">
        <f t="shared" si="0"/>
        <v>9.472844328369304</v>
      </c>
      <c r="E22" s="16">
        <f t="shared" si="1"/>
        <v>0.40108096491285705</v>
      </c>
      <c r="F22" s="17">
        <f t="shared" si="2"/>
        <v>89.89515722134064</v>
      </c>
      <c r="G22" s="18">
        <f t="shared" si="11"/>
        <v>0.5221051348902952</v>
      </c>
      <c r="H22" s="19">
        <f t="shared" si="3"/>
        <v>0.27259377187881334</v>
      </c>
      <c r="I22" s="18">
        <f t="shared" si="12"/>
        <v>0.02210597197935851</v>
      </c>
      <c r="J22" s="19">
        <f t="shared" si="4"/>
        <v>0.0004886739971521835</v>
      </c>
      <c r="K22" s="63">
        <f>Input!$C22/$C22</f>
        <v>0.05511598383673351</v>
      </c>
      <c r="L22" s="64">
        <f t="shared" si="13"/>
        <v>0.0030377716742910695</v>
      </c>
      <c r="M22" s="65">
        <f t="shared" si="14"/>
        <v>4.046999194897104</v>
      </c>
      <c r="N22" s="16">
        <f t="shared" si="5"/>
        <v>4.833083841004746</v>
      </c>
      <c r="O22" s="16">
        <f t="shared" si="6"/>
        <v>0.7861186912291998</v>
      </c>
      <c r="P22" s="17">
        <f t="shared" si="7"/>
        <v>89.76498324779114</v>
      </c>
      <c r="Q22" s="18">
        <f t="shared" si="8"/>
        <v>0.5971194468112105</v>
      </c>
      <c r="R22" s="47">
        <f t="shared" si="9"/>
        <v>0.3565516337601261</v>
      </c>
      <c r="S22" s="48">
        <f t="shared" si="15"/>
        <v>0.09712365302919056</v>
      </c>
      <c r="T22" s="19">
        <f t="shared" si="16"/>
        <v>0.009433003977734595</v>
      </c>
      <c r="U22" s="138">
        <f>Input!$C22/$M22</f>
        <v>0.12354833196667157</v>
      </c>
      <c r="V22" s="139">
        <f t="shared" si="17"/>
        <v>0.01526419033174688</v>
      </c>
      <c r="W22" s="55">
        <f t="shared" si="21"/>
        <v>2.7985458262122336</v>
      </c>
      <c r="X22" s="16">
        <f t="shared" si="18"/>
        <v>89.85500073853157</v>
      </c>
      <c r="Y22" s="16">
        <f t="shared" si="19"/>
        <v>0.03192090259214689</v>
      </c>
      <c r="Z22" s="133">
        <f t="shared" si="20"/>
        <v>0.1786642174363599</v>
      </c>
    </row>
    <row r="23" spans="1:26" ht="12.75">
      <c r="A23" s="15">
        <f>Input!A23</f>
        <v>20</v>
      </c>
      <c r="B23" s="37">
        <f>Input!B23</f>
        <v>1000</v>
      </c>
      <c r="C23" s="38">
        <f t="shared" si="10"/>
        <v>9.590402532283541</v>
      </c>
      <c r="D23" s="16">
        <f t="shared" si="0"/>
        <v>9.971415082494003</v>
      </c>
      <c r="E23" s="16">
        <f t="shared" si="1"/>
        <v>0.38102691666721417</v>
      </c>
      <c r="F23" s="17">
        <f t="shared" si="2"/>
        <v>89.90082685146554</v>
      </c>
      <c r="G23" s="18">
        <f t="shared" si="11"/>
        <v>0</v>
      </c>
      <c r="H23" s="19">
        <f t="shared" si="3"/>
        <v>0</v>
      </c>
      <c r="I23" s="18">
        <f t="shared" si="12"/>
        <v>0</v>
      </c>
      <c r="J23" s="19">
        <f t="shared" si="4"/>
        <v>0</v>
      </c>
      <c r="K23" s="63">
        <f>Input!$C23/$C23</f>
        <v>0</v>
      </c>
      <c r="L23" s="64">
        <f t="shared" si="13"/>
        <v>0</v>
      </c>
      <c r="M23" s="65">
        <f t="shared" si="14"/>
        <v>4.340675659792341</v>
      </c>
      <c r="N23" s="16">
        <f t="shared" si="5"/>
        <v>5.087456674741839</v>
      </c>
      <c r="O23" s="16">
        <f t="shared" si="6"/>
        <v>0.7468127566677397</v>
      </c>
      <c r="P23" s="17">
        <f t="shared" si="7"/>
        <v>89.78088382251106</v>
      </c>
      <c r="Q23" s="18">
        <f t="shared" si="8"/>
        <v>0</v>
      </c>
      <c r="R23" s="47">
        <f t="shared" si="9"/>
        <v>0</v>
      </c>
      <c r="S23" s="48">
        <f t="shared" si="15"/>
        <v>0</v>
      </c>
      <c r="T23" s="19">
        <f t="shared" si="16"/>
        <v>0</v>
      </c>
      <c r="U23" s="138">
        <f>Input!$C23/$M23</f>
        <v>0</v>
      </c>
      <c r="V23" s="139">
        <f t="shared" si="17"/>
        <v>0</v>
      </c>
      <c r="W23" s="55">
        <f t="shared" si="21"/>
        <v>2.98819989602822</v>
      </c>
      <c r="X23" s="16">
        <f t="shared" si="18"/>
        <v>89.86345537079707</v>
      </c>
      <c r="Y23" s="16">
        <f t="shared" si="19"/>
        <v>0</v>
      </c>
      <c r="Z23" s="133">
        <f t="shared" si="20"/>
        <v>0</v>
      </c>
    </row>
    <row r="24" spans="1:26" ht="12.75">
      <c r="A24" s="15">
        <f>Input!A24</f>
        <v>21</v>
      </c>
      <c r="B24" s="37">
        <f>Input!B24</f>
        <v>1050</v>
      </c>
      <c r="C24" s="38">
        <f t="shared" si="10"/>
        <v>10.107116690828352</v>
      </c>
      <c r="D24" s="16">
        <f t="shared" si="0"/>
        <v>10.469985836618704</v>
      </c>
      <c r="E24" s="16">
        <f t="shared" si="1"/>
        <v>0.3628827777782992</v>
      </c>
      <c r="F24" s="17">
        <f t="shared" si="2"/>
        <v>89.90589696383103</v>
      </c>
      <c r="G24" s="18">
        <f t="shared" si="11"/>
        <v>0</v>
      </c>
      <c r="H24" s="19">
        <f t="shared" si="3"/>
        <v>0</v>
      </c>
      <c r="I24" s="18">
        <f t="shared" si="12"/>
        <v>0</v>
      </c>
      <c r="J24" s="19">
        <f t="shared" si="4"/>
        <v>0</v>
      </c>
      <c r="K24" s="63">
        <f>Input!$C24/$C24</f>
        <v>0</v>
      </c>
      <c r="L24" s="64">
        <f t="shared" si="13"/>
        <v>0</v>
      </c>
      <c r="M24" s="65">
        <f t="shared" si="14"/>
        <v>4.630609018314622</v>
      </c>
      <c r="N24" s="16">
        <f t="shared" si="5"/>
        <v>5.341829508478931</v>
      </c>
      <c r="O24" s="16">
        <f t="shared" si="6"/>
        <v>0.7112502444454664</v>
      </c>
      <c r="P24" s="17">
        <f t="shared" si="7"/>
        <v>89.7946032642142</v>
      </c>
      <c r="Q24" s="18">
        <f t="shared" si="8"/>
        <v>0</v>
      </c>
      <c r="R24" s="47">
        <f t="shared" si="9"/>
        <v>0</v>
      </c>
      <c r="S24" s="48">
        <f t="shared" si="15"/>
        <v>0</v>
      </c>
      <c r="T24" s="19">
        <f t="shared" si="16"/>
        <v>0</v>
      </c>
      <c r="U24" s="138">
        <f>Input!$C24/$M24</f>
        <v>0</v>
      </c>
      <c r="V24" s="139">
        <f t="shared" si="17"/>
        <v>0</v>
      </c>
      <c r="W24" s="55">
        <f t="shared" si="21"/>
        <v>3.175668054004016</v>
      </c>
      <c r="X24" s="16">
        <f t="shared" si="18"/>
        <v>89.87092889237609</v>
      </c>
      <c r="Y24" s="16">
        <f t="shared" si="19"/>
        <v>0</v>
      </c>
      <c r="Z24" s="133">
        <f t="shared" si="20"/>
        <v>0</v>
      </c>
    </row>
    <row r="25" spans="1:26" ht="12.75">
      <c r="A25" s="15">
        <f>Input!A25</f>
        <v>22</v>
      </c>
      <c r="B25" s="37">
        <f>Input!B25</f>
        <v>1100</v>
      </c>
      <c r="C25" s="38">
        <f t="shared" si="10"/>
        <v>10.6221814556605</v>
      </c>
      <c r="D25" s="16">
        <f t="shared" si="0"/>
        <v>10.968556590743402</v>
      </c>
      <c r="E25" s="16">
        <f t="shared" si="1"/>
        <v>0.3463881060611038</v>
      </c>
      <c r="F25" s="17">
        <f t="shared" si="2"/>
        <v>89.91045998121687</v>
      </c>
      <c r="G25" s="18">
        <f t="shared" si="11"/>
        <v>0</v>
      </c>
      <c r="H25" s="19">
        <f t="shared" si="3"/>
        <v>0</v>
      </c>
      <c r="I25" s="18">
        <f t="shared" si="12"/>
        <v>0</v>
      </c>
      <c r="J25" s="19">
        <f t="shared" si="4"/>
        <v>0</v>
      </c>
      <c r="K25" s="63">
        <f>Input!$C25/$C25</f>
        <v>0</v>
      </c>
      <c r="L25" s="64">
        <f t="shared" si="13"/>
        <v>0</v>
      </c>
      <c r="M25" s="65">
        <f t="shared" si="14"/>
        <v>4.917309673802529</v>
      </c>
      <c r="N25" s="16">
        <f t="shared" si="5"/>
        <v>5.5962023422160225</v>
      </c>
      <c r="O25" s="16">
        <f t="shared" si="6"/>
        <v>0.6789206878797635</v>
      </c>
      <c r="P25" s="17">
        <f t="shared" si="7"/>
        <v>89.80657883893215</v>
      </c>
      <c r="Q25" s="18">
        <f t="shared" si="8"/>
        <v>0</v>
      </c>
      <c r="R25" s="47">
        <f t="shared" si="9"/>
        <v>0</v>
      </c>
      <c r="S25" s="48">
        <f t="shared" si="15"/>
        <v>0</v>
      </c>
      <c r="T25" s="19">
        <f t="shared" si="16"/>
        <v>0</v>
      </c>
      <c r="U25" s="138">
        <f>Input!$C25/$M25</f>
        <v>0</v>
      </c>
      <c r="V25" s="139">
        <f t="shared" si="17"/>
        <v>0</v>
      </c>
      <c r="W25" s="55">
        <f t="shared" si="21"/>
        <v>3.361279578812768</v>
      </c>
      <c r="X25" s="16">
        <f t="shared" si="18"/>
        <v>89.8775883246382</v>
      </c>
      <c r="Y25" s="16">
        <f t="shared" si="19"/>
        <v>0</v>
      </c>
      <c r="Z25" s="133">
        <f t="shared" si="20"/>
        <v>0</v>
      </c>
    </row>
    <row r="26" spans="1:26" ht="12.75">
      <c r="A26" s="15">
        <f>Input!A26</f>
        <v>23</v>
      </c>
      <c r="B26" s="37">
        <f>Input!B26</f>
        <v>1150</v>
      </c>
      <c r="C26" s="38">
        <f t="shared" si="10"/>
        <v>11.13581196394586</v>
      </c>
      <c r="D26" s="16">
        <f t="shared" si="0"/>
        <v>11.467127344868102</v>
      </c>
      <c r="E26" s="16">
        <f t="shared" si="1"/>
        <v>0.33132775362366446</v>
      </c>
      <c r="F26" s="17">
        <f t="shared" si="2"/>
        <v>89.91458994680877</v>
      </c>
      <c r="G26" s="18">
        <f t="shared" si="11"/>
        <v>0</v>
      </c>
      <c r="H26" s="19">
        <f t="shared" si="3"/>
        <v>0</v>
      </c>
      <c r="I26" s="18">
        <f t="shared" si="12"/>
        <v>0</v>
      </c>
      <c r="J26" s="19">
        <f t="shared" si="4"/>
        <v>0</v>
      </c>
      <c r="K26" s="63">
        <f>Input!$C26/$C26</f>
        <v>0</v>
      </c>
      <c r="L26" s="64">
        <f t="shared" si="13"/>
        <v>0</v>
      </c>
      <c r="M26" s="65">
        <f t="shared" si="14"/>
        <v>5.201199268962673</v>
      </c>
      <c r="N26" s="16">
        <f t="shared" si="5"/>
        <v>5.850575175953114</v>
      </c>
      <c r="O26" s="16">
        <f t="shared" si="6"/>
        <v>0.6494023971023823</v>
      </c>
      <c r="P26" s="17">
        <f t="shared" si="7"/>
        <v>89.81713610545778</v>
      </c>
      <c r="Q26" s="18">
        <f t="shared" si="8"/>
        <v>0</v>
      </c>
      <c r="R26" s="47">
        <f t="shared" si="9"/>
        <v>0</v>
      </c>
      <c r="S26" s="48">
        <f t="shared" si="15"/>
        <v>0</v>
      </c>
      <c r="T26" s="19">
        <f t="shared" si="16"/>
        <v>0</v>
      </c>
      <c r="U26" s="138">
        <f>Input!$C26/$M26</f>
        <v>0</v>
      </c>
      <c r="V26" s="139">
        <f t="shared" si="17"/>
        <v>0</v>
      </c>
      <c r="W26" s="55">
        <f t="shared" si="21"/>
        <v>3.5452993452653003</v>
      </c>
      <c r="X26" s="16">
        <f t="shared" si="18"/>
        <v>89.88356403810165</v>
      </c>
      <c r="Y26" s="16">
        <f t="shared" si="19"/>
        <v>0</v>
      </c>
      <c r="Z26" s="133">
        <f t="shared" si="20"/>
        <v>0</v>
      </c>
    </row>
    <row r="27" spans="1:26" ht="12.75">
      <c r="A27" s="15">
        <f>Input!A27</f>
        <v>24</v>
      </c>
      <c r="B27" s="37">
        <f>Input!B27</f>
        <v>1200</v>
      </c>
      <c r="C27" s="38">
        <f t="shared" si="10"/>
        <v>11.648187496892504</v>
      </c>
      <c r="D27" s="16">
        <f t="shared" si="0"/>
        <v>11.965698098992803</v>
      </c>
      <c r="E27" s="16">
        <f t="shared" si="1"/>
        <v>0.3175224305560118</v>
      </c>
      <c r="F27" s="17">
        <f t="shared" si="2"/>
        <v>89.91834693061782</v>
      </c>
      <c r="G27" s="18">
        <f t="shared" si="11"/>
        <v>0</v>
      </c>
      <c r="H27" s="19">
        <f t="shared" si="3"/>
        <v>0</v>
      </c>
      <c r="I27" s="18">
        <f t="shared" si="12"/>
        <v>0</v>
      </c>
      <c r="J27" s="19">
        <f t="shared" si="4"/>
        <v>0</v>
      </c>
      <c r="K27" s="63">
        <f>Input!$C27/$C27</f>
        <v>0</v>
      </c>
      <c r="L27" s="64">
        <f t="shared" si="13"/>
        <v>0</v>
      </c>
      <c r="M27" s="65">
        <f t="shared" si="14"/>
        <v>5.482629176136863</v>
      </c>
      <c r="N27" s="16">
        <f t="shared" si="5"/>
        <v>6.104948009690206</v>
      </c>
      <c r="O27" s="16">
        <f t="shared" si="6"/>
        <v>0.6223439638897831</v>
      </c>
      <c r="P27" s="17">
        <f t="shared" si="7"/>
        <v>89.82652275714035</v>
      </c>
      <c r="Q27" s="18">
        <f t="shared" si="8"/>
        <v>0</v>
      </c>
      <c r="R27" s="47">
        <f t="shared" si="9"/>
        <v>0</v>
      </c>
      <c r="S27" s="48">
        <f t="shared" si="15"/>
        <v>0</v>
      </c>
      <c r="T27" s="19">
        <f t="shared" si="16"/>
        <v>0</v>
      </c>
      <c r="U27" s="138">
        <f>Input!$C27/$M27</f>
        <v>0</v>
      </c>
      <c r="V27" s="139">
        <f t="shared" si="17"/>
        <v>0</v>
      </c>
      <c r="W27" s="55">
        <f t="shared" si="21"/>
        <v>3.727943138146627</v>
      </c>
      <c r="X27" s="16">
        <f t="shared" si="18"/>
        <v>89.88895940820919</v>
      </c>
      <c r="Y27" s="16">
        <f t="shared" si="19"/>
        <v>0</v>
      </c>
      <c r="Z27" s="133">
        <f t="shared" si="20"/>
        <v>0</v>
      </c>
    </row>
    <row r="28" spans="1:26" ht="12.75">
      <c r="A28" s="15">
        <f>Input!A28</f>
        <v>25</v>
      </c>
      <c r="B28" s="37">
        <f>Input!B28</f>
        <v>1250</v>
      </c>
      <c r="C28" s="38">
        <f t="shared" si="10"/>
        <v>12.159458650885567</v>
      </c>
      <c r="D28" s="16">
        <f t="shared" si="0"/>
        <v>12.464268853117504</v>
      </c>
      <c r="E28" s="16">
        <f t="shared" si="1"/>
        <v>0.3048215333337713</v>
      </c>
      <c r="F28" s="17">
        <f t="shared" si="2"/>
        <v>89.92178021549613</v>
      </c>
      <c r="G28" s="18">
        <f t="shared" si="11"/>
        <v>0</v>
      </c>
      <c r="H28" s="19">
        <f t="shared" si="3"/>
        <v>0</v>
      </c>
      <c r="I28" s="18">
        <f t="shared" si="12"/>
        <v>0</v>
      </c>
      <c r="J28" s="19">
        <f t="shared" si="4"/>
        <v>0</v>
      </c>
      <c r="K28" s="63">
        <f>Input!$C28/$C28</f>
        <v>0</v>
      </c>
      <c r="L28" s="64">
        <f t="shared" si="13"/>
        <v>0</v>
      </c>
      <c r="M28" s="65">
        <f t="shared" si="14"/>
        <v>5.761894550416509</v>
      </c>
      <c r="N28" s="16">
        <f t="shared" si="5"/>
        <v>6.359320843427298</v>
      </c>
      <c r="O28" s="16">
        <f t="shared" si="6"/>
        <v>0.5974502053341918</v>
      </c>
      <c r="P28" s="17">
        <f t="shared" si="7"/>
        <v>89.83493081184938</v>
      </c>
      <c r="Q28" s="18">
        <f t="shared" si="8"/>
        <v>0</v>
      </c>
      <c r="R28" s="47">
        <f t="shared" si="9"/>
        <v>0</v>
      </c>
      <c r="S28" s="48">
        <f t="shared" si="15"/>
        <v>0</v>
      </c>
      <c r="T28" s="19">
        <f t="shared" si="16"/>
        <v>0</v>
      </c>
      <c r="U28" s="138">
        <f>Input!$C28/$M28</f>
        <v>0</v>
      </c>
      <c r="V28" s="139">
        <f t="shared" si="17"/>
        <v>0</v>
      </c>
      <c r="W28" s="55">
        <f t="shared" si="21"/>
        <v>3.909388722359454</v>
      </c>
      <c r="X28" s="16">
        <f t="shared" si="18"/>
        <v>89.89385754820034</v>
      </c>
      <c r="Y28" s="16">
        <f t="shared" si="19"/>
        <v>0</v>
      </c>
      <c r="Z28" s="133">
        <f t="shared" si="20"/>
        <v>0</v>
      </c>
    </row>
    <row r="29" spans="1:26" ht="12.75">
      <c r="A29" s="15">
        <f>Input!A29</f>
        <v>26</v>
      </c>
      <c r="B29" s="37">
        <f>Input!B29</f>
        <v>1300</v>
      </c>
      <c r="C29" s="38">
        <f t="shared" si="10"/>
        <v>12.669752853760157</v>
      </c>
      <c r="D29" s="16">
        <f t="shared" si="0"/>
        <v>12.962839607242204</v>
      </c>
      <c r="E29" s="16">
        <f t="shared" si="1"/>
        <v>0.29309762820554935</v>
      </c>
      <c r="F29" s="17">
        <f t="shared" si="2"/>
        <v>89.92493064205635</v>
      </c>
      <c r="G29" s="18">
        <f t="shared" si="11"/>
        <v>0</v>
      </c>
      <c r="H29" s="19">
        <f t="shared" si="3"/>
        <v>0</v>
      </c>
      <c r="I29" s="18">
        <f t="shared" si="12"/>
        <v>0</v>
      </c>
      <c r="J29" s="19">
        <f t="shared" si="4"/>
        <v>0</v>
      </c>
      <c r="K29" s="63">
        <f>Input!$C29/$C29</f>
        <v>0</v>
      </c>
      <c r="L29" s="64">
        <f t="shared" si="13"/>
        <v>0</v>
      </c>
      <c r="M29" s="65">
        <f t="shared" si="14"/>
        <v>6.039245140034118</v>
      </c>
      <c r="N29" s="16">
        <f t="shared" si="5"/>
        <v>6.61369367716439</v>
      </c>
      <c r="O29" s="16">
        <f t="shared" si="6"/>
        <v>0.5744713512828766</v>
      </c>
      <c r="P29" s="17">
        <f t="shared" si="7"/>
        <v>89.84251158621339</v>
      </c>
      <c r="Q29" s="18">
        <f t="shared" si="8"/>
        <v>0</v>
      </c>
      <c r="R29" s="47">
        <f t="shared" si="9"/>
        <v>0</v>
      </c>
      <c r="S29" s="48">
        <f t="shared" si="15"/>
        <v>0</v>
      </c>
      <c r="T29" s="19">
        <f t="shared" si="16"/>
        <v>0</v>
      </c>
      <c r="U29" s="138">
        <f>Input!$C29/$M29</f>
        <v>0</v>
      </c>
      <c r="V29" s="139">
        <f t="shared" si="17"/>
        <v>0</v>
      </c>
      <c r="W29" s="55">
        <f t="shared" si="21"/>
        <v>4.089784000096858</v>
      </c>
      <c r="X29" s="16">
        <f t="shared" si="18"/>
        <v>89.89832610651696</v>
      </c>
      <c r="Y29" s="16">
        <f t="shared" si="19"/>
        <v>0</v>
      </c>
      <c r="Z29" s="133">
        <f t="shared" si="20"/>
        <v>0</v>
      </c>
    </row>
    <row r="30" spans="1:26" ht="12.75">
      <c r="A30" s="20">
        <f>Input!A30</f>
        <v>27</v>
      </c>
      <c r="B30" s="39">
        <f>Input!B30</f>
        <v>1350</v>
      </c>
      <c r="C30" s="40">
        <f t="shared" si="10"/>
        <v>13.179178655246062</v>
      </c>
      <c r="D30" s="21">
        <f t="shared" si="0"/>
        <v>13.461410361366905</v>
      </c>
      <c r="E30" s="21">
        <f t="shared" si="1"/>
        <v>0.2822421604942327</v>
      </c>
      <c r="F30" s="22">
        <f t="shared" si="2"/>
        <v>89.92783236222178</v>
      </c>
      <c r="G30" s="23">
        <f t="shared" si="11"/>
        <v>0</v>
      </c>
      <c r="H30" s="24">
        <f t="shared" si="3"/>
        <v>0</v>
      </c>
      <c r="I30" s="23">
        <f t="shared" si="12"/>
        <v>0</v>
      </c>
      <c r="J30" s="24">
        <f t="shared" si="4"/>
        <v>0</v>
      </c>
      <c r="K30" s="66">
        <f>Input!$C30/$C30</f>
        <v>0</v>
      </c>
      <c r="L30" s="67">
        <f t="shared" si="13"/>
        <v>0</v>
      </c>
      <c r="M30" s="68">
        <f t="shared" si="14"/>
        <v>6.3148936946316665</v>
      </c>
      <c r="N30" s="21">
        <f t="shared" si="5"/>
        <v>6.868066510901483</v>
      </c>
      <c r="O30" s="21">
        <f t="shared" si="6"/>
        <v>0.5531946345686961</v>
      </c>
      <c r="P30" s="22">
        <f t="shared" si="7"/>
        <v>89.84938605758225</v>
      </c>
      <c r="Q30" s="23">
        <f t="shared" si="8"/>
        <v>0</v>
      </c>
      <c r="R30" s="49">
        <f t="shared" si="9"/>
        <v>0</v>
      </c>
      <c r="S30" s="50">
        <f t="shared" si="15"/>
        <v>0</v>
      </c>
      <c r="T30" s="24">
        <f t="shared" si="16"/>
        <v>0</v>
      </c>
      <c r="U30" s="140">
        <f>Input!$C30/$M30</f>
        <v>0</v>
      </c>
      <c r="V30" s="141">
        <f t="shared" si="17"/>
        <v>0</v>
      </c>
      <c r="W30" s="56">
        <f>1/SQRT(1/$C30^2+1/$M30^2+2/$C30/$M30*COS(($F30-$P30)*PI()/180))</f>
        <v>4.269253123723248</v>
      </c>
      <c r="X30" s="21">
        <f t="shared" si="18"/>
        <v>89.90242075141168</v>
      </c>
      <c r="Y30" s="21">
        <f t="shared" si="19"/>
        <v>0</v>
      </c>
      <c r="Z30" s="134">
        <f t="shared" si="20"/>
        <v>0</v>
      </c>
    </row>
    <row r="31" spans="1:26" s="5" customFormat="1" ht="12.75">
      <c r="A31" s="103" t="s">
        <v>61</v>
      </c>
      <c r="B31" s="104"/>
      <c r="C31" s="105"/>
      <c r="D31" s="106"/>
      <c r="E31" s="106"/>
      <c r="F31" s="107"/>
      <c r="G31" s="108">
        <f>SQRT(SUM($H$4:$H$30))</f>
        <v>32.6256289187048</v>
      </c>
      <c r="H31" s="106"/>
      <c r="I31" s="108">
        <f>SQRT(SUM($J$4:$J$30))</f>
        <v>258.22042964492107</v>
      </c>
      <c r="J31" s="106"/>
      <c r="K31" s="109">
        <f>SQRT(SUM($L$4:$L$30))</f>
        <v>36.53450321176058</v>
      </c>
      <c r="L31" s="110"/>
      <c r="M31" s="111"/>
      <c r="N31" s="106"/>
      <c r="O31" s="106"/>
      <c r="P31" s="106"/>
      <c r="Q31" s="108">
        <f>SQRT(SUM($R$4:$R$30))</f>
        <v>24.91748031126202</v>
      </c>
      <c r="R31" s="112"/>
      <c r="S31" s="113">
        <f>SQRT(SUM($T$4:$T$30))</f>
        <v>245.7743189875923</v>
      </c>
      <c r="T31" s="106"/>
      <c r="U31" s="114">
        <f>SQRT(SUM($V$4:$V$30))</f>
        <v>21.233607387475445</v>
      </c>
      <c r="V31" s="142"/>
      <c r="W31" s="115"/>
      <c r="X31" s="106"/>
      <c r="Y31" s="114"/>
      <c r="Z31" s="129">
        <f>SQRT(SUM($Y$4:$Y$30))</f>
        <v>53.32922057997808</v>
      </c>
    </row>
    <row r="32" spans="1:26" s="5" customFormat="1" ht="13.5" thickBot="1">
      <c r="A32" s="116" t="s">
        <v>49</v>
      </c>
      <c r="B32" s="117"/>
      <c r="C32" s="118"/>
      <c r="D32" s="118"/>
      <c r="E32" s="118"/>
      <c r="F32" s="119"/>
      <c r="G32" s="118"/>
      <c r="H32" s="118"/>
      <c r="I32" s="120"/>
      <c r="J32" s="121"/>
      <c r="K32" s="122">
        <f>$K31^2*R_5/1000</f>
        <v>22.157180753840393</v>
      </c>
      <c r="L32" s="123"/>
      <c r="M32" s="124"/>
      <c r="N32" s="121"/>
      <c r="O32" s="121"/>
      <c r="P32" s="121"/>
      <c r="Q32" s="121"/>
      <c r="R32" s="125"/>
      <c r="S32" s="126"/>
      <c r="T32" s="121"/>
      <c r="U32" s="143">
        <f>$U31^2*R_7/1000</f>
        <v>7.4843769725785005</v>
      </c>
      <c r="V32" s="144"/>
      <c r="W32" s="127"/>
      <c r="X32" s="121"/>
      <c r="Y32" s="121"/>
      <c r="Z32" s="128"/>
    </row>
    <row r="33" ht="13.5" thickTop="1"/>
  </sheetData>
  <sheetProtection sheet="1" objects="1" scenarios="1"/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Kupferinstitut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Fassbinder</dc:creator>
  <cp:keywords/>
  <dc:description/>
  <cp:lastModifiedBy>Stefan Fassbinder</cp:lastModifiedBy>
  <cp:lastPrinted>2007-05-09T04:40:52Z</cp:lastPrinted>
  <dcterms:created xsi:type="dcterms:W3CDTF">2007-02-26T05:22:37Z</dcterms:created>
  <dcterms:modified xsi:type="dcterms:W3CDTF">2007-05-11T16:36:39Z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327487120</vt:i4>
  </property>
  <property fmtid="{D5CDD505-2E9C-101B-9397-08002B2CF9AE}" pid="4" name="_EmailSubje">
    <vt:lpwstr>AW: Passive Filter Paper</vt:lpwstr>
  </property>
  <property fmtid="{D5CDD505-2E9C-101B-9397-08002B2CF9AE}" pid="5" name="_AuthorEma">
    <vt:lpwstr>sfassbinder@kupferinstitut.de</vt:lpwstr>
  </property>
  <property fmtid="{D5CDD505-2E9C-101B-9397-08002B2CF9AE}" pid="6" name="_AuthorEmailDisplayNa">
    <vt:lpwstr>sfassbinder</vt:lpwstr>
  </property>
</Properties>
</file>