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20" windowHeight="8145" activeTab="0"/>
  </bookViews>
  <sheets>
    <sheet name="FOC" sheetId="1" r:id="rId1"/>
    <sheet name="BP" sheetId="2" r:id="rId2"/>
    <sheet name="FLC" sheetId="3" r:id="rId3"/>
    <sheet name="DRE" sheetId="4" r:id="rId4"/>
    <sheet name="Holding" sheetId="5" r:id="rId5"/>
  </sheets>
  <definedNames/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D8" authorId="0">
      <text>
        <r>
          <rPr>
            <b/>
            <sz val="8"/>
            <rFont val="Tahoma"/>
            <family val="0"/>
          </rPr>
          <t>***:</t>
        </r>
        <r>
          <rPr>
            <sz val="8"/>
            <rFont val="Tahoma"/>
            <family val="0"/>
          </rPr>
          <t xml:space="preserve">
capacidade máxima de energia (pg 21)</t>
        </r>
      </text>
    </comment>
    <comment ref="B17" authorId="0">
      <text>
        <r>
          <rPr>
            <b/>
            <sz val="8"/>
            <rFont val="Tahoma"/>
            <family val="0"/>
          </rPr>
          <t>***:</t>
        </r>
        <r>
          <rPr>
            <sz val="8"/>
            <rFont val="Tahoma"/>
            <family val="0"/>
          </rPr>
          <t xml:space="preserve">
 sobre total energia requerida</t>
        </r>
      </text>
    </comment>
    <comment ref="D46" authorId="0">
      <text>
        <r>
          <rPr>
            <b/>
            <sz val="8"/>
            <rFont val="Tahoma"/>
            <family val="0"/>
          </rPr>
          <t>***:</t>
        </r>
        <r>
          <rPr>
            <sz val="8"/>
            <rFont val="Tahoma"/>
            <family val="0"/>
          </rPr>
          <t xml:space="preserve">
calculado sobre energia comprada
</t>
        </r>
      </text>
    </comment>
  </commentList>
</comments>
</file>

<file path=xl/comments4.xml><?xml version="1.0" encoding="utf-8"?>
<comments xmlns="http://schemas.openxmlformats.org/spreadsheetml/2006/main">
  <authors>
    <author>Eduardo Luzio</author>
  </authors>
  <commentList>
    <comment ref="B16" authorId="0">
      <text>
        <r>
          <rPr>
            <b/>
            <sz val="8"/>
            <rFont val="Tahoma"/>
            <family val="0"/>
          </rPr>
          <t>Eduardo Luzio:</t>
        </r>
        <r>
          <rPr>
            <sz val="8"/>
            <rFont val="Tahoma"/>
            <family val="0"/>
          </rPr>
          <t xml:space="preserve">
SOB O SALDO DO ANO ANTERIOR PARA NÃO CRIAR CIRCULARIDADE
</t>
        </r>
      </text>
    </comment>
  </commentList>
</comments>
</file>

<file path=xl/comments5.xml><?xml version="1.0" encoding="utf-8"?>
<comments xmlns="http://schemas.openxmlformats.org/spreadsheetml/2006/main">
  <authors>
    <author>***</author>
  </authors>
  <commentList>
    <comment ref="M11" authorId="0">
      <text>
        <r>
          <rPr>
            <b/>
            <sz val="8"/>
            <rFont val="Tahoma"/>
            <family val="0"/>
          </rPr>
          <t>***:</t>
        </r>
        <r>
          <rPr>
            <sz val="8"/>
            <rFont val="Tahoma"/>
            <family val="0"/>
          </rPr>
          <t xml:space="preserve">
dividendos crescendo 35 ao ano</t>
        </r>
      </text>
    </comment>
  </commentList>
</comments>
</file>

<file path=xl/sharedStrings.xml><?xml version="1.0" encoding="utf-8"?>
<sst xmlns="http://schemas.openxmlformats.org/spreadsheetml/2006/main" count="142" uniqueCount="109">
  <si>
    <t>Hipótese</t>
  </si>
  <si>
    <t>Cresc. Preço energia</t>
  </si>
  <si>
    <t>Cresc. Custo da enregia</t>
  </si>
  <si>
    <t>Cresc. Despesas</t>
  </si>
  <si>
    <t>Fator X</t>
  </si>
  <si>
    <t>Investimentos</t>
  </si>
  <si>
    <t>Ajustes no VP do FOC</t>
  </si>
  <si>
    <t>Venda total energia</t>
  </si>
  <si>
    <t>GWh</t>
  </si>
  <si>
    <t>Total energia requerida</t>
  </si>
  <si>
    <t>Energia própria</t>
  </si>
  <si>
    <t>Compra energia</t>
  </si>
  <si>
    <t>Perdas</t>
  </si>
  <si>
    <t>(a) Venda Energia (GWh)</t>
  </si>
  <si>
    <t>Preço energia (R$ / MWh)</t>
  </si>
  <si>
    <t>(b) Tarifa &amp; Custo Energia (R$ / MWh)</t>
  </si>
  <si>
    <t>Custo da enregia (R$ / MWh)</t>
  </si>
  <si>
    <t>(c) Outras hipóteses</t>
  </si>
  <si>
    <t>WACC</t>
  </si>
  <si>
    <t>Faturamento bruto energia</t>
  </si>
  <si>
    <t>Faturamento bruto outros</t>
  </si>
  <si>
    <t>Faturamento bruto total</t>
  </si>
  <si>
    <t>Impostos diretos &amp; deduções</t>
  </si>
  <si>
    <t>Faturamento líquido</t>
  </si>
  <si>
    <t>pxq</t>
  </si>
  <si>
    <t>Custo Energia</t>
  </si>
  <si>
    <t>cte</t>
  </si>
  <si>
    <t>Empregados</t>
  </si>
  <si>
    <t>Outras despesas</t>
  </si>
  <si>
    <t>Depreciação &amp; amort.</t>
  </si>
  <si>
    <t>EBIT</t>
  </si>
  <si>
    <t>(d) Depreciação &amp; Invest.</t>
  </si>
  <si>
    <t>AIL</t>
  </si>
  <si>
    <t>At. Imob. Bruto</t>
  </si>
  <si>
    <t>Deprec. Acum.</t>
  </si>
  <si>
    <t>At. Imob. Liquido</t>
  </si>
  <si>
    <t>Deprec. Anual</t>
  </si>
  <si>
    <t>PROJEÇÃO DO FOC</t>
  </si>
  <si>
    <t>(+) Deprec. &amp; amort</t>
  </si>
  <si>
    <t>EBITDA</t>
  </si>
  <si>
    <t>IR&amp;CS efetivo</t>
  </si>
  <si>
    <t>(e) Capital de giro</t>
  </si>
  <si>
    <t>Recebiveis</t>
  </si>
  <si>
    <t>Variação</t>
  </si>
  <si>
    <t>Fornecedores</t>
  </si>
  <si>
    <t>Investimento em capital de giro</t>
  </si>
  <si>
    <t>Fluxo Operacional de Caixa</t>
  </si>
  <si>
    <t>contador</t>
  </si>
  <si>
    <t>VP FOC</t>
  </si>
  <si>
    <t>VP FOC Acumulado</t>
  </si>
  <si>
    <t>Valor terminal (perp. Simples)</t>
  </si>
  <si>
    <t>VP Valor term. (perp. Simples)</t>
  </si>
  <si>
    <t>Valor Light</t>
  </si>
  <si>
    <t>pg. 15</t>
  </si>
  <si>
    <t>Valor ações Light (perp. Simples)</t>
  </si>
  <si>
    <t>Recebíveis</t>
  </si>
  <si>
    <t>Ativo Circulante</t>
  </si>
  <si>
    <t>Outros</t>
  </si>
  <si>
    <t>Ativo RLP</t>
  </si>
  <si>
    <t>Ativo Permanente</t>
  </si>
  <si>
    <t>Investimentos &amp; outros</t>
  </si>
  <si>
    <t>Total Ativos</t>
  </si>
  <si>
    <t>Passivo circulante</t>
  </si>
  <si>
    <t>Passivo ELP</t>
  </si>
  <si>
    <t>Patrimônio liquido</t>
  </si>
  <si>
    <t>Capiatl social</t>
  </si>
  <si>
    <t>Lucro &amp; prej acum.</t>
  </si>
  <si>
    <t>Hipo</t>
  </si>
  <si>
    <t>paga em 5anos</t>
  </si>
  <si>
    <t>Total Passivo + PL</t>
  </si>
  <si>
    <t>recebe 5 anos</t>
  </si>
  <si>
    <t>Receita financeira</t>
  </si>
  <si>
    <t>Despesa financeira</t>
  </si>
  <si>
    <t>LAIR</t>
  </si>
  <si>
    <t>IR&amp;CS</t>
  </si>
  <si>
    <t>LL</t>
  </si>
  <si>
    <t>PROJEÇÃO DO DRE</t>
  </si>
  <si>
    <t>DIFERENÇA</t>
  </si>
  <si>
    <t>FLUXO LIVRE DE CAIXA</t>
  </si>
  <si>
    <t>(+/-) var. ARL</t>
  </si>
  <si>
    <t>(+/-) var. PEL</t>
  </si>
  <si>
    <t>(+/-) resultado financeiro</t>
  </si>
  <si>
    <t>ajuste IR&amp;CS</t>
  </si>
  <si>
    <t>FLC</t>
  </si>
  <si>
    <t>Margem EBITDA / ROL</t>
  </si>
  <si>
    <t>Lucro Bruto</t>
  </si>
  <si>
    <t>Margem Bruta / ROL</t>
  </si>
  <si>
    <t>Fator x</t>
  </si>
  <si>
    <t>Cresc. Energia total requerida</t>
  </si>
  <si>
    <t>Investimentos Extras</t>
  </si>
  <si>
    <t>FOC Acum.</t>
  </si>
  <si>
    <t>(-) Dividendos</t>
  </si>
  <si>
    <t>Excesso Caixa / (Deficit)</t>
  </si>
  <si>
    <t>Preço de aquisição</t>
  </si>
  <si>
    <t>% SVA Base</t>
  </si>
  <si>
    <t>% Divida</t>
  </si>
  <si>
    <t>Privatização</t>
  </si>
  <si>
    <t>Custo Divida</t>
  </si>
  <si>
    <t>Hipóteses</t>
  </si>
  <si>
    <t>Aquisição</t>
  </si>
  <si>
    <t>Dividendos</t>
  </si>
  <si>
    <t>Juros sobre divida</t>
  </si>
  <si>
    <t>Amortização divida</t>
  </si>
  <si>
    <t>TIR</t>
  </si>
  <si>
    <t>Contador</t>
  </si>
  <si>
    <t>Caixa disponível para a Holding</t>
  </si>
  <si>
    <t>Média</t>
  </si>
  <si>
    <t>Dividendos Médios</t>
  </si>
  <si>
    <t>Excesso (Deficit de Caixa)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</si>
</sst>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10" fontId="0" fillId="33" borderId="0" xfId="0" applyNumberFormat="1" applyFill="1" applyAlignment="1">
      <alignment/>
    </xf>
    <xf numFmtId="171" fontId="0" fillId="0" borderId="0" xfId="51" applyFont="1" applyAlignment="1">
      <alignment/>
    </xf>
    <xf numFmtId="174" fontId="0" fillId="0" borderId="0" xfId="51" applyNumberFormat="1" applyFont="1" applyAlignment="1">
      <alignment/>
    </xf>
    <xf numFmtId="171" fontId="0" fillId="33" borderId="0" xfId="51" applyFont="1" applyFill="1" applyAlignment="1">
      <alignment/>
    </xf>
    <xf numFmtId="174" fontId="0" fillId="33" borderId="0" xfId="51" applyNumberFormat="1" applyFont="1" applyFill="1" applyAlignment="1">
      <alignment/>
    </xf>
    <xf numFmtId="10" fontId="0" fillId="0" borderId="0" xfId="0" applyNumberFormat="1" applyFill="1" applyAlignment="1">
      <alignment/>
    </xf>
    <xf numFmtId="171" fontId="0" fillId="0" borderId="0" xfId="51" applyFont="1" applyFill="1" applyAlignment="1">
      <alignment/>
    </xf>
    <xf numFmtId="174" fontId="0" fillId="0" borderId="0" xfId="51" applyNumberFormat="1" applyFont="1" applyFill="1" applyAlignment="1">
      <alignment/>
    </xf>
    <xf numFmtId="172" fontId="0" fillId="0" borderId="0" xfId="49" applyNumberFormat="1" applyFont="1" applyFill="1" applyAlignment="1">
      <alignment/>
    </xf>
    <xf numFmtId="10" fontId="0" fillId="33" borderId="0" xfId="49" applyNumberFormat="1" applyFont="1" applyFill="1" applyAlignment="1">
      <alignment/>
    </xf>
    <xf numFmtId="174" fontId="1" fillId="0" borderId="0" xfId="51" applyNumberFormat="1" applyFont="1" applyAlignment="1">
      <alignment/>
    </xf>
    <xf numFmtId="172" fontId="0" fillId="33" borderId="0" xfId="49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33" borderId="0" xfId="0" applyNumberFormat="1" applyFill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9" fontId="0" fillId="33" borderId="0" xfId="0" applyNumberFormat="1" applyFill="1" applyAlignment="1">
      <alignment/>
    </xf>
    <xf numFmtId="174" fontId="0" fillId="0" borderId="0" xfId="51" applyNumberFormat="1" applyFont="1" applyAlignment="1">
      <alignment/>
    </xf>
    <xf numFmtId="174" fontId="1" fillId="0" borderId="10" xfId="51" applyNumberFormat="1" applyFont="1" applyBorder="1" applyAlignment="1">
      <alignment/>
    </xf>
    <xf numFmtId="14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33" borderId="0" xfId="0" applyFont="1" applyFill="1" applyAlignment="1">
      <alignment/>
    </xf>
    <xf numFmtId="9" fontId="1" fillId="0" borderId="0" xfId="49" applyFont="1" applyAlignment="1">
      <alignment/>
    </xf>
    <xf numFmtId="0" fontId="0" fillId="0" borderId="0" xfId="0" applyAlignment="1">
      <alignment horizontal="center"/>
    </xf>
    <xf numFmtId="9" fontId="0" fillId="0" borderId="0" xfId="49" applyFont="1" applyFill="1" applyAlignment="1">
      <alignment/>
    </xf>
    <xf numFmtId="10" fontId="0" fillId="0" borderId="10" xfId="0" applyNumberFormat="1" applyBorder="1" applyAlignment="1">
      <alignment/>
    </xf>
    <xf numFmtId="9" fontId="0" fillId="0" borderId="0" xfId="0" applyNumberForma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1"/>
  <sheetViews>
    <sheetView tabSelected="1" zoomScale="130" zoomScaleNormal="130" zoomScalePageLayoutView="0" workbookViewId="0" topLeftCell="A5">
      <pane xSplit="1" ySplit="1" topLeftCell="B6" activePane="bottomRight" state="frozen"/>
      <selection pane="topLeft" activeCell="A5" sqref="A5"/>
      <selection pane="topRight" activeCell="B5" sqref="B5"/>
      <selection pane="bottomLeft" activeCell="A6" sqref="A6"/>
      <selection pane="bottomRight" activeCell="B17" sqref="B17"/>
    </sheetView>
  </sheetViews>
  <sheetFormatPr defaultColWidth="9.140625" defaultRowHeight="12.75"/>
  <cols>
    <col min="1" max="1" width="34.28125" style="0" customWidth="1"/>
    <col min="2" max="2" width="11.28125" style="0" customWidth="1"/>
    <col min="3" max="3" width="11.28125" style="0" bestFit="1" customWidth="1"/>
    <col min="4" max="4" width="10.28125" style="0" bestFit="1" customWidth="1"/>
  </cols>
  <sheetData>
    <row r="3" ht="12.75">
      <c r="B3" s="1"/>
    </row>
    <row r="4" spans="1:2" ht="12.75">
      <c r="A4" s="1"/>
      <c r="B4" s="1"/>
    </row>
    <row r="5" spans="1:13" s="2" customFormat="1" ht="12.75">
      <c r="A5" s="17" t="s">
        <v>13</v>
      </c>
      <c r="B5" s="2" t="s">
        <v>0</v>
      </c>
      <c r="C5" s="2">
        <v>1995</v>
      </c>
      <c r="D5" s="2">
        <f>C5+1</f>
        <v>1996</v>
      </c>
      <c r="E5" s="2">
        <f aca="true" t="shared" si="0" ref="E5:M5">D5+1</f>
        <v>1997</v>
      </c>
      <c r="F5" s="2">
        <f t="shared" si="0"/>
        <v>1998</v>
      </c>
      <c r="G5" s="2">
        <f t="shared" si="0"/>
        <v>1999</v>
      </c>
      <c r="H5" s="2">
        <f t="shared" si="0"/>
        <v>2000</v>
      </c>
      <c r="I5" s="2">
        <f t="shared" si="0"/>
        <v>2001</v>
      </c>
      <c r="J5" s="2">
        <f t="shared" si="0"/>
        <v>2002</v>
      </c>
      <c r="K5" s="2">
        <f t="shared" si="0"/>
        <v>2003</v>
      </c>
      <c r="L5" s="2">
        <f t="shared" si="0"/>
        <v>2004</v>
      </c>
      <c r="M5" s="2">
        <f t="shared" si="0"/>
        <v>2005</v>
      </c>
    </row>
    <row r="6" spans="1:13" ht="12.75">
      <c r="A6" s="16" t="s">
        <v>88</v>
      </c>
      <c r="B6" s="4">
        <v>0.044</v>
      </c>
      <c r="D6" s="3">
        <f>B6</f>
        <v>0.044</v>
      </c>
      <c r="E6" s="3">
        <f>D6</f>
        <v>0.044</v>
      </c>
      <c r="F6" s="3">
        <f aca="true" t="shared" si="1" ref="F6:M6">E6</f>
        <v>0.044</v>
      </c>
      <c r="G6" s="3">
        <f t="shared" si="1"/>
        <v>0.044</v>
      </c>
      <c r="H6" s="3">
        <f t="shared" si="1"/>
        <v>0.044</v>
      </c>
      <c r="I6" s="3">
        <f t="shared" si="1"/>
        <v>0.044</v>
      </c>
      <c r="J6" s="3">
        <f t="shared" si="1"/>
        <v>0.044</v>
      </c>
      <c r="K6" s="3">
        <f t="shared" si="1"/>
        <v>0.044</v>
      </c>
      <c r="L6" s="3">
        <f t="shared" si="1"/>
        <v>0.044</v>
      </c>
      <c r="M6" s="3">
        <f t="shared" si="1"/>
        <v>0.044</v>
      </c>
    </row>
    <row r="7" spans="1:13" s="6" customFormat="1" ht="12.75">
      <c r="A7" s="6" t="s">
        <v>9</v>
      </c>
      <c r="B7" s="11" t="s">
        <v>8</v>
      </c>
      <c r="C7" s="6">
        <v>25185</v>
      </c>
      <c r="D7" s="6">
        <f>C7*(1+D6)</f>
        <v>26293.14</v>
      </c>
      <c r="E7" s="6">
        <f>D7*(1+E6)</f>
        <v>27450.03816</v>
      </c>
      <c r="F7" s="6">
        <f aca="true" t="shared" si="2" ref="F7:M7">E7*(1+F6)</f>
        <v>28657.83983904</v>
      </c>
      <c r="G7" s="6">
        <f t="shared" si="2"/>
        <v>29918.78479195776</v>
      </c>
      <c r="H7" s="6">
        <f t="shared" si="2"/>
        <v>31235.211322803905</v>
      </c>
      <c r="I7" s="6">
        <f t="shared" si="2"/>
        <v>32609.560621007276</v>
      </c>
      <c r="J7" s="6">
        <f t="shared" si="2"/>
        <v>34044.3812883316</v>
      </c>
      <c r="K7" s="6">
        <f t="shared" si="2"/>
        <v>35542.33406501819</v>
      </c>
      <c r="L7" s="6">
        <f t="shared" si="2"/>
        <v>37106.196763878994</v>
      </c>
      <c r="M7" s="6">
        <f t="shared" si="2"/>
        <v>38738.86942148967</v>
      </c>
    </row>
    <row r="8" spans="1:13" s="6" customFormat="1" ht="12.75">
      <c r="A8" s="6" t="s">
        <v>10</v>
      </c>
      <c r="B8" s="13">
        <v>0</v>
      </c>
      <c r="C8" s="6">
        <v>3822</v>
      </c>
      <c r="D8" s="14">
        <v>3833</v>
      </c>
      <c r="E8" s="6">
        <f aca="true" t="shared" si="3" ref="E8:M8">D8*(1+$B$8)</f>
        <v>3833</v>
      </c>
      <c r="F8" s="6">
        <f t="shared" si="3"/>
        <v>3833</v>
      </c>
      <c r="G8" s="6">
        <f t="shared" si="3"/>
        <v>3833</v>
      </c>
      <c r="H8" s="6">
        <f t="shared" si="3"/>
        <v>3833</v>
      </c>
      <c r="I8" s="6">
        <f t="shared" si="3"/>
        <v>3833</v>
      </c>
      <c r="J8" s="6">
        <f t="shared" si="3"/>
        <v>3833</v>
      </c>
      <c r="K8" s="6">
        <f t="shared" si="3"/>
        <v>3833</v>
      </c>
      <c r="L8" s="6">
        <f t="shared" si="3"/>
        <v>3833</v>
      </c>
      <c r="M8" s="6">
        <f t="shared" si="3"/>
        <v>3833</v>
      </c>
    </row>
    <row r="9" spans="1:13" s="6" customFormat="1" ht="12.75">
      <c r="A9" s="6" t="s">
        <v>11</v>
      </c>
      <c r="B9" s="11" t="s">
        <v>8</v>
      </c>
      <c r="C9" s="6">
        <f>C7-C8</f>
        <v>21363</v>
      </c>
      <c r="D9" s="6">
        <f aca="true" t="shared" si="4" ref="D9:M9">D7-D8</f>
        <v>22460.14</v>
      </c>
      <c r="E9" s="6">
        <f t="shared" si="4"/>
        <v>23617.03816</v>
      </c>
      <c r="F9" s="6">
        <f t="shared" si="4"/>
        <v>24824.83983904</v>
      </c>
      <c r="G9" s="6">
        <f t="shared" si="4"/>
        <v>26085.78479195776</v>
      </c>
      <c r="H9" s="6">
        <f t="shared" si="4"/>
        <v>27402.211322803905</v>
      </c>
      <c r="I9" s="6">
        <f t="shared" si="4"/>
        <v>28776.560621007276</v>
      </c>
      <c r="J9" s="6">
        <f t="shared" si="4"/>
        <v>30211.3812883316</v>
      </c>
      <c r="K9" s="6">
        <f t="shared" si="4"/>
        <v>31709.334065018193</v>
      </c>
      <c r="L9" s="6">
        <f t="shared" si="4"/>
        <v>33273.196763878994</v>
      </c>
      <c r="M9" s="6">
        <f t="shared" si="4"/>
        <v>34905.86942148967</v>
      </c>
    </row>
    <row r="10" spans="1:13" s="6" customFormat="1" ht="12.75">
      <c r="A10" s="6" t="s">
        <v>12</v>
      </c>
      <c r="B10" s="15">
        <f>C10/C7</f>
        <v>0.15942028985507245</v>
      </c>
      <c r="C10" s="6">
        <f>C7-C11</f>
        <v>4015</v>
      </c>
      <c r="D10" s="6">
        <f>D7*($B$10)</f>
        <v>4191.66</v>
      </c>
      <c r="E10" s="6">
        <f aca="true" t="shared" si="5" ref="E10:M10">E7*($B$10)</f>
        <v>4376.09304</v>
      </c>
      <c r="F10" s="6">
        <f t="shared" si="5"/>
        <v>4568.641133759999</v>
      </c>
      <c r="G10" s="6">
        <f t="shared" si="5"/>
        <v>4769.66134364544</v>
      </c>
      <c r="H10" s="6">
        <f t="shared" si="5"/>
        <v>4979.526442765839</v>
      </c>
      <c r="I10" s="6">
        <f t="shared" si="5"/>
        <v>5198.625606247537</v>
      </c>
      <c r="J10" s="6">
        <f t="shared" si="5"/>
        <v>5427.3651329224285</v>
      </c>
      <c r="K10" s="6">
        <f t="shared" si="5"/>
        <v>5666.1691987710155</v>
      </c>
      <c r="L10" s="6">
        <f t="shared" si="5"/>
        <v>5915.48064351694</v>
      </c>
      <c r="M10" s="6">
        <f t="shared" si="5"/>
        <v>6175.7617918316855</v>
      </c>
    </row>
    <row r="11" spans="1:13" s="6" customFormat="1" ht="12.75">
      <c r="A11" s="6" t="s">
        <v>7</v>
      </c>
      <c r="B11" s="11" t="s">
        <v>8</v>
      </c>
      <c r="C11" s="6">
        <v>21170</v>
      </c>
      <c r="D11" s="6">
        <f>D7-D10</f>
        <v>22101.48</v>
      </c>
      <c r="E11" s="6">
        <f aca="true" t="shared" si="6" ref="E11:M11">E7-E10</f>
        <v>23073.94512</v>
      </c>
      <c r="F11" s="6">
        <f t="shared" si="6"/>
        <v>24089.19870528</v>
      </c>
      <c r="G11" s="6">
        <f t="shared" si="6"/>
        <v>25149.123448312323</v>
      </c>
      <c r="H11" s="6">
        <f t="shared" si="6"/>
        <v>26255.684880038065</v>
      </c>
      <c r="I11" s="6">
        <f t="shared" si="6"/>
        <v>27410.93501475974</v>
      </c>
      <c r="J11" s="6">
        <f t="shared" si="6"/>
        <v>28617.01615540917</v>
      </c>
      <c r="K11" s="6">
        <f t="shared" si="6"/>
        <v>29876.164866247178</v>
      </c>
      <c r="L11" s="6">
        <f t="shared" si="6"/>
        <v>31190.716120362053</v>
      </c>
      <c r="M11" s="6">
        <f t="shared" si="6"/>
        <v>32563.10762965798</v>
      </c>
    </row>
    <row r="12" s="6" customFormat="1" ht="12.75">
      <c r="B12" s="11"/>
    </row>
    <row r="13" spans="1:13" s="2" customFormat="1" ht="12.75">
      <c r="A13" s="17" t="s">
        <v>15</v>
      </c>
      <c r="B13" s="2" t="s">
        <v>0</v>
      </c>
      <c r="C13" s="2">
        <v>1995</v>
      </c>
      <c r="D13" s="2">
        <f>C13+1</f>
        <v>1996</v>
      </c>
      <c r="E13" s="2">
        <f aca="true" t="shared" si="7" ref="E13:M13">D13+1</f>
        <v>1997</v>
      </c>
      <c r="F13" s="2">
        <f t="shared" si="7"/>
        <v>1998</v>
      </c>
      <c r="G13" s="2">
        <f t="shared" si="7"/>
        <v>1999</v>
      </c>
      <c r="H13" s="2">
        <f t="shared" si="7"/>
        <v>2000</v>
      </c>
      <c r="I13" s="2">
        <f t="shared" si="7"/>
        <v>2001</v>
      </c>
      <c r="J13" s="2">
        <f t="shared" si="7"/>
        <v>2002</v>
      </c>
      <c r="K13" s="2">
        <f t="shared" si="7"/>
        <v>2003</v>
      </c>
      <c r="L13" s="2">
        <f t="shared" si="7"/>
        <v>2004</v>
      </c>
      <c r="M13" s="2">
        <f t="shared" si="7"/>
        <v>2005</v>
      </c>
    </row>
    <row r="14" spans="1:13" ht="12.75">
      <c r="A14" t="s">
        <v>1</v>
      </c>
      <c r="B14" s="4">
        <v>0.03</v>
      </c>
      <c r="C14" s="6">
        <v>1987</v>
      </c>
      <c r="D14" s="3">
        <v>0.156</v>
      </c>
      <c r="E14" s="3">
        <f>B14</f>
        <v>0.03</v>
      </c>
      <c r="F14" s="3">
        <f>E14</f>
        <v>0.03</v>
      </c>
      <c r="G14" s="3">
        <f aca="true" t="shared" si="8" ref="G14:M16">F14</f>
        <v>0.03</v>
      </c>
      <c r="H14" s="3">
        <f t="shared" si="8"/>
        <v>0.03</v>
      </c>
      <c r="I14" s="3">
        <f t="shared" si="8"/>
        <v>0.03</v>
      </c>
      <c r="J14" s="3">
        <f t="shared" si="8"/>
        <v>0.03</v>
      </c>
      <c r="K14" s="3">
        <f t="shared" si="8"/>
        <v>0.03</v>
      </c>
      <c r="L14" s="3">
        <f t="shared" si="8"/>
        <v>0.03</v>
      </c>
      <c r="M14" s="3">
        <f t="shared" si="8"/>
        <v>0.03</v>
      </c>
    </row>
    <row r="15" spans="1:13" ht="12.75">
      <c r="A15" t="s">
        <v>14</v>
      </c>
      <c r="B15" s="7">
        <f>C14*1000000/(C11*1000)</f>
        <v>93.85923476617856</v>
      </c>
      <c r="C15" s="19">
        <f>B15</f>
        <v>93.85923476617856</v>
      </c>
      <c r="D15" s="5">
        <f>C15*(1+D14)</f>
        <v>108.50127538970241</v>
      </c>
      <c r="E15" s="5">
        <f aca="true" t="shared" si="9" ref="E15:M15">D15*(1+E14)</f>
        <v>111.75631365139348</v>
      </c>
      <c r="F15" s="5">
        <f t="shared" si="9"/>
        <v>115.1090030609353</v>
      </c>
      <c r="G15" s="5">
        <f t="shared" si="9"/>
        <v>118.56227315276335</v>
      </c>
      <c r="H15" s="5">
        <f t="shared" si="9"/>
        <v>122.11914134734626</v>
      </c>
      <c r="I15" s="5">
        <f t="shared" si="9"/>
        <v>125.78271558776665</v>
      </c>
      <c r="J15" s="5">
        <f t="shared" si="9"/>
        <v>129.55619705539965</v>
      </c>
      <c r="K15" s="5">
        <f t="shared" si="9"/>
        <v>133.44288296706165</v>
      </c>
      <c r="L15" s="5">
        <f t="shared" si="9"/>
        <v>137.4461694560735</v>
      </c>
      <c r="M15" s="5">
        <f t="shared" si="9"/>
        <v>141.56955453975573</v>
      </c>
    </row>
    <row r="16" spans="1:13" ht="12.75">
      <c r="A16" t="s">
        <v>2</v>
      </c>
      <c r="B16" s="4">
        <v>0.03</v>
      </c>
      <c r="C16" s="6">
        <v>673</v>
      </c>
      <c r="D16" s="3">
        <v>0.0745</v>
      </c>
      <c r="E16" s="3">
        <f>B16</f>
        <v>0.03</v>
      </c>
      <c r="F16" s="3">
        <f>E16</f>
        <v>0.03</v>
      </c>
      <c r="G16" s="3">
        <f t="shared" si="8"/>
        <v>0.03</v>
      </c>
      <c r="H16" s="3">
        <f t="shared" si="8"/>
        <v>0.03</v>
      </c>
      <c r="I16" s="3">
        <f t="shared" si="8"/>
        <v>0.03</v>
      </c>
      <c r="J16" s="3">
        <f t="shared" si="8"/>
        <v>0.03</v>
      </c>
      <c r="K16" s="3">
        <f t="shared" si="8"/>
        <v>0.03</v>
      </c>
      <c r="L16" s="3">
        <f t="shared" si="8"/>
        <v>0.03</v>
      </c>
      <c r="M16" s="3">
        <f t="shared" si="8"/>
        <v>0.03</v>
      </c>
    </row>
    <row r="17" spans="1:13" ht="12.75">
      <c r="A17" t="s">
        <v>16</v>
      </c>
      <c r="B17" s="20">
        <f>+C16*1000000/(C9*1000)</f>
        <v>31.50306604877592</v>
      </c>
      <c r="C17" s="19">
        <f>B17</f>
        <v>31.50306604877592</v>
      </c>
      <c r="D17" s="5">
        <f>C17*(1+D16)</f>
        <v>33.850044469409724</v>
      </c>
      <c r="E17" s="5">
        <f aca="true" t="shared" si="10" ref="E17:M17">D17*(1+E16)</f>
        <v>34.86554580349202</v>
      </c>
      <c r="F17" s="5">
        <f t="shared" si="10"/>
        <v>35.911512177596784</v>
      </c>
      <c r="G17" s="5">
        <f t="shared" si="10"/>
        <v>36.98885754292469</v>
      </c>
      <c r="H17" s="5">
        <f t="shared" si="10"/>
        <v>38.098523269212436</v>
      </c>
      <c r="I17" s="5">
        <f t="shared" si="10"/>
        <v>39.241478967288806</v>
      </c>
      <c r="J17" s="5">
        <f t="shared" si="10"/>
        <v>40.41872333630747</v>
      </c>
      <c r="K17" s="5">
        <f t="shared" si="10"/>
        <v>41.6312850363967</v>
      </c>
      <c r="L17" s="5">
        <f t="shared" si="10"/>
        <v>42.8802235874886</v>
      </c>
      <c r="M17" s="5">
        <f t="shared" si="10"/>
        <v>44.16663029511326</v>
      </c>
    </row>
    <row r="18" spans="2:13" s="21" customFormat="1" ht="12.75">
      <c r="B18" s="22"/>
      <c r="C18" s="22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s="21" customFormat="1" ht="12.75">
      <c r="A19" s="17" t="s">
        <v>17</v>
      </c>
      <c r="B19" s="22"/>
      <c r="C19" s="22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t="s">
        <v>3</v>
      </c>
      <c r="B20" s="4">
        <v>0.044</v>
      </c>
      <c r="D20" s="3">
        <f>B20</f>
        <v>0.044</v>
      </c>
      <c r="E20" s="3">
        <f>D20</f>
        <v>0.044</v>
      </c>
      <c r="F20" s="3">
        <f aca="true" t="shared" si="11" ref="F20:M20">E20</f>
        <v>0.044</v>
      </c>
      <c r="G20" s="3">
        <f t="shared" si="11"/>
        <v>0.044</v>
      </c>
      <c r="H20" s="3">
        <f t="shared" si="11"/>
        <v>0.044</v>
      </c>
      <c r="I20" s="3">
        <f t="shared" si="11"/>
        <v>0.044</v>
      </c>
      <c r="J20" s="3">
        <f t="shared" si="11"/>
        <v>0.044</v>
      </c>
      <c r="K20" s="3">
        <f t="shared" si="11"/>
        <v>0.044</v>
      </c>
      <c r="L20" s="3">
        <f t="shared" si="11"/>
        <v>0.044</v>
      </c>
      <c r="M20" s="3">
        <f t="shared" si="11"/>
        <v>0.044</v>
      </c>
    </row>
    <row r="21" spans="1:13" ht="12.75">
      <c r="A21" t="s">
        <v>4</v>
      </c>
      <c r="B21" s="4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4">
        <v>0</v>
      </c>
      <c r="J21" s="4">
        <f>I21</f>
        <v>0</v>
      </c>
      <c r="K21" s="4">
        <f>J21</f>
        <v>0</v>
      </c>
      <c r="L21" s="4">
        <f>K21</f>
        <v>0</v>
      </c>
      <c r="M21" s="4">
        <f>L21</f>
        <v>0</v>
      </c>
    </row>
    <row r="22" ht="12.75">
      <c r="B22" s="9"/>
    </row>
    <row r="23" spans="1:13" ht="12.75">
      <c r="A23" s="17" t="s">
        <v>31</v>
      </c>
      <c r="B23" s="2" t="s">
        <v>0</v>
      </c>
      <c r="C23" s="2">
        <v>1995</v>
      </c>
      <c r="D23" s="2">
        <f>C23+1</f>
        <v>1996</v>
      </c>
      <c r="E23" s="2">
        <f aca="true" t="shared" si="12" ref="E23:M23">D23+1</f>
        <v>1997</v>
      </c>
      <c r="F23" s="2">
        <f t="shared" si="12"/>
        <v>1998</v>
      </c>
      <c r="G23" s="2">
        <f t="shared" si="12"/>
        <v>1999</v>
      </c>
      <c r="H23" s="2">
        <f t="shared" si="12"/>
        <v>2000</v>
      </c>
      <c r="I23" s="2">
        <f t="shared" si="12"/>
        <v>2001</v>
      </c>
      <c r="J23" s="2">
        <f t="shared" si="12"/>
        <v>2002</v>
      </c>
      <c r="K23" s="2">
        <f t="shared" si="12"/>
        <v>2003</v>
      </c>
      <c r="L23" s="2">
        <f t="shared" si="12"/>
        <v>2004</v>
      </c>
      <c r="M23" s="2">
        <f t="shared" si="12"/>
        <v>2005</v>
      </c>
    </row>
    <row r="24" spans="1:13" s="6" customFormat="1" ht="12.75">
      <c r="A24" s="6" t="s">
        <v>5</v>
      </c>
      <c r="B24" s="11">
        <f>SUM(D24:M24)</f>
        <v>1363</v>
      </c>
      <c r="D24" s="6">
        <v>144</v>
      </c>
      <c r="E24" s="6">
        <v>135</v>
      </c>
      <c r="F24" s="6">
        <v>83</v>
      </c>
      <c r="G24" s="6">
        <v>68</v>
      </c>
      <c r="H24" s="6">
        <v>111</v>
      </c>
      <c r="I24" s="6">
        <v>152</v>
      </c>
      <c r="J24" s="6">
        <v>159</v>
      </c>
      <c r="K24" s="6">
        <v>166</v>
      </c>
      <c r="L24" s="6">
        <v>172</v>
      </c>
      <c r="M24" s="6">
        <v>173</v>
      </c>
    </row>
    <row r="25" spans="1:13" s="6" customFormat="1" ht="12.75">
      <c r="A25" s="6" t="s">
        <v>89</v>
      </c>
      <c r="B25" s="11">
        <f>SUM(D25:M25)</f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s="6" customFormat="1" ht="12.75">
      <c r="A26" s="6" t="s">
        <v>33</v>
      </c>
      <c r="B26" s="11"/>
      <c r="C26" s="24">
        <v>3282</v>
      </c>
      <c r="D26" s="6">
        <f>C26+D24+D25</f>
        <v>3426</v>
      </c>
      <c r="E26" s="6">
        <f aca="true" t="shared" si="13" ref="E26:M26">D26+E24+E25</f>
        <v>3561</v>
      </c>
      <c r="F26" s="6">
        <f t="shared" si="13"/>
        <v>3644</v>
      </c>
      <c r="G26" s="6">
        <f t="shared" si="13"/>
        <v>3712</v>
      </c>
      <c r="H26" s="6">
        <f t="shared" si="13"/>
        <v>3823</v>
      </c>
      <c r="I26" s="6">
        <f t="shared" si="13"/>
        <v>3975</v>
      </c>
      <c r="J26" s="6">
        <f t="shared" si="13"/>
        <v>4134</v>
      </c>
      <c r="K26" s="6">
        <f t="shared" si="13"/>
        <v>4300</v>
      </c>
      <c r="L26" s="6">
        <f t="shared" si="13"/>
        <v>4472</v>
      </c>
      <c r="M26" s="6">
        <f t="shared" si="13"/>
        <v>4645</v>
      </c>
    </row>
    <row r="27" spans="1:13" ht="12.75">
      <c r="A27" t="s">
        <v>34</v>
      </c>
      <c r="B27" s="9"/>
      <c r="C27" s="18">
        <f>+C28-C26</f>
        <v>-626</v>
      </c>
      <c r="D27" s="18">
        <f>C27+D29</f>
        <v>-837.9067641681902</v>
      </c>
      <c r="E27" s="18">
        <f aca="true" t="shared" si="14" ref="E27:M27">D27+E29</f>
        <v>-1058.1636197440585</v>
      </c>
      <c r="F27" s="18">
        <f t="shared" si="14"/>
        <v>-1283.5542352224252</v>
      </c>
      <c r="G27" s="18">
        <f t="shared" si="14"/>
        <v>-1513.150822669104</v>
      </c>
      <c r="H27" s="18">
        <f t="shared" si="14"/>
        <v>-1749.6130408287627</v>
      </c>
      <c r="I27" s="18">
        <f t="shared" si="14"/>
        <v>-1995.4768433881777</v>
      </c>
      <c r="J27" s="18">
        <f t="shared" si="14"/>
        <v>-2251.1751980499694</v>
      </c>
      <c r="K27" s="18">
        <f t="shared" si="14"/>
        <v>-2517.141072516758</v>
      </c>
      <c r="L27" s="18">
        <f t="shared" si="14"/>
        <v>-2793.7455819622182</v>
      </c>
      <c r="M27" s="18">
        <f t="shared" si="14"/>
        <v>-3081.050578915296</v>
      </c>
    </row>
    <row r="28" spans="1:13" ht="12.75">
      <c r="A28" s="6" t="s">
        <v>35</v>
      </c>
      <c r="C28" s="6">
        <f>3026-370</f>
        <v>2656</v>
      </c>
      <c r="D28" s="18">
        <f>D26+D27</f>
        <v>2588.0932358318096</v>
      </c>
      <c r="E28" s="18">
        <f aca="true" t="shared" si="15" ref="E28:M28">E26+E27</f>
        <v>2502.8363802559415</v>
      </c>
      <c r="F28" s="18">
        <f t="shared" si="15"/>
        <v>2360.445764777575</v>
      </c>
      <c r="G28" s="18">
        <f t="shared" si="15"/>
        <v>2198.849177330896</v>
      </c>
      <c r="H28" s="18">
        <f t="shared" si="15"/>
        <v>2073.3869591712373</v>
      </c>
      <c r="I28" s="18">
        <f t="shared" si="15"/>
        <v>1979.5231566118223</v>
      </c>
      <c r="J28" s="18">
        <f t="shared" si="15"/>
        <v>1882.8248019500306</v>
      </c>
      <c r="K28" s="18">
        <f t="shared" si="15"/>
        <v>1782.858927483242</v>
      </c>
      <c r="L28" s="18">
        <f t="shared" si="15"/>
        <v>1678.2544180377818</v>
      </c>
      <c r="M28" s="18">
        <f t="shared" si="15"/>
        <v>1563.9494210847042</v>
      </c>
    </row>
    <row r="29" spans="1:13" ht="12.75">
      <c r="A29" s="6" t="s">
        <v>36</v>
      </c>
      <c r="B29" s="15">
        <f>-C29/C26</f>
        <v>0.061852528945764776</v>
      </c>
      <c r="C29" s="18">
        <v>-203</v>
      </c>
      <c r="D29" s="18">
        <f>-$B$29*D26</f>
        <v>-211.90676416819014</v>
      </c>
      <c r="E29" s="18">
        <f aca="true" t="shared" si="16" ref="E29:M29">-$B$29*E26</f>
        <v>-220.25685557586837</v>
      </c>
      <c r="F29" s="18">
        <f t="shared" si="16"/>
        <v>-225.39061547836684</v>
      </c>
      <c r="G29" s="18">
        <f t="shared" si="16"/>
        <v>-229.59658744667885</v>
      </c>
      <c r="H29" s="18">
        <f t="shared" si="16"/>
        <v>-236.46221815965873</v>
      </c>
      <c r="I29" s="18">
        <f t="shared" si="16"/>
        <v>-245.86380255941498</v>
      </c>
      <c r="J29" s="18">
        <f t="shared" si="16"/>
        <v>-255.6983546617916</v>
      </c>
      <c r="K29" s="18">
        <f t="shared" si="16"/>
        <v>-265.96587446678853</v>
      </c>
      <c r="L29" s="18">
        <f t="shared" si="16"/>
        <v>-276.60450944546005</v>
      </c>
      <c r="M29" s="18">
        <f t="shared" si="16"/>
        <v>-287.30499695307736</v>
      </c>
    </row>
    <row r="30" spans="1:13" ht="12.75">
      <c r="A30" s="6"/>
      <c r="B30" s="1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.75">
      <c r="A31" s="17" t="s">
        <v>41</v>
      </c>
      <c r="B31" s="2" t="s">
        <v>0</v>
      </c>
      <c r="C31" s="2">
        <v>1995</v>
      </c>
      <c r="D31" s="2">
        <f>C31+1</f>
        <v>1996</v>
      </c>
      <c r="E31" s="2">
        <f aca="true" t="shared" si="17" ref="E31:M31">D31+1</f>
        <v>1997</v>
      </c>
      <c r="F31" s="2">
        <f t="shared" si="17"/>
        <v>1998</v>
      </c>
      <c r="G31" s="2">
        <f t="shared" si="17"/>
        <v>1999</v>
      </c>
      <c r="H31" s="2">
        <f t="shared" si="17"/>
        <v>2000</v>
      </c>
      <c r="I31" s="2">
        <f t="shared" si="17"/>
        <v>2001</v>
      </c>
      <c r="J31" s="2">
        <f t="shared" si="17"/>
        <v>2002</v>
      </c>
      <c r="K31" s="2">
        <f t="shared" si="17"/>
        <v>2003</v>
      </c>
      <c r="L31" s="2">
        <f t="shared" si="17"/>
        <v>2004</v>
      </c>
      <c r="M31" s="2">
        <f t="shared" si="17"/>
        <v>2005</v>
      </c>
    </row>
    <row r="32" spans="1:13" ht="12.75">
      <c r="A32" s="6" t="s">
        <v>42</v>
      </c>
      <c r="B32" s="8">
        <f>(C32/C40)*365</f>
        <v>29.94212380473075</v>
      </c>
      <c r="C32" s="18">
        <v>163</v>
      </c>
      <c r="D32" s="18">
        <f>($B$32/365)*D40</f>
        <v>196.71883200000002</v>
      </c>
      <c r="E32" s="18">
        <f aca="true" t="shared" si="18" ref="E32:M32">($B$32/365)*E40</f>
        <v>211.53569442624</v>
      </c>
      <c r="F32" s="18">
        <f t="shared" si="18"/>
        <v>227.46856293042435</v>
      </c>
      <c r="G32" s="18">
        <f t="shared" si="18"/>
        <v>244.601495090344</v>
      </c>
      <c r="H32" s="18">
        <f t="shared" si="18"/>
        <v>263.0248797005487</v>
      </c>
      <c r="I32" s="18">
        <f t="shared" si="18"/>
        <v>282.835913639594</v>
      </c>
      <c r="J32" s="18">
        <f t="shared" si="18"/>
        <v>304.1391146549283</v>
      </c>
      <c r="K32" s="18">
        <f t="shared" si="18"/>
        <v>327.04687277073754</v>
      </c>
      <c r="L32" s="18">
        <f t="shared" si="18"/>
        <v>351.6800432278296</v>
      </c>
      <c r="M32" s="18">
        <f t="shared" si="18"/>
        <v>378.1685840837497</v>
      </c>
    </row>
    <row r="33" spans="1:13" ht="12.75">
      <c r="A33" s="6" t="s">
        <v>43</v>
      </c>
      <c r="B33" s="12"/>
      <c r="C33" s="18"/>
      <c r="D33" s="18">
        <f>D32-C32</f>
        <v>33.71883200000002</v>
      </c>
      <c r="E33" s="18">
        <f aca="true" t="shared" si="19" ref="E33:M33">E32-D32</f>
        <v>14.816862426239993</v>
      </c>
      <c r="F33" s="18">
        <f t="shared" si="19"/>
        <v>15.932868504184341</v>
      </c>
      <c r="G33" s="18">
        <f t="shared" si="19"/>
        <v>17.132932159919648</v>
      </c>
      <c r="H33" s="18">
        <f t="shared" si="19"/>
        <v>18.423384610204693</v>
      </c>
      <c r="I33" s="18">
        <f t="shared" si="19"/>
        <v>19.81103393904533</v>
      </c>
      <c r="J33" s="18">
        <f t="shared" si="19"/>
        <v>21.303201015334253</v>
      </c>
      <c r="K33" s="18">
        <f t="shared" si="19"/>
        <v>22.90775811580926</v>
      </c>
      <c r="L33" s="18">
        <f t="shared" si="19"/>
        <v>24.633170457092035</v>
      </c>
      <c r="M33" s="18">
        <f t="shared" si="19"/>
        <v>26.48854085592012</v>
      </c>
    </row>
    <row r="34" spans="1:13" ht="12.75">
      <c r="A34" s="6" t="s">
        <v>44</v>
      </c>
      <c r="B34" s="8">
        <f>(C34/-(C46+C50))*365</f>
        <v>32.42596810933941</v>
      </c>
      <c r="C34" s="18">
        <v>78</v>
      </c>
      <c r="D34" s="18">
        <f aca="true" t="shared" si="20" ref="D34:M34">($B$34/365)*-(D46+D50)</f>
        <v>86.55483547557529</v>
      </c>
      <c r="E34" s="18">
        <f t="shared" si="20"/>
        <v>93.00103513143884</v>
      </c>
      <c r="F34" s="18">
        <f t="shared" si="20"/>
        <v>99.92223233566382</v>
      </c>
      <c r="G34" s="18">
        <f t="shared" si="20"/>
        <v>107.35352117400248</v>
      </c>
      <c r="H34" s="18">
        <f t="shared" si="20"/>
        <v>115.3326023966331</v>
      </c>
      <c r="I34" s="18">
        <f t="shared" si="20"/>
        <v>123.89997794329123</v>
      </c>
      <c r="J34" s="18">
        <f t="shared" si="20"/>
        <v>133.09916003452153</v>
      </c>
      <c r="K34" s="18">
        <f t="shared" si="20"/>
        <v>142.97689592222937</v>
      </c>
      <c r="L34" s="18">
        <f t="shared" si="20"/>
        <v>153.5834094748733</v>
      </c>
      <c r="M34" s="18">
        <f t="shared" si="20"/>
        <v>164.97266086097574</v>
      </c>
    </row>
    <row r="35" spans="1:13" ht="12.75">
      <c r="A35" s="6" t="s">
        <v>43</v>
      </c>
      <c r="B35" s="12"/>
      <c r="C35" s="18"/>
      <c r="D35" s="18">
        <f>D34-C34</f>
        <v>8.554835475575288</v>
      </c>
      <c r="E35" s="18">
        <f aca="true" t="shared" si="21" ref="E35:M35">E34-D34</f>
        <v>6.446199655863552</v>
      </c>
      <c r="F35" s="18">
        <f t="shared" si="21"/>
        <v>6.921197204224981</v>
      </c>
      <c r="G35" s="18">
        <f t="shared" si="21"/>
        <v>7.431288838338659</v>
      </c>
      <c r="H35" s="18">
        <f t="shared" si="21"/>
        <v>7.979081222630626</v>
      </c>
      <c r="I35" s="18">
        <f t="shared" si="21"/>
        <v>8.567375546658127</v>
      </c>
      <c r="J35" s="18">
        <f t="shared" si="21"/>
        <v>9.199182091230298</v>
      </c>
      <c r="K35" s="18">
        <f t="shared" si="21"/>
        <v>9.877735887707843</v>
      </c>
      <c r="L35" s="18">
        <f t="shared" si="21"/>
        <v>10.606513552643918</v>
      </c>
      <c r="M35" s="18">
        <f t="shared" si="21"/>
        <v>11.389251386102444</v>
      </c>
    </row>
    <row r="36" spans="1:13" ht="12.75">
      <c r="A36" s="6" t="s">
        <v>45</v>
      </c>
      <c r="B36" s="12"/>
      <c r="C36" s="18"/>
      <c r="D36" s="18">
        <f>D33-D35</f>
        <v>25.163996524424732</v>
      </c>
      <c r="E36" s="18">
        <f aca="true" t="shared" si="22" ref="E36:M36">E33-E35</f>
        <v>8.370662770376441</v>
      </c>
      <c r="F36" s="18">
        <f t="shared" si="22"/>
        <v>9.01167129995936</v>
      </c>
      <c r="G36" s="18">
        <f t="shared" si="22"/>
        <v>9.701643321580988</v>
      </c>
      <c r="H36" s="18">
        <f t="shared" si="22"/>
        <v>10.444303387574067</v>
      </c>
      <c r="I36" s="18">
        <f t="shared" si="22"/>
        <v>11.243658392387204</v>
      </c>
      <c r="J36" s="18">
        <f t="shared" si="22"/>
        <v>12.104018924103954</v>
      </c>
      <c r="K36" s="18">
        <f t="shared" si="22"/>
        <v>13.030022228101416</v>
      </c>
      <c r="L36" s="18">
        <f t="shared" si="22"/>
        <v>14.026656904448117</v>
      </c>
      <c r="M36" s="18">
        <f t="shared" si="22"/>
        <v>15.099289469817677</v>
      </c>
    </row>
    <row r="37" ht="12.75">
      <c r="A37" s="6"/>
    </row>
    <row r="39" spans="1:13" ht="12.75">
      <c r="A39" s="1" t="s">
        <v>37</v>
      </c>
      <c r="B39" s="2" t="s">
        <v>0</v>
      </c>
      <c r="C39" s="2">
        <v>1995</v>
      </c>
      <c r="D39" s="2">
        <f>C39+1</f>
        <v>1996</v>
      </c>
      <c r="E39" s="2">
        <f aca="true" t="shared" si="23" ref="E39:M39">D39+1</f>
        <v>1997</v>
      </c>
      <c r="F39" s="2">
        <f t="shared" si="23"/>
        <v>1998</v>
      </c>
      <c r="G39" s="2">
        <f t="shared" si="23"/>
        <v>1999</v>
      </c>
      <c r="H39" s="2">
        <f t="shared" si="23"/>
        <v>2000</v>
      </c>
      <c r="I39" s="2">
        <f t="shared" si="23"/>
        <v>2001</v>
      </c>
      <c r="J39" s="2">
        <f t="shared" si="23"/>
        <v>2002</v>
      </c>
      <c r="K39" s="2">
        <f t="shared" si="23"/>
        <v>2003</v>
      </c>
      <c r="L39" s="2">
        <f t="shared" si="23"/>
        <v>2004</v>
      </c>
      <c r="M39" s="2">
        <f t="shared" si="23"/>
        <v>2005</v>
      </c>
    </row>
    <row r="40" spans="1:13" s="6" customFormat="1" ht="12.75">
      <c r="A40" s="6" t="s">
        <v>19</v>
      </c>
      <c r="B40" s="6" t="s">
        <v>24</v>
      </c>
      <c r="C40" s="6">
        <v>1987</v>
      </c>
      <c r="D40" s="6">
        <f>D15*D11/1000</f>
        <v>2398.0387680000003</v>
      </c>
      <c r="E40" s="6">
        <f aca="true" t="shared" si="24" ref="E40:M40">E15*E11/1000</f>
        <v>2578.6590480057603</v>
      </c>
      <c r="F40" s="6">
        <f t="shared" si="24"/>
        <v>2772.8836475015537</v>
      </c>
      <c r="G40" s="6">
        <f t="shared" si="24"/>
        <v>2981.7372438313714</v>
      </c>
      <c r="H40" s="6">
        <f t="shared" si="24"/>
        <v>3206.3216930367503</v>
      </c>
      <c r="I40" s="6">
        <f t="shared" si="24"/>
        <v>3447.8218429562785</v>
      </c>
      <c r="J40" s="6">
        <f t="shared" si="24"/>
        <v>3707.5117841677456</v>
      </c>
      <c r="K40" s="6">
        <f t="shared" si="24"/>
        <v>3986.7615717512613</v>
      </c>
      <c r="L40" s="6">
        <f t="shared" si="24"/>
        <v>4287.044453335567</v>
      </c>
      <c r="M40" s="6">
        <f t="shared" si="24"/>
        <v>4609.944641560802</v>
      </c>
    </row>
    <row r="41" spans="1:13" s="6" customFormat="1" ht="12.75">
      <c r="A41" s="6" t="s">
        <v>20</v>
      </c>
      <c r="B41" s="6" t="s">
        <v>26</v>
      </c>
      <c r="C41" s="6">
        <v>22</v>
      </c>
      <c r="D41" s="6">
        <f>C41</f>
        <v>22</v>
      </c>
      <c r="E41" s="6">
        <f aca="true" t="shared" si="25" ref="E41:M41">D41</f>
        <v>22</v>
      </c>
      <c r="F41" s="6">
        <f t="shared" si="25"/>
        <v>22</v>
      </c>
      <c r="G41" s="6">
        <f t="shared" si="25"/>
        <v>22</v>
      </c>
      <c r="H41" s="6">
        <f t="shared" si="25"/>
        <v>22</v>
      </c>
      <c r="I41" s="6">
        <f t="shared" si="25"/>
        <v>22</v>
      </c>
      <c r="J41" s="6">
        <f t="shared" si="25"/>
        <v>22</v>
      </c>
      <c r="K41" s="6">
        <f t="shared" si="25"/>
        <v>22</v>
      </c>
      <c r="L41" s="6">
        <f t="shared" si="25"/>
        <v>22</v>
      </c>
      <c r="M41" s="6">
        <f t="shared" si="25"/>
        <v>22</v>
      </c>
    </row>
    <row r="42" spans="1:13" s="6" customFormat="1" ht="12.75">
      <c r="A42" s="6" t="s">
        <v>87</v>
      </c>
      <c r="B42" s="13">
        <f>B21</f>
        <v>0</v>
      </c>
      <c r="C42" s="6">
        <f>C40*C21</f>
        <v>0</v>
      </c>
      <c r="D42" s="6">
        <f aca="true" t="shared" si="26" ref="D42:M42">D40*D21</f>
        <v>0</v>
      </c>
      <c r="E42" s="6">
        <f t="shared" si="26"/>
        <v>0</v>
      </c>
      <c r="F42" s="6">
        <f t="shared" si="26"/>
        <v>0</v>
      </c>
      <c r="G42" s="6">
        <f t="shared" si="26"/>
        <v>0</v>
      </c>
      <c r="H42" s="6">
        <f t="shared" si="26"/>
        <v>0</v>
      </c>
      <c r="I42" s="6">
        <f t="shared" si="26"/>
        <v>0</v>
      </c>
      <c r="J42" s="6">
        <f t="shared" si="26"/>
        <v>0</v>
      </c>
      <c r="K42" s="6">
        <f t="shared" si="26"/>
        <v>0</v>
      </c>
      <c r="L42" s="6">
        <f t="shared" si="26"/>
        <v>0</v>
      </c>
      <c r="M42" s="6">
        <f t="shared" si="26"/>
        <v>0</v>
      </c>
    </row>
    <row r="43" spans="1:13" s="14" customFormat="1" ht="12.75">
      <c r="A43" s="14" t="s">
        <v>21</v>
      </c>
      <c r="C43" s="14">
        <f>SUM(C40:C42)</f>
        <v>2009</v>
      </c>
      <c r="D43" s="14">
        <f aca="true" t="shared" si="27" ref="D43:M43">SUM(D40:D42)</f>
        <v>2420.0387680000003</v>
      </c>
      <c r="E43" s="14">
        <f t="shared" si="27"/>
        <v>2600.6590480057603</v>
      </c>
      <c r="F43" s="14">
        <f t="shared" si="27"/>
        <v>2794.8836475015537</v>
      </c>
      <c r="G43" s="14">
        <f t="shared" si="27"/>
        <v>3003.7372438313714</v>
      </c>
      <c r="H43" s="14">
        <f t="shared" si="27"/>
        <v>3228.3216930367503</v>
      </c>
      <c r="I43" s="14">
        <f t="shared" si="27"/>
        <v>3469.8218429562785</v>
      </c>
      <c r="J43" s="14">
        <f t="shared" si="27"/>
        <v>3729.5117841677456</v>
      </c>
      <c r="K43" s="14">
        <f t="shared" si="27"/>
        <v>4008.7615717512613</v>
      </c>
      <c r="L43" s="14">
        <f t="shared" si="27"/>
        <v>4309.044453335567</v>
      </c>
      <c r="M43" s="14">
        <f t="shared" si="27"/>
        <v>4631.944641560802</v>
      </c>
    </row>
    <row r="44" spans="1:13" ht="12.75">
      <c r="A44" t="s">
        <v>22</v>
      </c>
      <c r="B44" s="23">
        <v>0.24</v>
      </c>
      <c r="C44" s="6">
        <f>-326-47-98</f>
        <v>-471</v>
      </c>
      <c r="D44" s="6">
        <f>D43*-$B$44</f>
        <v>-580.80930432</v>
      </c>
      <c r="E44" s="6">
        <f aca="true" t="shared" si="28" ref="E44:M44">E43*-$B$44</f>
        <v>-624.1581715213824</v>
      </c>
      <c r="F44" s="6">
        <f t="shared" si="28"/>
        <v>-670.7720754003728</v>
      </c>
      <c r="G44" s="6">
        <f t="shared" si="28"/>
        <v>-720.8969385195292</v>
      </c>
      <c r="H44" s="6">
        <f t="shared" si="28"/>
        <v>-774.79720632882</v>
      </c>
      <c r="I44" s="6">
        <f t="shared" si="28"/>
        <v>-832.7572423095068</v>
      </c>
      <c r="J44" s="6">
        <f t="shared" si="28"/>
        <v>-895.082828200259</v>
      </c>
      <c r="K44" s="6">
        <f t="shared" si="28"/>
        <v>-962.1027772203026</v>
      </c>
      <c r="L44" s="6">
        <f t="shared" si="28"/>
        <v>-1034.170668800536</v>
      </c>
      <c r="M44" s="6">
        <f t="shared" si="28"/>
        <v>-1111.6667139745923</v>
      </c>
    </row>
    <row r="45" spans="1:13" s="1" customFormat="1" ht="12.75">
      <c r="A45" s="1" t="s">
        <v>23</v>
      </c>
      <c r="C45" s="14">
        <f>C43+C44</f>
        <v>1538</v>
      </c>
      <c r="D45" s="14">
        <f>D43+D44</f>
        <v>1839.2294636800002</v>
      </c>
      <c r="E45" s="14">
        <f>E43+E44</f>
        <v>1976.5008764843778</v>
      </c>
      <c r="F45" s="14">
        <f aca="true" t="shared" si="29" ref="F45:M45">F43+F44</f>
        <v>2124.111572101181</v>
      </c>
      <c r="G45" s="14">
        <f t="shared" si="29"/>
        <v>2282.8403053118423</v>
      </c>
      <c r="H45" s="14">
        <f t="shared" si="29"/>
        <v>2453.52448670793</v>
      </c>
      <c r="I45" s="14">
        <f t="shared" si="29"/>
        <v>2637.064600646772</v>
      </c>
      <c r="J45" s="14">
        <f t="shared" si="29"/>
        <v>2834.4289559674867</v>
      </c>
      <c r="K45" s="14">
        <f t="shared" si="29"/>
        <v>3046.6587945309584</v>
      </c>
      <c r="L45" s="14">
        <f t="shared" si="29"/>
        <v>3274.8737845350306</v>
      </c>
      <c r="M45" s="14">
        <f t="shared" si="29"/>
        <v>3520.2779275862094</v>
      </c>
    </row>
    <row r="46" spans="1:13" ht="12.75">
      <c r="A46" s="6" t="s">
        <v>25</v>
      </c>
      <c r="B46" t="s">
        <v>24</v>
      </c>
      <c r="C46" s="6">
        <v>-673</v>
      </c>
      <c r="D46" s="6">
        <f>-D9*D17/1000</f>
        <v>-760.2767377891681</v>
      </c>
      <c r="E46" s="6">
        <f>-E9*E17/1000</f>
        <v>-823.4209257102988</v>
      </c>
      <c r="F46" s="6">
        <f aca="true" t="shared" si="30" ref="F46:M46">-F9*F17/1000</f>
        <v>-891.4975381865747</v>
      </c>
      <c r="G46" s="6">
        <f t="shared" si="30"/>
        <v>-964.8833775651171</v>
      </c>
      <c r="H46" s="6">
        <f t="shared" si="30"/>
        <v>-1043.9837857097211</v>
      </c>
      <c r="I46" s="6">
        <f t="shared" si="30"/>
        <v>-1129.2347983601683</v>
      </c>
      <c r="J46" s="6">
        <f t="shared" si="30"/>
        <v>-1221.1054619007714</v>
      </c>
      <c r="K46" s="6">
        <f t="shared" si="30"/>
        <v>-1320.100324775096</v>
      </c>
      <c r="L46" s="6">
        <f t="shared" si="30"/>
        <v>-1426.7621167056334</v>
      </c>
      <c r="M46" s="6">
        <f t="shared" si="30"/>
        <v>-1541.6746298684332</v>
      </c>
    </row>
    <row r="47" spans="1:13" s="1" customFormat="1" ht="12.75">
      <c r="A47" s="14" t="s">
        <v>85</v>
      </c>
      <c r="C47" s="14">
        <f>C45+C46</f>
        <v>865</v>
      </c>
      <c r="D47" s="14">
        <f aca="true" t="shared" si="31" ref="D47:M47">D45+D46</f>
        <v>1078.952725890832</v>
      </c>
      <c r="E47" s="14">
        <f t="shared" si="31"/>
        <v>1153.079950774079</v>
      </c>
      <c r="F47" s="14">
        <f t="shared" si="31"/>
        <v>1232.6140339146064</v>
      </c>
      <c r="G47" s="14">
        <f t="shared" si="31"/>
        <v>1317.9569277467251</v>
      </c>
      <c r="H47" s="14">
        <f t="shared" si="31"/>
        <v>1409.5407009982089</v>
      </c>
      <c r="I47" s="14">
        <f t="shared" si="31"/>
        <v>1507.8298022866036</v>
      </c>
      <c r="J47" s="14">
        <f t="shared" si="31"/>
        <v>1613.3234940667153</v>
      </c>
      <c r="K47" s="14">
        <f t="shared" si="31"/>
        <v>1726.5584697558625</v>
      </c>
      <c r="L47" s="14">
        <f t="shared" si="31"/>
        <v>1848.1116678293972</v>
      </c>
      <c r="M47" s="14">
        <f t="shared" si="31"/>
        <v>1978.6032977177763</v>
      </c>
    </row>
    <row r="48" spans="1:13" s="1" customFormat="1" ht="12.75">
      <c r="A48" s="14" t="s">
        <v>86</v>
      </c>
      <c r="C48" s="30">
        <f>C47/C45</f>
        <v>0.5624187256176854</v>
      </c>
      <c r="D48" s="30">
        <f aca="true" t="shared" si="32" ref="D48:M48">D47/D45</f>
        <v>0.5866330151823592</v>
      </c>
      <c r="E48" s="30">
        <f t="shared" si="32"/>
        <v>0.5833946063434456</v>
      </c>
      <c r="F48" s="30">
        <f t="shared" si="32"/>
        <v>0.5802962754424895</v>
      </c>
      <c r="G48" s="30">
        <f t="shared" si="32"/>
        <v>0.577332073855551</v>
      </c>
      <c r="H48" s="30">
        <f t="shared" si="32"/>
        <v>0.5744962842777619</v>
      </c>
      <c r="I48" s="30">
        <f t="shared" si="32"/>
        <v>0.5717834147547202</v>
      </c>
      <c r="J48" s="30">
        <f t="shared" si="32"/>
        <v>0.5691881924470509</v>
      </c>
      <c r="K48" s="30">
        <f t="shared" si="32"/>
        <v>0.5667055572009569</v>
      </c>
      <c r="L48" s="30">
        <f t="shared" si="32"/>
        <v>0.5643306549879124</v>
      </c>
      <c r="M48" s="30">
        <f t="shared" si="32"/>
        <v>0.5620588312680381</v>
      </c>
    </row>
    <row r="49" spans="1:13" ht="12.75">
      <c r="A49" s="6" t="s">
        <v>27</v>
      </c>
      <c r="B49" s="23">
        <v>0</v>
      </c>
      <c r="C49" s="6">
        <v>-293</v>
      </c>
      <c r="D49" s="6">
        <f>C49*(1-$B$49)</f>
        <v>-293</v>
      </c>
      <c r="E49" s="6">
        <f>D49*(1-$B$49)</f>
        <v>-293</v>
      </c>
      <c r="F49" s="6">
        <f aca="true" t="shared" si="33" ref="F49:M49">E49*(1-$B$49)</f>
        <v>-293</v>
      </c>
      <c r="G49" s="6">
        <f t="shared" si="33"/>
        <v>-293</v>
      </c>
      <c r="H49" s="6">
        <f t="shared" si="33"/>
        <v>-293</v>
      </c>
      <c r="I49" s="6">
        <f t="shared" si="33"/>
        <v>-293</v>
      </c>
      <c r="J49" s="6">
        <f t="shared" si="33"/>
        <v>-293</v>
      </c>
      <c r="K49" s="6">
        <f t="shared" si="33"/>
        <v>-293</v>
      </c>
      <c r="L49" s="6">
        <f t="shared" si="33"/>
        <v>-293</v>
      </c>
      <c r="M49" s="6">
        <f t="shared" si="33"/>
        <v>-293</v>
      </c>
    </row>
    <row r="50" spans="1:13" ht="12.75">
      <c r="A50" s="6" t="s">
        <v>28</v>
      </c>
      <c r="B50" s="4">
        <f>B20</f>
        <v>0.044</v>
      </c>
      <c r="C50" s="6">
        <f>-25-85-95</f>
        <v>-205</v>
      </c>
      <c r="D50" s="6">
        <f>C50*(1+$B$20)</f>
        <v>-214.02</v>
      </c>
      <c r="E50" s="6">
        <f aca="true" t="shared" si="34" ref="E50:M50">D50*(1+$B$20)</f>
        <v>-223.43688000000003</v>
      </c>
      <c r="F50" s="6">
        <f t="shared" si="34"/>
        <v>-233.26810272000003</v>
      </c>
      <c r="G50" s="6">
        <f t="shared" si="34"/>
        <v>-243.53189923968003</v>
      </c>
      <c r="H50" s="6">
        <f t="shared" si="34"/>
        <v>-254.24730280622597</v>
      </c>
      <c r="I50" s="6">
        <f t="shared" si="34"/>
        <v>-265.43418412969993</v>
      </c>
      <c r="J50" s="6">
        <f t="shared" si="34"/>
        <v>-277.1132882314067</v>
      </c>
      <c r="K50" s="6">
        <f t="shared" si="34"/>
        <v>-289.30627291358866</v>
      </c>
      <c r="L50" s="6">
        <f t="shared" si="34"/>
        <v>-302.0357489217866</v>
      </c>
      <c r="M50" s="6">
        <f t="shared" si="34"/>
        <v>-315.3253218743452</v>
      </c>
    </row>
    <row r="51" spans="1:13" ht="12.75">
      <c r="A51" s="6" t="s">
        <v>29</v>
      </c>
      <c r="B51" s="15">
        <f>B29</f>
        <v>0.061852528945764776</v>
      </c>
      <c r="C51" s="6">
        <v>-203</v>
      </c>
      <c r="D51" s="6">
        <f>D29</f>
        <v>-211.90676416819014</v>
      </c>
      <c r="E51" s="6">
        <f>E29</f>
        <v>-220.25685557586837</v>
      </c>
      <c r="F51" s="6">
        <f aca="true" t="shared" si="35" ref="F51:M51">F29</f>
        <v>-225.39061547836684</v>
      </c>
      <c r="G51" s="6">
        <f t="shared" si="35"/>
        <v>-229.59658744667885</v>
      </c>
      <c r="H51" s="6">
        <f t="shared" si="35"/>
        <v>-236.46221815965873</v>
      </c>
      <c r="I51" s="6">
        <f t="shared" si="35"/>
        <v>-245.86380255941498</v>
      </c>
      <c r="J51" s="6">
        <f t="shared" si="35"/>
        <v>-255.6983546617916</v>
      </c>
      <c r="K51" s="6">
        <f t="shared" si="35"/>
        <v>-265.96587446678853</v>
      </c>
      <c r="L51" s="6">
        <f t="shared" si="35"/>
        <v>-276.60450944546005</v>
      </c>
      <c r="M51" s="6">
        <f t="shared" si="35"/>
        <v>-287.30499695307736</v>
      </c>
    </row>
    <row r="52" spans="1:13" ht="12.75">
      <c r="A52" s="6" t="s">
        <v>30</v>
      </c>
      <c r="C52" s="6">
        <f>C47+C49+C50+C51</f>
        <v>164</v>
      </c>
      <c r="D52" s="6">
        <f aca="true" t="shared" si="36" ref="D52:M52">D47+D49+D50+D51</f>
        <v>360.02596172264185</v>
      </c>
      <c r="E52" s="6">
        <f t="shared" si="36"/>
        <v>416.3862151982106</v>
      </c>
      <c r="F52" s="6">
        <f t="shared" si="36"/>
        <v>480.9553157162395</v>
      </c>
      <c r="G52" s="6">
        <f t="shared" si="36"/>
        <v>551.8284410603662</v>
      </c>
      <c r="H52" s="6">
        <f t="shared" si="36"/>
        <v>625.8311800323241</v>
      </c>
      <c r="I52" s="6">
        <f t="shared" si="36"/>
        <v>703.5318155974887</v>
      </c>
      <c r="J52" s="6">
        <f t="shared" si="36"/>
        <v>787.5118511735168</v>
      </c>
      <c r="K52" s="6">
        <f t="shared" si="36"/>
        <v>878.2863223754853</v>
      </c>
      <c r="L52" s="6">
        <f t="shared" si="36"/>
        <v>976.4714094621506</v>
      </c>
      <c r="M52" s="6">
        <f t="shared" si="36"/>
        <v>1082.9729788903537</v>
      </c>
    </row>
    <row r="53" spans="1:13" ht="12.75">
      <c r="A53" s="6" t="s">
        <v>38</v>
      </c>
      <c r="C53" s="6">
        <f>-C51</f>
        <v>203</v>
      </c>
      <c r="D53" s="6">
        <f>-D51</f>
        <v>211.90676416819014</v>
      </c>
      <c r="E53" s="6">
        <f aca="true" t="shared" si="37" ref="E53:M53">-E51</f>
        <v>220.25685557586837</v>
      </c>
      <c r="F53" s="6">
        <f t="shared" si="37"/>
        <v>225.39061547836684</v>
      </c>
      <c r="G53" s="6">
        <f t="shared" si="37"/>
        <v>229.59658744667885</v>
      </c>
      <c r="H53" s="6">
        <f t="shared" si="37"/>
        <v>236.46221815965873</v>
      </c>
      <c r="I53" s="6">
        <f t="shared" si="37"/>
        <v>245.86380255941498</v>
      </c>
      <c r="J53" s="6">
        <f t="shared" si="37"/>
        <v>255.6983546617916</v>
      </c>
      <c r="K53" s="6">
        <f t="shared" si="37"/>
        <v>265.96587446678853</v>
      </c>
      <c r="L53" s="6">
        <f t="shared" si="37"/>
        <v>276.60450944546005</v>
      </c>
      <c r="M53" s="6">
        <f t="shared" si="37"/>
        <v>287.30499695307736</v>
      </c>
    </row>
    <row r="54" spans="1:13" s="1" customFormat="1" ht="12.75">
      <c r="A54" s="14" t="s">
        <v>39</v>
      </c>
      <c r="C54" s="14">
        <f>C52+C53</f>
        <v>367</v>
      </c>
      <c r="D54" s="14">
        <f>D52+D53</f>
        <v>571.932725890832</v>
      </c>
      <c r="E54" s="14">
        <f aca="true" t="shared" si="38" ref="E54:M54">E52+E53</f>
        <v>636.643070774079</v>
      </c>
      <c r="F54" s="14">
        <f t="shared" si="38"/>
        <v>706.3459311946064</v>
      </c>
      <c r="G54" s="14">
        <f t="shared" si="38"/>
        <v>781.4250285070451</v>
      </c>
      <c r="H54" s="14">
        <f t="shared" si="38"/>
        <v>862.2933981919829</v>
      </c>
      <c r="I54" s="14">
        <f t="shared" si="38"/>
        <v>949.3956181569038</v>
      </c>
      <c r="J54" s="14">
        <f t="shared" si="38"/>
        <v>1043.2102058353084</v>
      </c>
      <c r="K54" s="14">
        <f t="shared" si="38"/>
        <v>1144.2521968422739</v>
      </c>
      <c r="L54" s="14">
        <f t="shared" si="38"/>
        <v>1253.0759189076107</v>
      </c>
      <c r="M54" s="14">
        <f t="shared" si="38"/>
        <v>1370.277975843431</v>
      </c>
    </row>
    <row r="55" spans="1:13" s="1" customFormat="1" ht="12.75">
      <c r="A55" s="14" t="s">
        <v>84</v>
      </c>
      <c r="C55" s="30">
        <f aca="true" t="shared" si="39" ref="C55:M55">C54/C45</f>
        <v>0.23862158647594278</v>
      </c>
      <c r="D55" s="30">
        <f t="shared" si="39"/>
        <v>0.3109632251902312</v>
      </c>
      <c r="E55" s="30">
        <f t="shared" si="39"/>
        <v>0.3221061413878462</v>
      </c>
      <c r="F55" s="30">
        <f t="shared" si="39"/>
        <v>0.33253711362058336</v>
      </c>
      <c r="G55" s="30">
        <f t="shared" si="39"/>
        <v>0.3423038513420238</v>
      </c>
      <c r="H55" s="30">
        <f t="shared" si="39"/>
        <v>0.3514509037360307</v>
      </c>
      <c r="I55" s="30">
        <f t="shared" si="39"/>
        <v>0.3600198561400631</v>
      </c>
      <c r="J55" s="30">
        <f t="shared" si="39"/>
        <v>0.3680495161605578</v>
      </c>
      <c r="K55" s="30">
        <f t="shared" si="39"/>
        <v>0.3755760897466809</v>
      </c>
      <c r="L55" s="30">
        <f t="shared" si="39"/>
        <v>0.38263334752778067</v>
      </c>
      <c r="M55" s="30">
        <f t="shared" si="39"/>
        <v>0.38925278174925404</v>
      </c>
    </row>
    <row r="56" spans="1:13" ht="12.75">
      <c r="A56" s="6" t="s">
        <v>40</v>
      </c>
      <c r="B56" s="23">
        <v>0.33</v>
      </c>
      <c r="C56" s="6">
        <v>0</v>
      </c>
      <c r="D56" s="18">
        <f>-$B$56*D52</f>
        <v>-118.80856736847181</v>
      </c>
      <c r="E56" s="18">
        <f aca="true" t="shared" si="40" ref="E56:M56">-$B$56*E52</f>
        <v>-137.40745101540952</v>
      </c>
      <c r="F56" s="18">
        <f t="shared" si="40"/>
        <v>-158.71525418635903</v>
      </c>
      <c r="G56" s="18">
        <f t="shared" si="40"/>
        <v>-182.10338554992086</v>
      </c>
      <c r="H56" s="18">
        <f t="shared" si="40"/>
        <v>-206.52428941066697</v>
      </c>
      <c r="I56" s="18">
        <f t="shared" si="40"/>
        <v>-232.1654991471713</v>
      </c>
      <c r="J56" s="18">
        <f t="shared" si="40"/>
        <v>-259.87891088726053</v>
      </c>
      <c r="K56" s="18">
        <f t="shared" si="40"/>
        <v>-289.83448638391013</v>
      </c>
      <c r="L56" s="18">
        <f t="shared" si="40"/>
        <v>-322.23556512250974</v>
      </c>
      <c r="M56" s="18">
        <f t="shared" si="40"/>
        <v>-357.38108303381676</v>
      </c>
    </row>
    <row r="57" spans="1:13" ht="12.75">
      <c r="A57" s="6" t="s">
        <v>5</v>
      </c>
      <c r="D57" s="18">
        <f>-D24-D25</f>
        <v>-144</v>
      </c>
      <c r="E57" s="18">
        <f aca="true" t="shared" si="41" ref="E57:M57">-E24-E25</f>
        <v>-135</v>
      </c>
      <c r="F57" s="18">
        <f t="shared" si="41"/>
        <v>-83</v>
      </c>
      <c r="G57" s="18">
        <f t="shared" si="41"/>
        <v>-68</v>
      </c>
      <c r="H57" s="18">
        <f t="shared" si="41"/>
        <v>-111</v>
      </c>
      <c r="I57" s="18">
        <f t="shared" si="41"/>
        <v>-152</v>
      </c>
      <c r="J57" s="18">
        <f t="shared" si="41"/>
        <v>-159</v>
      </c>
      <c r="K57" s="18">
        <f t="shared" si="41"/>
        <v>-166</v>
      </c>
      <c r="L57" s="18">
        <f t="shared" si="41"/>
        <v>-172</v>
      </c>
      <c r="M57" s="18">
        <f t="shared" si="41"/>
        <v>-173</v>
      </c>
    </row>
    <row r="58" spans="1:13" ht="12.75">
      <c r="A58" s="6" t="s">
        <v>45</v>
      </c>
      <c r="D58" s="18">
        <f>-D36</f>
        <v>-25.163996524424732</v>
      </c>
      <c r="E58" s="18">
        <f aca="true" t="shared" si="42" ref="E58:M58">-E36</f>
        <v>-8.370662770376441</v>
      </c>
      <c r="F58" s="18">
        <f t="shared" si="42"/>
        <v>-9.01167129995936</v>
      </c>
      <c r="G58" s="18">
        <f t="shared" si="42"/>
        <v>-9.701643321580988</v>
      </c>
      <c r="H58" s="18">
        <f t="shared" si="42"/>
        <v>-10.444303387574067</v>
      </c>
      <c r="I58" s="18">
        <f t="shared" si="42"/>
        <v>-11.243658392387204</v>
      </c>
      <c r="J58" s="18">
        <f t="shared" si="42"/>
        <v>-12.104018924103954</v>
      </c>
      <c r="K58" s="18">
        <f t="shared" si="42"/>
        <v>-13.030022228101416</v>
      </c>
      <c r="L58" s="18">
        <f t="shared" si="42"/>
        <v>-14.026656904448117</v>
      </c>
      <c r="M58" s="18">
        <f t="shared" si="42"/>
        <v>-15.099289469817677</v>
      </c>
    </row>
    <row r="59" spans="1:13" ht="12.75">
      <c r="A59" s="14" t="s">
        <v>46</v>
      </c>
      <c r="D59" s="18">
        <f>D54+D56+D57+D58</f>
        <v>283.9601619979354</v>
      </c>
      <c r="E59" s="18">
        <f aca="true" t="shared" si="43" ref="E59:M59">E54+E56+E57+E58</f>
        <v>355.86495698829305</v>
      </c>
      <c r="F59" s="18">
        <f t="shared" si="43"/>
        <v>455.61900570828794</v>
      </c>
      <c r="G59" s="18">
        <f t="shared" si="43"/>
        <v>521.6199996355433</v>
      </c>
      <c r="H59" s="18">
        <f t="shared" si="43"/>
        <v>534.3248053937418</v>
      </c>
      <c r="I59" s="18">
        <f t="shared" si="43"/>
        <v>553.9864606173453</v>
      </c>
      <c r="J59" s="18">
        <f t="shared" si="43"/>
        <v>612.227276023944</v>
      </c>
      <c r="K59" s="18">
        <f t="shared" si="43"/>
        <v>675.3876882302623</v>
      </c>
      <c r="L59" s="18">
        <f t="shared" si="43"/>
        <v>744.8136968806527</v>
      </c>
      <c r="M59" s="18">
        <f t="shared" si="43"/>
        <v>824.7976033397965</v>
      </c>
    </row>
    <row r="60" spans="1:13" ht="12.75">
      <c r="A60" s="14" t="s">
        <v>90</v>
      </c>
      <c r="D60" s="18">
        <f>D59</f>
        <v>283.9601619979354</v>
      </c>
      <c r="E60" s="18">
        <f>D60+E59</f>
        <v>639.8251189862285</v>
      </c>
      <c r="F60" s="18">
        <f aca="true" t="shared" si="44" ref="F60:M60">E60+F59</f>
        <v>1095.4441246945164</v>
      </c>
      <c r="G60" s="18">
        <f t="shared" si="44"/>
        <v>1617.0641243300597</v>
      </c>
      <c r="H60" s="18">
        <f t="shared" si="44"/>
        <v>2151.3889297238015</v>
      </c>
      <c r="I60" s="18">
        <f t="shared" si="44"/>
        <v>2705.375390341147</v>
      </c>
      <c r="J60" s="18">
        <f t="shared" si="44"/>
        <v>3317.602666365091</v>
      </c>
      <c r="K60" s="18">
        <f t="shared" si="44"/>
        <v>3992.990354595353</v>
      </c>
      <c r="L60" s="18">
        <f t="shared" si="44"/>
        <v>4737.804051476006</v>
      </c>
      <c r="M60" s="18">
        <f t="shared" si="44"/>
        <v>5562.601654815802</v>
      </c>
    </row>
    <row r="61" spans="1:13" ht="12.75">
      <c r="A61" t="s">
        <v>18</v>
      </c>
      <c r="B61" s="4">
        <v>0.1069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2.75">
      <c r="A62" s="6" t="s">
        <v>47</v>
      </c>
      <c r="D62">
        <v>1</v>
      </c>
      <c r="E62">
        <f>D62+1</f>
        <v>2</v>
      </c>
      <c r="F62">
        <f aca="true" t="shared" si="45" ref="F62:M62">E62+1</f>
        <v>3</v>
      </c>
      <c r="G62">
        <f t="shared" si="45"/>
        <v>4</v>
      </c>
      <c r="H62">
        <f t="shared" si="45"/>
        <v>5</v>
      </c>
      <c r="I62">
        <f t="shared" si="45"/>
        <v>6</v>
      </c>
      <c r="J62">
        <f t="shared" si="45"/>
        <v>7</v>
      </c>
      <c r="K62">
        <f t="shared" si="45"/>
        <v>8</v>
      </c>
      <c r="L62">
        <f t="shared" si="45"/>
        <v>9</v>
      </c>
      <c r="M62">
        <f t="shared" si="45"/>
        <v>10</v>
      </c>
    </row>
    <row r="63" spans="1:13" ht="12.75">
      <c r="A63" s="14" t="s">
        <v>48</v>
      </c>
      <c r="D63" s="18">
        <f>D59/(1+$B$61)^D62</f>
        <v>256.5364188254905</v>
      </c>
      <c r="E63" s="18">
        <f aca="true" t="shared" si="46" ref="E63:M63">E59/(1+$B$61)^E62</f>
        <v>290.4480392735298</v>
      </c>
      <c r="F63" s="18">
        <f t="shared" si="46"/>
        <v>335.95156582833266</v>
      </c>
      <c r="G63" s="18">
        <f t="shared" si="46"/>
        <v>347.4726966404549</v>
      </c>
      <c r="H63" s="18">
        <f t="shared" si="46"/>
        <v>321.56102106565896</v>
      </c>
      <c r="I63" s="18">
        <f t="shared" si="46"/>
        <v>301.19574068482746</v>
      </c>
      <c r="J63" s="18">
        <f t="shared" si="46"/>
        <v>300.7142179627513</v>
      </c>
      <c r="K63" s="18">
        <f t="shared" si="46"/>
        <v>299.6995148851696</v>
      </c>
      <c r="L63" s="18">
        <f t="shared" si="46"/>
        <v>298.58787470196813</v>
      </c>
      <c r="M63" s="18">
        <f t="shared" si="46"/>
        <v>298.7194602324491</v>
      </c>
    </row>
    <row r="64" spans="1:13" ht="12.75">
      <c r="A64" s="24" t="s">
        <v>49</v>
      </c>
      <c r="D64" s="18">
        <f>D63</f>
        <v>256.5364188254905</v>
      </c>
      <c r="E64" s="18">
        <f>D64+E63</f>
        <v>546.9844580990202</v>
      </c>
      <c r="F64" s="18">
        <f aca="true" t="shared" si="47" ref="F64:M64">E64+F63</f>
        <v>882.9360239273528</v>
      </c>
      <c r="G64" s="18">
        <f t="shared" si="47"/>
        <v>1230.4087205678077</v>
      </c>
      <c r="H64" s="18">
        <f t="shared" si="47"/>
        <v>1551.9697416334666</v>
      </c>
      <c r="I64" s="18">
        <f t="shared" si="47"/>
        <v>1853.165482318294</v>
      </c>
      <c r="J64" s="18">
        <f t="shared" si="47"/>
        <v>2153.879700281045</v>
      </c>
      <c r="K64" s="18">
        <f t="shared" si="47"/>
        <v>2453.579215166215</v>
      </c>
      <c r="L64" s="18">
        <f t="shared" si="47"/>
        <v>2752.167089868183</v>
      </c>
      <c r="M64" s="18">
        <f t="shared" si="47"/>
        <v>3050.886550100632</v>
      </c>
    </row>
    <row r="65" spans="1:13" ht="12.75">
      <c r="A65" s="24" t="s">
        <v>50</v>
      </c>
      <c r="B65" s="6">
        <f>M63/B61</f>
        <v>2794.382228554248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3" ht="12.75">
      <c r="A66" s="24" t="s">
        <v>51</v>
      </c>
      <c r="B66" s="6">
        <f>B65/(1+B61)^M62</f>
        <v>1012.0499230560713</v>
      </c>
      <c r="C66">
        <f>B66/B67</f>
        <v>0.24909321859757208</v>
      </c>
    </row>
    <row r="67" spans="1:2" ht="12.75">
      <c r="A67" s="24" t="s">
        <v>52</v>
      </c>
      <c r="B67" s="6">
        <f>B66+M64</f>
        <v>4062.9364731567034</v>
      </c>
    </row>
    <row r="68" spans="1:3" ht="13.5" thickBot="1">
      <c r="A68" t="s">
        <v>6</v>
      </c>
      <c r="B68" s="8">
        <v>-417.88</v>
      </c>
      <c r="C68" t="s">
        <v>53</v>
      </c>
    </row>
    <row r="69" spans="1:2" ht="13.5" thickBot="1">
      <c r="A69" s="24" t="s">
        <v>54</v>
      </c>
      <c r="B69" s="25">
        <f>B67+B68</f>
        <v>3645.0564731567033</v>
      </c>
    </row>
    <row r="70" ht="12.75">
      <c r="B70" s="6">
        <v>3645</v>
      </c>
    </row>
    <row r="71" ht="12.75">
      <c r="B71">
        <f>B69/B70</f>
        <v>1.000015493321455</v>
      </c>
    </row>
  </sheetData>
  <sheetProtection/>
  <printOptions/>
  <pageMargins left="0.787401575" right="0.787401575" top="0.984251969" bottom="0.984251969" header="0.492125985" footer="0.49212598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0"/>
  <sheetViews>
    <sheetView zoomScale="120" zoomScaleNormal="120" zoomScalePageLayoutView="0" workbookViewId="0" topLeftCell="A55">
      <selection activeCell="C30" sqref="C30"/>
    </sheetView>
  </sheetViews>
  <sheetFormatPr defaultColWidth="9.140625" defaultRowHeight="12.75"/>
  <cols>
    <col min="1" max="1" width="26.8515625" style="0" customWidth="1"/>
    <col min="2" max="2" width="14.28125" style="0" customWidth="1"/>
    <col min="3" max="13" width="11.7109375" style="0" customWidth="1"/>
  </cols>
  <sheetData>
    <row r="3" spans="2:13" s="1" customFormat="1" ht="12.75">
      <c r="B3" s="1" t="s">
        <v>67</v>
      </c>
      <c r="C3" s="26">
        <v>35064</v>
      </c>
      <c r="D3" s="26">
        <v>35430</v>
      </c>
      <c r="E3" s="26">
        <v>35795</v>
      </c>
      <c r="F3" s="26">
        <v>36160</v>
      </c>
      <c r="G3" s="26">
        <v>36525</v>
      </c>
      <c r="H3" s="26">
        <v>36891</v>
      </c>
      <c r="I3" s="26">
        <v>37256</v>
      </c>
      <c r="J3" s="26">
        <v>37621</v>
      </c>
      <c r="K3" s="26">
        <v>37986</v>
      </c>
      <c r="L3" s="26">
        <v>38352</v>
      </c>
      <c r="M3" s="26">
        <v>38717</v>
      </c>
    </row>
    <row r="4" spans="1:13" s="1" customFormat="1" ht="12.75">
      <c r="A4" s="1" t="s">
        <v>56</v>
      </c>
      <c r="C4" s="27">
        <f>SUM(C5:C7)</f>
        <v>412</v>
      </c>
      <c r="D4" s="27">
        <f aca="true" t="shared" si="0" ref="D4:M4">SUM(D5:D7)</f>
        <v>409.170775804601</v>
      </c>
      <c r="E4" s="27">
        <f t="shared" si="0"/>
        <v>425.85656465428235</v>
      </c>
      <c r="F4" s="27">
        <f t="shared" si="0"/>
        <v>442.5652141577665</v>
      </c>
      <c r="G4" s="27">
        <f t="shared" si="0"/>
        <v>474.72495892408256</v>
      </c>
      <c r="H4" s="27">
        <f t="shared" si="0"/>
        <v>477.2609597690233</v>
      </c>
      <c r="I4" s="27">
        <f t="shared" si="0"/>
        <v>508.9611723237984</v>
      </c>
      <c r="J4" s="27">
        <f t="shared" si="0"/>
        <v>519.7388513295091</v>
      </c>
      <c r="K4" s="27">
        <f t="shared" si="0"/>
        <v>541.2777044024058</v>
      </c>
      <c r="L4" s="27">
        <f t="shared" si="0"/>
        <v>571.4155552015468</v>
      </c>
      <c r="M4" s="27">
        <f t="shared" si="0"/>
        <v>602.7219880319441</v>
      </c>
    </row>
    <row r="5" spans="1:13" s="6" customFormat="1" ht="12.75">
      <c r="A5" s="6" t="s">
        <v>92</v>
      </c>
      <c r="B5" s="6" t="s">
        <v>83</v>
      </c>
      <c r="C5" s="6">
        <v>38</v>
      </c>
      <c r="D5" s="6">
        <f>FLC!C9+C5</f>
        <v>1.4519438046010151</v>
      </c>
      <c r="E5" s="6">
        <f>FLC!D9+D5</f>
        <v>3.320870228042324</v>
      </c>
      <c r="F5" s="6">
        <f>FLC!E9+E5</f>
        <v>4.09665122734215</v>
      </c>
      <c r="G5" s="6">
        <f>FLC!F9+F5</f>
        <v>19.12346383373854</v>
      </c>
      <c r="H5" s="6">
        <f>FLC!G9+G5</f>
        <v>3.236080068474635</v>
      </c>
      <c r="I5" s="6">
        <f>FLC!H9+H5</f>
        <v>15.125258684204383</v>
      </c>
      <c r="J5" s="6">
        <f>FLC!I9+I5</f>
        <v>4.599736674580882</v>
      </c>
      <c r="K5" s="6">
        <f>FLC!J9+J5</f>
        <v>3.2308316316682664</v>
      </c>
      <c r="L5" s="6">
        <f>FLC!K9+K5</f>
        <v>8.735511973717294</v>
      </c>
      <c r="M5" s="6">
        <f>FLC!L9+L5</f>
        <v>13.5534039481944</v>
      </c>
    </row>
    <row r="6" spans="1:13" s="6" customFormat="1" ht="12.75">
      <c r="A6" s="6" t="s">
        <v>55</v>
      </c>
      <c r="B6" s="8">
        <f>FOC!B32</f>
        <v>29.94212380473075</v>
      </c>
      <c r="C6" s="6">
        <v>163</v>
      </c>
      <c r="D6" s="6">
        <f>FOC!D32</f>
        <v>196.71883200000002</v>
      </c>
      <c r="E6" s="6">
        <f>FOC!E32</f>
        <v>211.53569442624</v>
      </c>
      <c r="F6" s="6">
        <f>FOC!F32</f>
        <v>227.46856293042435</v>
      </c>
      <c r="G6" s="6">
        <f>FOC!G32</f>
        <v>244.601495090344</v>
      </c>
      <c r="H6" s="6">
        <f>FOC!H32</f>
        <v>263.0248797005487</v>
      </c>
      <c r="I6" s="6">
        <f>FOC!I32</f>
        <v>282.835913639594</v>
      </c>
      <c r="J6" s="6">
        <f>FOC!J32</f>
        <v>304.1391146549283</v>
      </c>
      <c r="K6" s="6">
        <f>FOC!K32</f>
        <v>327.04687277073754</v>
      </c>
      <c r="L6" s="6">
        <f>FOC!L32</f>
        <v>351.6800432278296</v>
      </c>
      <c r="M6" s="6">
        <f>FOC!M32</f>
        <v>378.1685840837497</v>
      </c>
    </row>
    <row r="7" spans="1:13" s="6" customFormat="1" ht="12.75">
      <c r="A7" s="6" t="s">
        <v>57</v>
      </c>
      <c r="B7" s="8" t="s">
        <v>26</v>
      </c>
      <c r="C7" s="6">
        <v>211</v>
      </c>
      <c r="D7" s="6">
        <f>C7</f>
        <v>211</v>
      </c>
      <c r="E7" s="6">
        <f aca="true" t="shared" si="1" ref="E7:M7">D7</f>
        <v>211</v>
      </c>
      <c r="F7" s="6">
        <f t="shared" si="1"/>
        <v>211</v>
      </c>
      <c r="G7" s="6">
        <f t="shared" si="1"/>
        <v>211</v>
      </c>
      <c r="H7" s="6">
        <f t="shared" si="1"/>
        <v>211</v>
      </c>
      <c r="I7" s="6">
        <f t="shared" si="1"/>
        <v>211</v>
      </c>
      <c r="J7" s="6">
        <f t="shared" si="1"/>
        <v>211</v>
      </c>
      <c r="K7" s="6">
        <f t="shared" si="1"/>
        <v>211</v>
      </c>
      <c r="L7" s="6">
        <f t="shared" si="1"/>
        <v>211</v>
      </c>
      <c r="M7" s="6">
        <f t="shared" si="1"/>
        <v>211</v>
      </c>
    </row>
    <row r="8" s="6" customFormat="1" ht="12.75"/>
    <row r="9" spans="1:13" s="14" customFormat="1" ht="12.75">
      <c r="A9" s="1" t="s">
        <v>58</v>
      </c>
      <c r="B9" s="29" t="s">
        <v>70</v>
      </c>
      <c r="C9" s="14">
        <v>388.4</v>
      </c>
      <c r="D9" s="14">
        <f>$C$9*-0.2+C9</f>
        <v>310.71999999999997</v>
      </c>
      <c r="E9" s="14">
        <f>$C$9*-0.2+D9</f>
        <v>233.03999999999996</v>
      </c>
      <c r="F9" s="14">
        <f>$C$9*-0.2+E9</f>
        <v>155.35999999999996</v>
      </c>
      <c r="G9" s="14">
        <f>$C$9*-0.2+F9</f>
        <v>77.67999999999995</v>
      </c>
      <c r="H9" s="14">
        <f>$C$9*-0.2+G9</f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</row>
    <row r="10" s="6" customFormat="1" ht="12.75"/>
    <row r="11" spans="1:13" s="14" customFormat="1" ht="12.75">
      <c r="A11" s="14" t="s">
        <v>59</v>
      </c>
      <c r="C11" s="14">
        <f>C12+C13</f>
        <v>3026</v>
      </c>
      <c r="D11" s="14">
        <f aca="true" t="shared" si="2" ref="D11:M11">D12+D13</f>
        <v>2958.0932358318096</v>
      </c>
      <c r="E11" s="14">
        <f t="shared" si="2"/>
        <v>2872.8363802559415</v>
      </c>
      <c r="F11" s="14">
        <f t="shared" si="2"/>
        <v>2730.445764777575</v>
      </c>
      <c r="G11" s="14">
        <f t="shared" si="2"/>
        <v>2568.849177330896</v>
      </c>
      <c r="H11" s="14">
        <f t="shared" si="2"/>
        <v>2443.3869591712373</v>
      </c>
      <c r="I11" s="14">
        <f t="shared" si="2"/>
        <v>2349.5231566118223</v>
      </c>
      <c r="J11" s="14">
        <f t="shared" si="2"/>
        <v>2252.8248019500306</v>
      </c>
      <c r="K11" s="14">
        <f t="shared" si="2"/>
        <v>2152.858927483242</v>
      </c>
      <c r="L11" s="14">
        <f t="shared" si="2"/>
        <v>2048.2544180377818</v>
      </c>
      <c r="M11" s="14">
        <f t="shared" si="2"/>
        <v>1933.9494210847042</v>
      </c>
    </row>
    <row r="12" spans="1:13" s="6" customFormat="1" ht="12.75">
      <c r="A12" s="6" t="s">
        <v>60</v>
      </c>
      <c r="B12" s="8" t="s">
        <v>26</v>
      </c>
      <c r="C12" s="6">
        <f>41+329</f>
        <v>370</v>
      </c>
      <c r="D12" s="6">
        <f aca="true" t="shared" si="3" ref="D12:M12">41+329</f>
        <v>370</v>
      </c>
      <c r="E12" s="6">
        <f t="shared" si="3"/>
        <v>370</v>
      </c>
      <c r="F12" s="6">
        <f t="shared" si="3"/>
        <v>370</v>
      </c>
      <c r="G12" s="6">
        <f t="shared" si="3"/>
        <v>370</v>
      </c>
      <c r="H12" s="6">
        <f t="shared" si="3"/>
        <v>370</v>
      </c>
      <c r="I12" s="6">
        <f t="shared" si="3"/>
        <v>370</v>
      </c>
      <c r="J12" s="6">
        <f t="shared" si="3"/>
        <v>370</v>
      </c>
      <c r="K12" s="6">
        <f t="shared" si="3"/>
        <v>370</v>
      </c>
      <c r="L12" s="6">
        <f t="shared" si="3"/>
        <v>370</v>
      </c>
      <c r="M12" s="6">
        <f t="shared" si="3"/>
        <v>370</v>
      </c>
    </row>
    <row r="13" spans="1:13" s="6" customFormat="1" ht="12.75">
      <c r="A13" s="6" t="s">
        <v>32</v>
      </c>
      <c r="C13" s="6">
        <f>+FOC!C28</f>
        <v>2656</v>
      </c>
      <c r="D13" s="6">
        <f>+FOC!D28</f>
        <v>2588.0932358318096</v>
      </c>
      <c r="E13" s="6">
        <f>+FOC!E28</f>
        <v>2502.8363802559415</v>
      </c>
      <c r="F13" s="6">
        <f>+FOC!F28</f>
        <v>2360.445764777575</v>
      </c>
      <c r="G13" s="6">
        <f>+FOC!G28</f>
        <v>2198.849177330896</v>
      </c>
      <c r="H13" s="6">
        <f>+FOC!H28</f>
        <v>2073.3869591712373</v>
      </c>
      <c r="I13" s="6">
        <f>+FOC!I28</f>
        <v>1979.5231566118223</v>
      </c>
      <c r="J13" s="6">
        <f>+FOC!J28</f>
        <v>1882.8248019500306</v>
      </c>
      <c r="K13" s="6">
        <f>+FOC!K28</f>
        <v>1782.858927483242</v>
      </c>
      <c r="L13" s="6">
        <f>+FOC!L28</f>
        <v>1678.2544180377818</v>
      </c>
      <c r="M13" s="6">
        <f>+FOC!M28</f>
        <v>1563.9494210847042</v>
      </c>
    </row>
    <row r="14" s="6" customFormat="1" ht="12.75"/>
    <row r="15" spans="1:13" s="14" customFormat="1" ht="12.75">
      <c r="A15" s="14" t="s">
        <v>61</v>
      </c>
      <c r="C15" s="14">
        <f aca="true" t="shared" si="4" ref="C15:M15">C11+C9+C4</f>
        <v>3826.4</v>
      </c>
      <c r="D15" s="14">
        <f t="shared" si="4"/>
        <v>3677.9840116364103</v>
      </c>
      <c r="E15" s="14">
        <f t="shared" si="4"/>
        <v>3531.732944910224</v>
      </c>
      <c r="F15" s="14">
        <f t="shared" si="4"/>
        <v>3328.3709789353416</v>
      </c>
      <c r="G15" s="14">
        <f t="shared" si="4"/>
        <v>3121.254136254978</v>
      </c>
      <c r="H15" s="14">
        <f t="shared" si="4"/>
        <v>2920.6479189402608</v>
      </c>
      <c r="I15" s="14">
        <f t="shared" si="4"/>
        <v>2858.484328935621</v>
      </c>
      <c r="J15" s="14">
        <f t="shared" si="4"/>
        <v>2772.5636532795397</v>
      </c>
      <c r="K15" s="14">
        <f t="shared" si="4"/>
        <v>2694.136631885648</v>
      </c>
      <c r="L15" s="14">
        <f t="shared" si="4"/>
        <v>2619.6699732393286</v>
      </c>
      <c r="M15" s="14">
        <f t="shared" si="4"/>
        <v>2536.671409116648</v>
      </c>
    </row>
    <row r="16" s="6" customFormat="1" ht="12.75"/>
    <row r="17" spans="1:13" s="14" customFormat="1" ht="12.75">
      <c r="A17" s="14" t="s">
        <v>62</v>
      </c>
      <c r="C17" s="14">
        <f>+C18+C19</f>
        <v>313</v>
      </c>
      <c r="D17" s="14">
        <f aca="true" t="shared" si="5" ref="D17:M17">+D18+D19</f>
        <v>321.55483547557526</v>
      </c>
      <c r="E17" s="14">
        <f t="shared" si="5"/>
        <v>328.0010351314388</v>
      </c>
      <c r="F17" s="14">
        <f t="shared" si="5"/>
        <v>334.9222323356638</v>
      </c>
      <c r="G17" s="14">
        <f t="shared" si="5"/>
        <v>342.3535211740025</v>
      </c>
      <c r="H17" s="14">
        <f t="shared" si="5"/>
        <v>350.3326023966331</v>
      </c>
      <c r="I17" s="14">
        <f t="shared" si="5"/>
        <v>358.8999779432912</v>
      </c>
      <c r="J17" s="14">
        <f t="shared" si="5"/>
        <v>368.09916003452156</v>
      </c>
      <c r="K17" s="14">
        <f t="shared" si="5"/>
        <v>377.97689592222935</v>
      </c>
      <c r="L17" s="14">
        <f t="shared" si="5"/>
        <v>388.5834094748733</v>
      </c>
      <c r="M17" s="14">
        <f t="shared" si="5"/>
        <v>399.97266086097574</v>
      </c>
    </row>
    <row r="18" spans="1:13" s="6" customFormat="1" ht="12.75">
      <c r="A18" s="6" t="s">
        <v>44</v>
      </c>
      <c r="B18" s="8">
        <f>FOC!B34</f>
        <v>32.42596810933941</v>
      </c>
      <c r="C18" s="6">
        <f>FOC!C34</f>
        <v>78</v>
      </c>
      <c r="D18" s="6">
        <f>FOC!D34</f>
        <v>86.55483547557529</v>
      </c>
      <c r="E18" s="6">
        <f>FOC!E34</f>
        <v>93.00103513143884</v>
      </c>
      <c r="F18" s="6">
        <f>FOC!F34</f>
        <v>99.92223233566382</v>
      </c>
      <c r="G18" s="6">
        <f>FOC!G34</f>
        <v>107.35352117400248</v>
      </c>
      <c r="H18" s="6">
        <f>FOC!H34</f>
        <v>115.3326023966331</v>
      </c>
      <c r="I18" s="6">
        <f>FOC!I34</f>
        <v>123.89997794329123</v>
      </c>
      <c r="J18" s="6">
        <f>FOC!J34</f>
        <v>133.09916003452153</v>
      </c>
      <c r="K18" s="6">
        <f>FOC!K34</f>
        <v>142.97689592222937</v>
      </c>
      <c r="L18" s="6">
        <f>FOC!L34</f>
        <v>153.5834094748733</v>
      </c>
      <c r="M18" s="6">
        <f>FOC!M34</f>
        <v>164.97266086097574</v>
      </c>
    </row>
    <row r="19" spans="1:13" s="6" customFormat="1" ht="12.75">
      <c r="A19" s="6" t="s">
        <v>57</v>
      </c>
      <c r="B19" s="8" t="s">
        <v>26</v>
      </c>
      <c r="C19" s="6">
        <f>122+113</f>
        <v>235</v>
      </c>
      <c r="D19" s="6">
        <f>C19</f>
        <v>235</v>
      </c>
      <c r="E19" s="6">
        <f aca="true" t="shared" si="6" ref="E19:M19">D19</f>
        <v>235</v>
      </c>
      <c r="F19" s="6">
        <f t="shared" si="6"/>
        <v>235</v>
      </c>
      <c r="G19" s="6">
        <f t="shared" si="6"/>
        <v>235</v>
      </c>
      <c r="H19" s="6">
        <f t="shared" si="6"/>
        <v>235</v>
      </c>
      <c r="I19" s="6">
        <f t="shared" si="6"/>
        <v>235</v>
      </c>
      <c r="J19" s="6">
        <f t="shared" si="6"/>
        <v>235</v>
      </c>
      <c r="K19" s="6">
        <f t="shared" si="6"/>
        <v>235</v>
      </c>
      <c r="L19" s="6">
        <f t="shared" si="6"/>
        <v>235</v>
      </c>
      <c r="M19" s="6">
        <f t="shared" si="6"/>
        <v>235</v>
      </c>
    </row>
    <row r="20" s="6" customFormat="1" ht="12.75"/>
    <row r="21" spans="1:13" s="14" customFormat="1" ht="12.75">
      <c r="A21" s="14" t="s">
        <v>63</v>
      </c>
      <c r="B21" s="8" t="s">
        <v>68</v>
      </c>
      <c r="C21" s="14">
        <v>1201.4</v>
      </c>
      <c r="D21" s="14">
        <f>$C$21*-0.2+C21</f>
        <v>961.1200000000001</v>
      </c>
      <c r="E21" s="14">
        <f>$C$21*-0.2+D21</f>
        <v>720.8400000000001</v>
      </c>
      <c r="F21" s="14">
        <f>$C$21*-0.2+E21</f>
        <v>480.5600000000001</v>
      </c>
      <c r="G21" s="14">
        <f>$C$21*-0.2+F21</f>
        <v>240.2800000000001</v>
      </c>
      <c r="H21" s="14">
        <f>$C$21*-0.2+G21</f>
        <v>0</v>
      </c>
      <c r="I21" s="14">
        <f>H21</f>
        <v>0</v>
      </c>
      <c r="J21" s="14">
        <f>I21</f>
        <v>0</v>
      </c>
      <c r="K21" s="14">
        <f>J21</f>
        <v>0</v>
      </c>
      <c r="L21" s="14">
        <f>K21</f>
        <v>0</v>
      </c>
      <c r="M21" s="14">
        <f>L21</f>
        <v>0</v>
      </c>
    </row>
    <row r="22" s="6" customFormat="1" ht="12.75"/>
    <row r="23" spans="1:13" s="14" customFormat="1" ht="12.75">
      <c r="A23" s="14" t="s">
        <v>64</v>
      </c>
      <c r="C23" s="14">
        <f>C24+C25</f>
        <v>2312</v>
      </c>
      <c r="D23" s="14">
        <f>SUM(D24:D26)</f>
        <v>2395.3091761608357</v>
      </c>
      <c r="E23" s="14">
        <f>SUM(E24:E26)</f>
        <v>2482.8919097787852</v>
      </c>
      <c r="F23" s="14">
        <f aca="true" t="shared" si="7" ref="F23:M23">SUM(F24:F26)</f>
        <v>2512.8887465996772</v>
      </c>
      <c r="G23" s="14">
        <f t="shared" si="7"/>
        <v>2538.6206150809758</v>
      </c>
      <c r="H23" s="14">
        <f t="shared" si="7"/>
        <v>2570.3153165436274</v>
      </c>
      <c r="I23" s="14">
        <f t="shared" si="7"/>
        <v>2499.5843509923293</v>
      </c>
      <c r="J23" s="14">
        <f t="shared" si="7"/>
        <v>2404.464493245018</v>
      </c>
      <c r="K23" s="14">
        <f t="shared" si="7"/>
        <v>2316.159735963418</v>
      </c>
      <c r="L23" s="14">
        <f t="shared" si="7"/>
        <v>2231.0865637644556</v>
      </c>
      <c r="M23" s="14">
        <f t="shared" si="7"/>
        <v>2136.6987482556724</v>
      </c>
    </row>
    <row r="24" spans="1:13" s="6" customFormat="1" ht="12.75">
      <c r="A24" s="6" t="s">
        <v>65</v>
      </c>
      <c r="C24" s="6">
        <v>2312</v>
      </c>
      <c r="D24" s="6">
        <f>C24</f>
        <v>2312</v>
      </c>
      <c r="E24" s="6">
        <f aca="true" t="shared" si="8" ref="E24:M24">D24</f>
        <v>2312</v>
      </c>
      <c r="F24" s="6">
        <f t="shared" si="8"/>
        <v>2312</v>
      </c>
      <c r="G24" s="6">
        <f t="shared" si="8"/>
        <v>2312</v>
      </c>
      <c r="H24" s="6">
        <f t="shared" si="8"/>
        <v>2312</v>
      </c>
      <c r="I24" s="6">
        <f t="shared" si="8"/>
        <v>2312</v>
      </c>
      <c r="J24" s="6">
        <f t="shared" si="8"/>
        <v>2312</v>
      </c>
      <c r="K24" s="6">
        <f t="shared" si="8"/>
        <v>2312</v>
      </c>
      <c r="L24" s="6">
        <f t="shared" si="8"/>
        <v>2312</v>
      </c>
      <c r="M24" s="6">
        <f t="shared" si="8"/>
        <v>2312</v>
      </c>
    </row>
    <row r="25" spans="1:13" s="6" customFormat="1" ht="12.75">
      <c r="A25" s="6" t="s">
        <v>66</v>
      </c>
      <c r="D25" s="6">
        <f>DRE!D20</f>
        <v>122.51349435417005</v>
      </c>
      <c r="E25" s="6">
        <f>DRE!E20+D25</f>
        <v>304.97752272489777</v>
      </c>
      <c r="F25" s="6">
        <f>DRE!F20+E25</f>
        <v>554.9511628990012</v>
      </c>
      <c r="G25" s="6">
        <f>DRE!G20+F25</f>
        <v>876.5995189152322</v>
      </c>
      <c r="H25" s="6">
        <f>DRE!H20+G25</f>
        <v>1272.7832871983778</v>
      </c>
      <c r="I25" s="6">
        <f>DRE!I20+H25</f>
        <v>1744.3230575403654</v>
      </c>
      <c r="J25" s="6">
        <f>DRE!J20+I25</f>
        <v>2272.7667116920948</v>
      </c>
      <c r="K25" s="6">
        <f>DRE!K20+J25</f>
        <v>2861.465093569427</v>
      </c>
      <c r="L25" s="6">
        <f>DRE!L20+K25</f>
        <v>3515.8741104845258</v>
      </c>
      <c r="M25" s="6">
        <f>DRE!M20+L25</f>
        <v>4241.934229782853</v>
      </c>
    </row>
    <row r="26" spans="1:13" s="6" customFormat="1" ht="12.75">
      <c r="A26" s="6" t="s">
        <v>91</v>
      </c>
      <c r="B26" s="32">
        <f>+Holding!B11</f>
        <v>0.8454545454545452</v>
      </c>
      <c r="D26" s="6">
        <f>-DRE!D23</f>
        <v>-39.204318193334416</v>
      </c>
      <c r="E26" s="6">
        <f>D26-DRE!E23</f>
        <v>-134.08561294611283</v>
      </c>
      <c r="F26" s="6">
        <f>E26-DRE!F23</f>
        <v>-354.06241629932396</v>
      </c>
      <c r="G26" s="6">
        <f>F26-DRE!G23</f>
        <v>-649.9789038342565</v>
      </c>
      <c r="H26" s="6">
        <f>G26-DRE!H23</f>
        <v>-1014.4679706547504</v>
      </c>
      <c r="I26" s="6">
        <f>H26-DRE!I23</f>
        <v>-1556.7387065480361</v>
      </c>
      <c r="J26" s="6">
        <f>I26-DRE!J23</f>
        <v>-2180.302218447077</v>
      </c>
      <c r="K26" s="6">
        <f>J26-DRE!K23</f>
        <v>-2857.3053576060092</v>
      </c>
      <c r="L26" s="6">
        <f>K26-DRE!L23</f>
        <v>-3596.78754672007</v>
      </c>
      <c r="M26" s="6">
        <f>L26-DRE!M23</f>
        <v>-4417.235481527181</v>
      </c>
    </row>
    <row r="28" spans="1:13" s="1" customFormat="1" ht="12.75">
      <c r="A28" s="14" t="s">
        <v>69</v>
      </c>
      <c r="C28" s="27">
        <f aca="true" t="shared" si="9" ref="C28:M28">C23+C21+C17</f>
        <v>3826.4</v>
      </c>
      <c r="D28" s="27">
        <f t="shared" si="9"/>
        <v>3677.9840116364107</v>
      </c>
      <c r="E28" s="27">
        <f t="shared" si="9"/>
        <v>3531.7329449102244</v>
      </c>
      <c r="F28" s="27">
        <f t="shared" si="9"/>
        <v>3328.370978935341</v>
      </c>
      <c r="G28" s="27">
        <f t="shared" si="9"/>
        <v>3121.254136254978</v>
      </c>
      <c r="H28" s="27">
        <f t="shared" si="9"/>
        <v>2920.6479189402608</v>
      </c>
      <c r="I28" s="27">
        <f t="shared" si="9"/>
        <v>2858.4843289356204</v>
      </c>
      <c r="J28" s="27">
        <f t="shared" si="9"/>
        <v>2772.5636532795393</v>
      </c>
      <c r="K28" s="27">
        <f t="shared" si="9"/>
        <v>2694.136631885647</v>
      </c>
      <c r="L28" s="27">
        <f t="shared" si="9"/>
        <v>2619.669973239329</v>
      </c>
      <c r="M28" s="27">
        <f t="shared" si="9"/>
        <v>2536.671409116648</v>
      </c>
    </row>
    <row r="30" spans="1:13" ht="12.75">
      <c r="A30" t="s">
        <v>77</v>
      </c>
      <c r="C30" s="19">
        <f aca="true" t="shared" si="10" ref="C30:M30">C28-C15</f>
        <v>0</v>
      </c>
      <c r="D30" s="18">
        <f t="shared" si="10"/>
        <v>0</v>
      </c>
      <c r="E30" s="18">
        <f t="shared" si="10"/>
        <v>0</v>
      </c>
      <c r="F30" s="18">
        <f t="shared" si="10"/>
        <v>0</v>
      </c>
      <c r="G30" s="18">
        <f t="shared" si="10"/>
        <v>0</v>
      </c>
      <c r="H30" s="18">
        <f t="shared" si="10"/>
        <v>0</v>
      </c>
      <c r="I30" s="18">
        <f t="shared" si="10"/>
        <v>0</v>
      </c>
      <c r="J30" s="18">
        <f t="shared" si="10"/>
        <v>0</v>
      </c>
      <c r="K30" s="18">
        <f t="shared" si="10"/>
        <v>0</v>
      </c>
      <c r="L30" s="18">
        <f t="shared" si="10"/>
        <v>0</v>
      </c>
      <c r="M30" s="18">
        <f t="shared" si="10"/>
        <v>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14.421875" style="6" bestFit="1" customWidth="1"/>
    <col min="4" max="16384" width="9.140625" style="6" customWidth="1"/>
  </cols>
  <sheetData>
    <row r="2" spans="1:12" ht="12.75">
      <c r="A2" s="14" t="s">
        <v>78</v>
      </c>
      <c r="C2" s="2">
        <v>1996</v>
      </c>
      <c r="D2" s="2">
        <f aca="true" t="shared" si="0" ref="D2:L2">C2+1</f>
        <v>1997</v>
      </c>
      <c r="E2" s="2">
        <f t="shared" si="0"/>
        <v>1998</v>
      </c>
      <c r="F2" s="2">
        <f t="shared" si="0"/>
        <v>1999</v>
      </c>
      <c r="G2" s="2">
        <f t="shared" si="0"/>
        <v>2000</v>
      </c>
      <c r="H2" s="2">
        <f t="shared" si="0"/>
        <v>2001</v>
      </c>
      <c r="I2" s="2">
        <f t="shared" si="0"/>
        <v>2002</v>
      </c>
      <c r="J2" s="2">
        <f t="shared" si="0"/>
        <v>2003</v>
      </c>
      <c r="K2" s="2">
        <f t="shared" si="0"/>
        <v>2004</v>
      </c>
      <c r="L2" s="2">
        <f t="shared" si="0"/>
        <v>2005</v>
      </c>
    </row>
    <row r="3" spans="1:12" ht="12.75">
      <c r="A3" s="6" t="str">
        <f>FOC!A59</f>
        <v>Fluxo Operacional de Caixa</v>
      </c>
      <c r="B3" s="6">
        <f>FOC!B59</f>
        <v>0</v>
      </c>
      <c r="C3" s="6">
        <f>FOC!D59</f>
        <v>283.9601619979354</v>
      </c>
      <c r="D3" s="6">
        <f>FOC!E59</f>
        <v>355.86495698829305</v>
      </c>
      <c r="E3" s="6">
        <f>FOC!F59</f>
        <v>455.61900570828794</v>
      </c>
      <c r="F3" s="6">
        <f>FOC!G59</f>
        <v>521.6199996355433</v>
      </c>
      <c r="G3" s="6">
        <f>FOC!H59</f>
        <v>534.3248053937418</v>
      </c>
      <c r="H3" s="6">
        <f>FOC!I59</f>
        <v>553.9864606173453</v>
      </c>
      <c r="I3" s="6">
        <f>FOC!J59</f>
        <v>612.227276023944</v>
      </c>
      <c r="J3" s="6">
        <f>FOC!K59</f>
        <v>675.3876882302623</v>
      </c>
      <c r="K3" s="6">
        <f>FOC!L59</f>
        <v>744.8136968806527</v>
      </c>
      <c r="L3" s="6">
        <f>FOC!M59</f>
        <v>824.7976033397965</v>
      </c>
    </row>
    <row r="4" spans="1:12" ht="12.75">
      <c r="A4" s="6" t="s">
        <v>79</v>
      </c>
      <c r="C4" s="6">
        <f>-('BP'!D9-'BP'!C9)</f>
        <v>77.68</v>
      </c>
      <c r="D4" s="6">
        <f>-('BP'!E9-'BP'!D9)</f>
        <v>77.68</v>
      </c>
      <c r="E4" s="6">
        <f>-('BP'!F9-'BP'!E9)</f>
        <v>77.68</v>
      </c>
      <c r="F4" s="6">
        <f>-('BP'!G9-'BP'!F9)</f>
        <v>77.68</v>
      </c>
      <c r="G4" s="6">
        <f>-('BP'!H9-'BP'!G9)</f>
        <v>77.67999999999995</v>
      </c>
      <c r="H4" s="6">
        <f>-('BP'!I9-'BP'!H9)</f>
        <v>0</v>
      </c>
      <c r="I4" s="6">
        <f>-('BP'!J9-'BP'!I9)</f>
        <v>0</v>
      </c>
      <c r="J4" s="6">
        <f>-('BP'!K9-'BP'!J9)</f>
        <v>0</v>
      </c>
      <c r="K4" s="6">
        <f>-('BP'!L9-'BP'!K9)</f>
        <v>0</v>
      </c>
      <c r="L4" s="6">
        <f>-('BP'!M9-'BP'!L9)</f>
        <v>0</v>
      </c>
    </row>
    <row r="5" spans="1:12" ht="12.75">
      <c r="A5" s="6" t="s">
        <v>80</v>
      </c>
      <c r="C5" s="6">
        <f>'BP'!D21-'BP'!C21</f>
        <v>-240.27999999999997</v>
      </c>
      <c r="D5" s="6">
        <f>'BP'!E21-'BP'!D21</f>
        <v>-240.27999999999997</v>
      </c>
      <c r="E5" s="6">
        <f>'BP'!F21-'BP'!E21</f>
        <v>-240.28000000000003</v>
      </c>
      <c r="F5" s="6">
        <f>'BP'!G21-'BP'!F21</f>
        <v>-240.28000000000003</v>
      </c>
      <c r="G5" s="6">
        <f>'BP'!H21-'BP'!G21</f>
        <v>-240.2800000000001</v>
      </c>
      <c r="H5" s="6">
        <f>'BP'!I21-'BP'!H21</f>
        <v>0</v>
      </c>
      <c r="I5" s="6">
        <f>'BP'!J21-'BP'!I21</f>
        <v>0</v>
      </c>
      <c r="J5" s="6">
        <f>'BP'!K21-'BP'!J21</f>
        <v>0</v>
      </c>
      <c r="K5" s="6">
        <f>'BP'!L21-'BP'!K21</f>
        <v>0</v>
      </c>
      <c r="L5" s="6">
        <f>'BP'!M21-'BP'!L21</f>
        <v>0</v>
      </c>
    </row>
    <row r="6" spans="1:12" ht="12.75">
      <c r="A6" s="6" t="s">
        <v>81</v>
      </c>
      <c r="C6" s="6">
        <f>DRE!D17+DRE!D16</f>
        <v>-177.17000000000002</v>
      </c>
      <c r="D6" s="6">
        <f>DRE!E17+DRE!E16</f>
        <v>-144.0518444956319</v>
      </c>
      <c r="E6" s="6">
        <f>DRE!F17+DRE!F16</f>
        <v>-107.86033038175664</v>
      </c>
      <c r="F6" s="6">
        <f>DRE!G17+DRE!G16</f>
        <v>-71.75626790181265</v>
      </c>
      <c r="G6" s="6">
        <f>DRE!H17+DRE!H16</f>
        <v>-34.512122893300926</v>
      </c>
      <c r="H6" s="6">
        <f>DRE!I17+DRE!I16</f>
        <v>0.2588864054779708</v>
      </c>
      <c r="I6" s="6">
        <f>DRE!J17+DRE!J16</f>
        <v>1.2100206947363505</v>
      </c>
      <c r="J6" s="6">
        <f>DRE!K17+DRE!K16</f>
        <v>0.3679789339664706</v>
      </c>
      <c r="K6" s="6">
        <f>DRE!L17+DRE!L16</f>
        <v>0.2584665305334613</v>
      </c>
      <c r="L6" s="6">
        <f>DRE!M17+DRE!M16</f>
        <v>0.6988409578973835</v>
      </c>
    </row>
    <row r="7" spans="1:12" ht="12.75">
      <c r="A7" s="6" t="s">
        <v>82</v>
      </c>
      <c r="C7" s="6">
        <f>-FOC!D56+DRE!D19</f>
        <v>58.4661</v>
      </c>
      <c r="D7" s="6">
        <f>-FOC!E56+DRE!E19</f>
        <v>47.53710868355856</v>
      </c>
      <c r="E7" s="6">
        <f>-FOC!F56+DRE!F19</f>
        <v>35.59390902597967</v>
      </c>
      <c r="F7" s="6">
        <f>-FOC!G56+DRE!G19</f>
        <v>23.67956840759814</v>
      </c>
      <c r="G7" s="6">
        <f>-FOC!H56+DRE!H19</f>
        <v>11.389000554789277</v>
      </c>
      <c r="H7" s="6">
        <f>-FOC!I56+DRE!I19</f>
        <v>-0.08543251380771721</v>
      </c>
      <c r="I7" s="6">
        <f>-FOC!J56+DRE!J19</f>
        <v>-0.3993068292630255</v>
      </c>
      <c r="J7" s="6">
        <f>-FOC!K56+DRE!K19</f>
        <v>-0.12143304820892808</v>
      </c>
      <c r="K7" s="6">
        <f>-FOC!L56+DRE!L19</f>
        <v>-0.08529395507605386</v>
      </c>
      <c r="L7" s="6">
        <f>-FOC!M56+DRE!M19</f>
        <v>-0.2306175161061219</v>
      </c>
    </row>
    <row r="8" spans="1:12" ht="12.75">
      <c r="A8" s="6" t="s">
        <v>91</v>
      </c>
      <c r="C8" s="6">
        <f>-DRE!D23</f>
        <v>-39.204318193334416</v>
      </c>
      <c r="D8" s="6">
        <f>-DRE!E23</f>
        <v>-94.88129475277842</v>
      </c>
      <c r="E8" s="6">
        <f>-DRE!F23</f>
        <v>-219.97680335321112</v>
      </c>
      <c r="F8" s="6">
        <f>-DRE!G23</f>
        <v>-295.91648753493246</v>
      </c>
      <c r="G8" s="6">
        <f>-DRE!H23</f>
        <v>-364.489066820494</v>
      </c>
      <c r="H8" s="6">
        <f>-DRE!I23</f>
        <v>-542.2707358932857</v>
      </c>
      <c r="I8" s="6">
        <f>-DRE!J23</f>
        <v>-623.5635118990408</v>
      </c>
      <c r="J8" s="6">
        <f>-DRE!K23</f>
        <v>-677.0031391589324</v>
      </c>
      <c r="K8" s="6">
        <f>-DRE!L23</f>
        <v>-739.4821891140612</v>
      </c>
      <c r="L8" s="6">
        <f>-DRE!M23</f>
        <v>-820.4479348071106</v>
      </c>
    </row>
    <row r="9" spans="1:12" ht="12.75">
      <c r="A9" s="6" t="s">
        <v>83</v>
      </c>
      <c r="C9" s="6">
        <f>SUM(C3:C8)</f>
        <v>-36.548056195398985</v>
      </c>
      <c r="D9" s="6">
        <f aca="true" t="shared" si="1" ref="D9:L9">SUM(D3:D8)</f>
        <v>1.8689264234413088</v>
      </c>
      <c r="E9" s="6">
        <f t="shared" si="1"/>
        <v>0.7757809992998261</v>
      </c>
      <c r="F9" s="6">
        <f t="shared" si="1"/>
        <v>15.02681260639639</v>
      </c>
      <c r="G9" s="6">
        <f t="shared" si="1"/>
        <v>-15.887383765263905</v>
      </c>
      <c r="H9" s="6">
        <f t="shared" si="1"/>
        <v>11.889178615729747</v>
      </c>
      <c r="I9" s="6">
        <f t="shared" si="1"/>
        <v>-10.5255220096235</v>
      </c>
      <c r="J9" s="6">
        <f t="shared" si="1"/>
        <v>-1.3689050429126155</v>
      </c>
      <c r="K9" s="6">
        <f t="shared" si="1"/>
        <v>5.504680342049028</v>
      </c>
      <c r="L9" s="6">
        <f t="shared" si="1"/>
        <v>4.8178919744771065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N25"/>
  <sheetViews>
    <sheetView zoomScale="130" zoomScaleNormal="130" zoomScalePageLayoutView="0" workbookViewId="0" topLeftCell="B7">
      <selection activeCell="H23" sqref="H23"/>
    </sheetView>
  </sheetViews>
  <sheetFormatPr defaultColWidth="9.140625" defaultRowHeight="12.75"/>
  <cols>
    <col min="1" max="1" width="28.8515625" style="0" customWidth="1"/>
  </cols>
  <sheetData>
    <row r="5" spans="1:13" ht="12.75">
      <c r="A5" s="1" t="s">
        <v>76</v>
      </c>
      <c r="B5" s="2" t="s">
        <v>0</v>
      </c>
      <c r="C5" s="2">
        <f>FOC!C39</f>
        <v>1995</v>
      </c>
      <c r="D5" s="1">
        <f>C5+1</f>
        <v>1996</v>
      </c>
      <c r="E5" s="1">
        <f aca="true" t="shared" si="0" ref="E5:M5">D5+1</f>
        <v>1997</v>
      </c>
      <c r="F5" s="1">
        <f t="shared" si="0"/>
        <v>1998</v>
      </c>
      <c r="G5" s="1">
        <f t="shared" si="0"/>
        <v>1999</v>
      </c>
      <c r="H5" s="1">
        <f t="shared" si="0"/>
        <v>2000</v>
      </c>
      <c r="I5" s="1">
        <f t="shared" si="0"/>
        <v>2001</v>
      </c>
      <c r="J5" s="1">
        <f t="shared" si="0"/>
        <v>2002</v>
      </c>
      <c r="K5" s="1">
        <f t="shared" si="0"/>
        <v>2003</v>
      </c>
      <c r="L5" s="1">
        <f t="shared" si="0"/>
        <v>2004</v>
      </c>
      <c r="M5" s="1">
        <f t="shared" si="0"/>
        <v>2005</v>
      </c>
    </row>
    <row r="6" spans="1:13" ht="12.75">
      <c r="A6" s="6" t="s">
        <v>19</v>
      </c>
      <c r="B6" s="6" t="s">
        <v>24</v>
      </c>
      <c r="C6" s="6">
        <f>FOC!C40</f>
        <v>1987</v>
      </c>
      <c r="D6" s="6">
        <f>FOC!D40</f>
        <v>2398.0387680000003</v>
      </c>
      <c r="E6" s="6">
        <f>FOC!E40</f>
        <v>2578.6590480057603</v>
      </c>
      <c r="F6" s="6">
        <f>FOC!F40</f>
        <v>2772.8836475015537</v>
      </c>
      <c r="G6" s="6">
        <f>FOC!G40</f>
        <v>2981.7372438313714</v>
      </c>
      <c r="H6" s="6">
        <f>FOC!H40</f>
        <v>3206.3216930367503</v>
      </c>
      <c r="I6" s="6">
        <f>FOC!I40</f>
        <v>3447.8218429562785</v>
      </c>
      <c r="J6" s="6">
        <f>FOC!J40</f>
        <v>3707.5117841677456</v>
      </c>
      <c r="K6" s="6">
        <f>FOC!K40</f>
        <v>3986.7615717512613</v>
      </c>
      <c r="L6" s="6">
        <f>FOC!L40</f>
        <v>4287.044453335567</v>
      </c>
      <c r="M6" s="6">
        <f>FOC!M40</f>
        <v>4609.944641560802</v>
      </c>
    </row>
    <row r="7" spans="1:13" ht="12.75">
      <c r="A7" s="6" t="s">
        <v>20</v>
      </c>
      <c r="B7" s="6" t="s">
        <v>26</v>
      </c>
      <c r="C7" s="6">
        <f>FOC!C41</f>
        <v>22</v>
      </c>
      <c r="D7" s="6">
        <f>FOC!D41</f>
        <v>22</v>
      </c>
      <c r="E7" s="6">
        <f>FOC!E41</f>
        <v>22</v>
      </c>
      <c r="F7" s="6">
        <f>FOC!F41</f>
        <v>22</v>
      </c>
      <c r="G7" s="6">
        <f>FOC!G41</f>
        <v>22</v>
      </c>
      <c r="H7" s="6">
        <f>FOC!H41</f>
        <v>22</v>
      </c>
      <c r="I7" s="6">
        <f>FOC!I41</f>
        <v>22</v>
      </c>
      <c r="J7" s="6">
        <f>FOC!J41</f>
        <v>22</v>
      </c>
      <c r="K7" s="6">
        <f>FOC!K41</f>
        <v>22</v>
      </c>
      <c r="L7" s="6">
        <f>FOC!L41</f>
        <v>22</v>
      </c>
      <c r="M7" s="6">
        <f>FOC!M41</f>
        <v>22</v>
      </c>
    </row>
    <row r="8" spans="1:13" ht="12.75">
      <c r="A8" s="6" t="s">
        <v>21</v>
      </c>
      <c r="B8" s="6"/>
      <c r="C8" s="6">
        <f>+C6+C7</f>
        <v>2009</v>
      </c>
      <c r="D8" s="6">
        <f>+D6+D7</f>
        <v>2420.0387680000003</v>
      </c>
      <c r="E8" s="6">
        <f aca="true" t="shared" si="1" ref="E8:M8">+E6+E7</f>
        <v>2600.6590480057603</v>
      </c>
      <c r="F8" s="6">
        <f t="shared" si="1"/>
        <v>2794.8836475015537</v>
      </c>
      <c r="G8" s="6">
        <f t="shared" si="1"/>
        <v>3003.7372438313714</v>
      </c>
      <c r="H8" s="6">
        <f t="shared" si="1"/>
        <v>3228.3216930367503</v>
      </c>
      <c r="I8" s="6">
        <f t="shared" si="1"/>
        <v>3469.8218429562785</v>
      </c>
      <c r="J8" s="6">
        <f t="shared" si="1"/>
        <v>3729.5117841677456</v>
      </c>
      <c r="K8" s="6">
        <f t="shared" si="1"/>
        <v>4008.7615717512613</v>
      </c>
      <c r="L8" s="6">
        <f t="shared" si="1"/>
        <v>4309.044453335567</v>
      </c>
      <c r="M8" s="6">
        <f t="shared" si="1"/>
        <v>4631.944641560802</v>
      </c>
    </row>
    <row r="9" spans="1:13" ht="12.75">
      <c r="A9" t="s">
        <v>22</v>
      </c>
      <c r="B9" s="4">
        <f>FOC!B44</f>
        <v>0.24</v>
      </c>
      <c r="C9" s="6">
        <f>-326-47-98</f>
        <v>-471</v>
      </c>
      <c r="D9" s="6">
        <f>FOC!D44</f>
        <v>-580.80930432</v>
      </c>
      <c r="E9" s="6">
        <f>FOC!E44</f>
        <v>-624.1581715213824</v>
      </c>
      <c r="F9" s="6">
        <f>FOC!F44</f>
        <v>-670.7720754003728</v>
      </c>
      <c r="G9" s="6">
        <f>FOC!G44</f>
        <v>-720.8969385195292</v>
      </c>
      <c r="H9" s="6">
        <f>FOC!H44</f>
        <v>-774.79720632882</v>
      </c>
      <c r="I9" s="6">
        <f>FOC!I44</f>
        <v>-832.7572423095068</v>
      </c>
      <c r="J9" s="6">
        <f>FOC!J44</f>
        <v>-895.082828200259</v>
      </c>
      <c r="K9" s="6">
        <f>FOC!K44</f>
        <v>-962.1027772203026</v>
      </c>
      <c r="L9" s="6">
        <f>FOC!L44</f>
        <v>-1034.170668800536</v>
      </c>
      <c r="M9" s="6">
        <f>FOC!M44</f>
        <v>-1111.6667139745923</v>
      </c>
    </row>
    <row r="10" spans="1:13" ht="12.75">
      <c r="A10" t="s">
        <v>23</v>
      </c>
      <c r="C10" s="6">
        <f>C8+C9</f>
        <v>1538</v>
      </c>
      <c r="D10" s="6">
        <f>D8+D9</f>
        <v>1839.2294636800002</v>
      </c>
      <c r="E10" s="6">
        <f aca="true" t="shared" si="2" ref="E10:M10">E8+E9</f>
        <v>1976.5008764843778</v>
      </c>
      <c r="F10" s="6">
        <f t="shared" si="2"/>
        <v>2124.111572101181</v>
      </c>
      <c r="G10" s="6">
        <f t="shared" si="2"/>
        <v>2282.8403053118423</v>
      </c>
      <c r="H10" s="6">
        <f t="shared" si="2"/>
        <v>2453.52448670793</v>
      </c>
      <c r="I10" s="6">
        <f t="shared" si="2"/>
        <v>2637.064600646772</v>
      </c>
      <c r="J10" s="6">
        <f t="shared" si="2"/>
        <v>2834.4289559674867</v>
      </c>
      <c r="K10" s="6">
        <f t="shared" si="2"/>
        <v>3046.6587945309584</v>
      </c>
      <c r="L10" s="6">
        <f t="shared" si="2"/>
        <v>3274.8737845350306</v>
      </c>
      <c r="M10" s="6">
        <f t="shared" si="2"/>
        <v>3520.2779275862094</v>
      </c>
    </row>
    <row r="11" spans="1:13" ht="12.75">
      <c r="A11" s="6" t="s">
        <v>25</v>
      </c>
      <c r="B11" t="s">
        <v>24</v>
      </c>
      <c r="C11" s="6">
        <v>-673</v>
      </c>
      <c r="D11" s="6">
        <f>FOC!D46</f>
        <v>-760.2767377891681</v>
      </c>
      <c r="E11" s="6">
        <f>FOC!E46</f>
        <v>-823.4209257102988</v>
      </c>
      <c r="F11" s="6">
        <f>FOC!F46</f>
        <v>-891.4975381865747</v>
      </c>
      <c r="G11" s="6">
        <f>FOC!G46</f>
        <v>-964.8833775651171</v>
      </c>
      <c r="H11" s="6">
        <f>FOC!H46</f>
        <v>-1043.9837857097211</v>
      </c>
      <c r="I11" s="6">
        <f>FOC!I46</f>
        <v>-1129.2347983601683</v>
      </c>
      <c r="J11" s="6">
        <f>FOC!J46</f>
        <v>-1221.1054619007714</v>
      </c>
      <c r="K11" s="6">
        <f>FOC!K46</f>
        <v>-1320.100324775096</v>
      </c>
      <c r="L11" s="6">
        <f>FOC!L46</f>
        <v>-1426.7621167056334</v>
      </c>
      <c r="M11" s="6">
        <f>FOC!M46</f>
        <v>-1541.6746298684332</v>
      </c>
    </row>
    <row r="12" spans="1:13" ht="12.75">
      <c r="A12" s="6" t="s">
        <v>27</v>
      </c>
      <c r="B12" s="23">
        <v>0</v>
      </c>
      <c r="C12" s="6">
        <v>-293</v>
      </c>
      <c r="D12" s="6">
        <f>FOC!D49</f>
        <v>-293</v>
      </c>
      <c r="E12" s="6">
        <f>FOC!E49</f>
        <v>-293</v>
      </c>
      <c r="F12" s="6">
        <f>FOC!F49</f>
        <v>-293</v>
      </c>
      <c r="G12" s="6">
        <f>FOC!G49</f>
        <v>-293</v>
      </c>
      <c r="H12" s="6">
        <f>FOC!H49</f>
        <v>-293</v>
      </c>
      <c r="I12" s="6">
        <f>FOC!I49</f>
        <v>-293</v>
      </c>
      <c r="J12" s="6">
        <f>FOC!J49</f>
        <v>-293</v>
      </c>
      <c r="K12" s="6">
        <f>FOC!K49</f>
        <v>-293</v>
      </c>
      <c r="L12" s="6">
        <f>FOC!L49</f>
        <v>-293</v>
      </c>
      <c r="M12" s="6">
        <f>FOC!M49</f>
        <v>-293</v>
      </c>
    </row>
    <row r="13" spans="1:13" ht="12.75">
      <c r="A13" s="6" t="s">
        <v>28</v>
      </c>
      <c r="B13" s="4">
        <f>FOC!B50</f>
        <v>0.044</v>
      </c>
      <c r="C13" s="6">
        <f>-25-85-95</f>
        <v>-205</v>
      </c>
      <c r="D13" s="6">
        <f>FOC!D50</f>
        <v>-214.02</v>
      </c>
      <c r="E13" s="6">
        <f>FOC!E50</f>
        <v>-223.43688000000003</v>
      </c>
      <c r="F13" s="6">
        <f>FOC!F50</f>
        <v>-233.26810272000003</v>
      </c>
      <c r="G13" s="6">
        <f>FOC!G50</f>
        <v>-243.53189923968003</v>
      </c>
      <c r="H13" s="6">
        <f>FOC!H50</f>
        <v>-254.24730280622597</v>
      </c>
      <c r="I13" s="6">
        <f>FOC!I50</f>
        <v>-265.43418412969993</v>
      </c>
      <c r="J13" s="6">
        <f>FOC!J50</f>
        <v>-277.1132882314067</v>
      </c>
      <c r="K13" s="6">
        <f>FOC!K50</f>
        <v>-289.30627291358866</v>
      </c>
      <c r="L13" s="6">
        <f>FOC!L50</f>
        <v>-302.0357489217866</v>
      </c>
      <c r="M13" s="6">
        <f>FOC!M50</f>
        <v>-315.3253218743452</v>
      </c>
    </row>
    <row r="14" spans="1:13" ht="12.75">
      <c r="A14" s="6" t="s">
        <v>29</v>
      </c>
      <c r="B14" s="4">
        <f>FOC!B51</f>
        <v>0.061852528945764776</v>
      </c>
      <c r="C14" s="6">
        <v>-203</v>
      </c>
      <c r="D14" s="6">
        <f>FOC!D51</f>
        <v>-211.90676416819014</v>
      </c>
      <c r="E14" s="6">
        <f>FOC!E51</f>
        <v>-220.25685557586837</v>
      </c>
      <c r="F14" s="6">
        <f>FOC!F51</f>
        <v>-225.39061547836684</v>
      </c>
      <c r="G14" s="6">
        <f>FOC!G51</f>
        <v>-229.59658744667885</v>
      </c>
      <c r="H14" s="6">
        <f>FOC!H51</f>
        <v>-236.46221815965873</v>
      </c>
      <c r="I14" s="6">
        <f>FOC!I51</f>
        <v>-245.86380255941498</v>
      </c>
      <c r="J14" s="6">
        <f>FOC!J51</f>
        <v>-255.6983546617916</v>
      </c>
      <c r="K14" s="6">
        <f>FOC!K51</f>
        <v>-265.96587446678853</v>
      </c>
      <c r="L14" s="6">
        <f>FOC!L51</f>
        <v>-276.60450944546005</v>
      </c>
      <c r="M14" s="6">
        <f>FOC!M51</f>
        <v>-287.30499695307736</v>
      </c>
    </row>
    <row r="15" spans="1:13" ht="12.75">
      <c r="A15" s="6" t="s">
        <v>30</v>
      </c>
      <c r="C15" s="6">
        <f>SUM(C10:C14)</f>
        <v>164</v>
      </c>
      <c r="D15" s="6">
        <f>SUM(D10:D14)</f>
        <v>360.02596172264185</v>
      </c>
      <c r="E15" s="6">
        <f aca="true" t="shared" si="3" ref="E15:M15">SUM(E10:E14)</f>
        <v>416.3862151982106</v>
      </c>
      <c r="F15" s="6">
        <f t="shared" si="3"/>
        <v>480.9553157162395</v>
      </c>
      <c r="G15" s="6">
        <f t="shared" si="3"/>
        <v>551.8284410603662</v>
      </c>
      <c r="H15" s="6">
        <f t="shared" si="3"/>
        <v>625.8311800323241</v>
      </c>
      <c r="I15" s="6">
        <f t="shared" si="3"/>
        <v>703.5318155974887</v>
      </c>
      <c r="J15" s="6">
        <f t="shared" si="3"/>
        <v>787.5118511735168</v>
      </c>
      <c r="K15" s="6">
        <f t="shared" si="3"/>
        <v>878.2863223754853</v>
      </c>
      <c r="L15" s="6">
        <f t="shared" si="3"/>
        <v>976.4714094621506</v>
      </c>
      <c r="M15" s="6">
        <f t="shared" si="3"/>
        <v>1082.9729788903537</v>
      </c>
    </row>
    <row r="16" spans="1:13" ht="12.75">
      <c r="A16" s="6" t="s">
        <v>71</v>
      </c>
      <c r="B16" s="23">
        <v>0.08</v>
      </c>
      <c r="C16" s="6">
        <v>56</v>
      </c>
      <c r="D16" s="6">
        <f>IF('BP'!C5&gt;0,$B$16*'BP'!C5,0)</f>
        <v>3.04</v>
      </c>
      <c r="E16" s="6">
        <f>IF('BP'!D5&gt;0,$B$16*'BP'!D5,0)</f>
        <v>0.11615550436808121</v>
      </c>
      <c r="F16" s="6">
        <f>IF('BP'!E5&gt;0,$B$16*'BP'!E5,0)</f>
        <v>0.2656696182433859</v>
      </c>
      <c r="G16" s="6">
        <f>IF('BP'!F5&gt;0,$B$16*'BP'!F5,0)</f>
        <v>0.32773209818737203</v>
      </c>
      <c r="H16" s="6">
        <f>IF('BP'!G5&gt;0,$B$16*'BP'!G5,0)</f>
        <v>1.5298771066990833</v>
      </c>
      <c r="I16" s="6">
        <f>IF('BP'!H5&gt;0,$B$16*'BP'!H5,0)</f>
        <v>0.2588864054779708</v>
      </c>
      <c r="J16" s="6">
        <f>IF('BP'!I5&gt;0,$B$16*'BP'!I5,0)</f>
        <v>1.2100206947363505</v>
      </c>
      <c r="K16" s="6">
        <f>IF('BP'!J5&gt;0,$B$16*'BP'!J5,0)</f>
        <v>0.3679789339664706</v>
      </c>
      <c r="L16" s="6">
        <f>IF('BP'!K5&gt;0,$B$16*'BP'!K5,0)</f>
        <v>0.2584665305334613</v>
      </c>
      <c r="M16" s="6">
        <f>IF('BP'!L5&gt;0,$B$16*'BP'!L5,0)</f>
        <v>0.6988409578973835</v>
      </c>
    </row>
    <row r="17" spans="1:13" ht="12.75">
      <c r="A17" s="6" t="s">
        <v>72</v>
      </c>
      <c r="B17" s="23">
        <v>0.15</v>
      </c>
      <c r="C17" s="6">
        <v>-32</v>
      </c>
      <c r="D17" s="6">
        <f>-$B$17*('BP'!C21)+IF('BP'!C5&lt;0,($B$17+5%)*('BP'!C5),0)</f>
        <v>-180.21</v>
      </c>
      <c r="E17" s="6">
        <f>-$B$17*('BP'!D21)+IF('BP'!D5&lt;0,($B$17+5%)*('BP'!D5),0)</f>
        <v>-144.168</v>
      </c>
      <c r="F17" s="6">
        <f>-$B$17*('BP'!E21)+IF('BP'!E5&lt;0,($B$17+5%)*('BP'!E5),0)</f>
        <v>-108.12600000000002</v>
      </c>
      <c r="G17" s="6">
        <f>-$B$17*('BP'!F21)+IF('BP'!F5&lt;0,($B$17+5%)*('BP'!F5),0)</f>
        <v>-72.08400000000002</v>
      </c>
      <c r="H17" s="6">
        <f>-$B$17*('BP'!G21)+IF('BP'!G5&lt;0,($B$17+5%)*('BP'!G5),0)</f>
        <v>-36.04200000000001</v>
      </c>
      <c r="I17" s="6">
        <f>-$B$17*('BP'!H21)+IF('BP'!H5&lt;0,($B$17+5%)*('BP'!H5),0)</f>
        <v>0</v>
      </c>
      <c r="J17" s="6">
        <f>-$B$17*('BP'!I21)+IF('BP'!I5&lt;0,($B$17+5%)*('BP'!I5),0)</f>
        <v>0</v>
      </c>
      <c r="K17" s="6">
        <f>-$B$17*('BP'!J21)+IF('BP'!J5&lt;0,($B$17+5%)*('BP'!J5),0)</f>
        <v>0</v>
      </c>
      <c r="L17" s="6">
        <f>-$B$17*('BP'!K21)+IF('BP'!K5&lt;0,($B$17+5%)*('BP'!K5),0)</f>
        <v>0</v>
      </c>
      <c r="M17" s="6">
        <f>-$B$17*('BP'!L21)+IF('BP'!L5&lt;0,($B$17+5%)*('BP'!L5),0)</f>
        <v>0</v>
      </c>
    </row>
    <row r="18" spans="1:13" ht="12.75">
      <c r="A18" s="6" t="s">
        <v>73</v>
      </c>
      <c r="C18" s="18">
        <f>SUM(C15:C17)</f>
        <v>188</v>
      </c>
      <c r="D18" s="18">
        <f aca="true" t="shared" si="4" ref="D18:M18">SUM(D15:D17)</f>
        <v>182.85596172264187</v>
      </c>
      <c r="E18" s="18">
        <f t="shared" si="4"/>
        <v>272.33437070257867</v>
      </c>
      <c r="F18" s="18">
        <f t="shared" si="4"/>
        <v>373.0949853344829</v>
      </c>
      <c r="G18" s="18">
        <f t="shared" si="4"/>
        <v>480.07217315855365</v>
      </c>
      <c r="H18" s="18">
        <f t="shared" si="4"/>
        <v>591.3190571390232</v>
      </c>
      <c r="I18" s="18">
        <f t="shared" si="4"/>
        <v>703.7907020029667</v>
      </c>
      <c r="J18" s="18">
        <f t="shared" si="4"/>
        <v>788.7218718682532</v>
      </c>
      <c r="K18" s="18">
        <f t="shared" si="4"/>
        <v>878.6543013094517</v>
      </c>
      <c r="L18" s="18">
        <f t="shared" si="4"/>
        <v>976.7298759926841</v>
      </c>
      <c r="M18" s="18">
        <f t="shared" si="4"/>
        <v>1083.671819848251</v>
      </c>
    </row>
    <row r="19" spans="1:13" ht="12.75">
      <c r="A19" s="6" t="s">
        <v>74</v>
      </c>
      <c r="B19" s="28">
        <v>0.33</v>
      </c>
      <c r="C19" s="18">
        <f>-$B$19*C18</f>
        <v>-62.040000000000006</v>
      </c>
      <c r="D19" s="18">
        <f aca="true" t="shared" si="5" ref="D19:M19">-$B$19*D18</f>
        <v>-60.342467368471816</v>
      </c>
      <c r="E19" s="18">
        <f t="shared" si="5"/>
        <v>-89.87034233185096</v>
      </c>
      <c r="F19" s="18">
        <f t="shared" si="5"/>
        <v>-123.12134516037936</v>
      </c>
      <c r="G19" s="18">
        <f t="shared" si="5"/>
        <v>-158.42381714232272</v>
      </c>
      <c r="H19" s="18">
        <f t="shared" si="5"/>
        <v>-195.1352888558777</v>
      </c>
      <c r="I19" s="18">
        <f t="shared" si="5"/>
        <v>-232.250931660979</v>
      </c>
      <c r="J19" s="18">
        <f t="shared" si="5"/>
        <v>-260.27821771652356</v>
      </c>
      <c r="K19" s="18">
        <f t="shared" si="5"/>
        <v>-289.95591943211906</v>
      </c>
      <c r="L19" s="18">
        <f t="shared" si="5"/>
        <v>-322.3208590775858</v>
      </c>
      <c r="M19" s="18">
        <f t="shared" si="5"/>
        <v>-357.6117005499229</v>
      </c>
    </row>
    <row r="20" spans="1:13" ht="12.75">
      <c r="A20" s="6" t="s">
        <v>75</v>
      </c>
      <c r="C20" s="18">
        <f>C18+C19</f>
        <v>125.96</v>
      </c>
      <c r="D20" s="18">
        <f aca="true" t="shared" si="6" ref="D20:M20">D18+D19</f>
        <v>122.51349435417005</v>
      </c>
      <c r="E20" s="18">
        <f t="shared" si="6"/>
        <v>182.4640283707277</v>
      </c>
      <c r="F20" s="18">
        <f t="shared" si="6"/>
        <v>249.97364017410354</v>
      </c>
      <c r="G20" s="18">
        <f t="shared" si="6"/>
        <v>321.64835601623093</v>
      </c>
      <c r="H20" s="18">
        <f t="shared" si="6"/>
        <v>396.1837682831456</v>
      </c>
      <c r="I20" s="18">
        <f t="shared" si="6"/>
        <v>471.53977034198766</v>
      </c>
      <c r="J20" s="18">
        <f t="shared" si="6"/>
        <v>528.4436541517296</v>
      </c>
      <c r="K20" s="18">
        <f t="shared" si="6"/>
        <v>588.6983818773326</v>
      </c>
      <c r="L20" s="18">
        <f t="shared" si="6"/>
        <v>654.4090169150984</v>
      </c>
      <c r="M20" s="18">
        <f t="shared" si="6"/>
        <v>726.0601192983281</v>
      </c>
    </row>
    <row r="21" ht="12.75">
      <c r="B21" t="s">
        <v>106</v>
      </c>
    </row>
    <row r="22" spans="1:13" ht="12.75">
      <c r="A22" s="6" t="s">
        <v>100</v>
      </c>
      <c r="B22" s="34">
        <f>AVERAGE(C22:M22)</f>
        <v>0.8454545454545452</v>
      </c>
      <c r="C22" s="28">
        <v>0</v>
      </c>
      <c r="D22" s="28">
        <v>0.32</v>
      </c>
      <c r="E22" s="28">
        <v>0.52</v>
      </c>
      <c r="F22" s="28">
        <v>0.88</v>
      </c>
      <c r="G22" s="28">
        <v>0.92</v>
      </c>
      <c r="H22" s="28">
        <v>0.92</v>
      </c>
      <c r="I22" s="28">
        <v>1.15</v>
      </c>
      <c r="J22" s="28">
        <v>1.18</v>
      </c>
      <c r="K22" s="28">
        <v>1.15</v>
      </c>
      <c r="L22" s="28">
        <v>1.13</v>
      </c>
      <c r="M22" s="28">
        <v>1.13</v>
      </c>
    </row>
    <row r="23" spans="1:13" ht="12.75">
      <c r="A23" s="6" t="s">
        <v>100</v>
      </c>
      <c r="C23" s="18">
        <f>IF(C20&gt;0,C20*C22,0)</f>
        <v>0</v>
      </c>
      <c r="D23" s="18">
        <f aca="true" t="shared" si="7" ref="D23:M23">IF(D20&gt;0,D20*D22,0)</f>
        <v>39.204318193334416</v>
      </c>
      <c r="E23" s="18">
        <f t="shared" si="7"/>
        <v>94.88129475277842</v>
      </c>
      <c r="F23" s="18">
        <f t="shared" si="7"/>
        <v>219.97680335321112</v>
      </c>
      <c r="G23" s="18">
        <f t="shared" si="7"/>
        <v>295.91648753493246</v>
      </c>
      <c r="H23" s="18">
        <f t="shared" si="7"/>
        <v>364.489066820494</v>
      </c>
      <c r="I23" s="18">
        <f t="shared" si="7"/>
        <v>542.2707358932857</v>
      </c>
      <c r="J23" s="18">
        <f t="shared" si="7"/>
        <v>623.5635118990408</v>
      </c>
      <c r="K23" s="18">
        <f t="shared" si="7"/>
        <v>677.0031391589324</v>
      </c>
      <c r="L23" s="18">
        <f t="shared" si="7"/>
        <v>739.4821891140612</v>
      </c>
      <c r="M23" s="18">
        <f t="shared" si="7"/>
        <v>820.4479348071106</v>
      </c>
    </row>
    <row r="25" spans="1:14" ht="12.75">
      <c r="A25" s="6" t="s">
        <v>108</v>
      </c>
      <c r="D25" s="6">
        <f>'BP'!D5</f>
        <v>1.4519438046010151</v>
      </c>
      <c r="E25" s="6">
        <f>'BP'!E5</f>
        <v>3.320870228042324</v>
      </c>
      <c r="F25" s="6">
        <f>'BP'!F5</f>
        <v>4.09665122734215</v>
      </c>
      <c r="G25" s="6">
        <f>'BP'!G5</f>
        <v>19.12346383373854</v>
      </c>
      <c r="H25" s="6">
        <f>'BP'!H5</f>
        <v>3.236080068474635</v>
      </c>
      <c r="I25" s="6">
        <f>'BP'!I5</f>
        <v>15.125258684204383</v>
      </c>
      <c r="J25" s="6">
        <f>'BP'!J5</f>
        <v>4.599736674580882</v>
      </c>
      <c r="K25" s="6">
        <f>'BP'!K5</f>
        <v>3.2308316316682664</v>
      </c>
      <c r="L25" s="6">
        <f>'BP'!L5</f>
        <v>8.735511973717294</v>
      </c>
      <c r="M25" s="6">
        <f>'BP'!M5</f>
        <v>13.5534039481944</v>
      </c>
      <c r="N25" s="6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AF16"/>
  <sheetViews>
    <sheetView zoomScale="120" zoomScaleNormal="120" zoomScalePageLayoutView="0" workbookViewId="0" topLeftCell="A1">
      <selection activeCell="A26" sqref="A26"/>
    </sheetView>
  </sheetViews>
  <sheetFormatPr defaultColWidth="9.140625" defaultRowHeight="12.75"/>
  <cols>
    <col min="1" max="1" width="31.00390625" style="0" customWidth="1"/>
    <col min="2" max="2" width="15.28125" style="0" customWidth="1"/>
    <col min="3" max="3" width="9.7109375" style="6" bestFit="1" customWidth="1"/>
  </cols>
  <sheetData>
    <row r="1" ht="12.75"/>
    <row r="2" ht="12.75"/>
    <row r="3" spans="1:2" ht="12.75">
      <c r="A3" t="s">
        <v>96</v>
      </c>
      <c r="B3" s="31" t="s">
        <v>94</v>
      </c>
    </row>
    <row r="4" spans="1:3" ht="12.75">
      <c r="A4" t="s">
        <v>93</v>
      </c>
      <c r="B4" s="23">
        <v>0.6</v>
      </c>
      <c r="C4" s="6">
        <f>B4*FOC!B70</f>
        <v>2187</v>
      </c>
    </row>
    <row r="5" spans="1:3" ht="12.75">
      <c r="A5" t="s">
        <v>95</v>
      </c>
      <c r="B5" s="23">
        <v>0.5</v>
      </c>
      <c r="C5" s="6">
        <f>B5*C4</f>
        <v>1093.5</v>
      </c>
    </row>
    <row r="6" spans="1:2" ht="12.75">
      <c r="A6" t="s">
        <v>97</v>
      </c>
      <c r="B6" s="23">
        <v>0.1</v>
      </c>
    </row>
    <row r="7" ht="12.75"/>
    <row r="8" spans="1:32" ht="12.75">
      <c r="A8" t="s">
        <v>104</v>
      </c>
      <c r="C8" s="6">
        <v>1</v>
      </c>
      <c r="D8" s="18">
        <f>C8+1</f>
        <v>2</v>
      </c>
      <c r="E8" s="18">
        <f aca="true" t="shared" si="0" ref="E8:V8">D8+1</f>
        <v>3</v>
      </c>
      <c r="F8" s="18">
        <f t="shared" si="0"/>
        <v>4</v>
      </c>
      <c r="G8" s="18">
        <f t="shared" si="0"/>
        <v>5</v>
      </c>
      <c r="H8" s="18">
        <f t="shared" si="0"/>
        <v>6</v>
      </c>
      <c r="I8" s="18">
        <f t="shared" si="0"/>
        <v>7</v>
      </c>
      <c r="J8" s="18">
        <f t="shared" si="0"/>
        <v>8</v>
      </c>
      <c r="K8" s="18">
        <f t="shared" si="0"/>
        <v>9</v>
      </c>
      <c r="L8" s="18">
        <f t="shared" si="0"/>
        <v>10</v>
      </c>
      <c r="M8" s="18">
        <f t="shared" si="0"/>
        <v>11</v>
      </c>
      <c r="N8" s="18">
        <f t="shared" si="0"/>
        <v>12</v>
      </c>
      <c r="O8" s="18">
        <f t="shared" si="0"/>
        <v>13</v>
      </c>
      <c r="P8" s="18">
        <f t="shared" si="0"/>
        <v>14</v>
      </c>
      <c r="Q8" s="18">
        <f t="shared" si="0"/>
        <v>15</v>
      </c>
      <c r="R8" s="18">
        <f t="shared" si="0"/>
        <v>16</v>
      </c>
      <c r="S8" s="18">
        <f t="shared" si="0"/>
        <v>17</v>
      </c>
      <c r="T8" s="18">
        <f t="shared" si="0"/>
        <v>18</v>
      </c>
      <c r="U8" s="18">
        <f t="shared" si="0"/>
        <v>19</v>
      </c>
      <c r="V8" s="18">
        <f t="shared" si="0"/>
        <v>20</v>
      </c>
      <c r="W8" s="18">
        <f aca="true" t="shared" si="1" ref="W8:AF8">V8+1</f>
        <v>21</v>
      </c>
      <c r="X8" s="18">
        <f t="shared" si="1"/>
        <v>22</v>
      </c>
      <c r="Y8" s="18">
        <f t="shared" si="1"/>
        <v>23</v>
      </c>
      <c r="Z8" s="18">
        <f t="shared" si="1"/>
        <v>24</v>
      </c>
      <c r="AA8" s="18">
        <f t="shared" si="1"/>
        <v>25</v>
      </c>
      <c r="AB8" s="18">
        <f t="shared" si="1"/>
        <v>26</v>
      </c>
      <c r="AC8" s="18">
        <f t="shared" si="1"/>
        <v>27</v>
      </c>
      <c r="AD8" s="18">
        <f t="shared" si="1"/>
        <v>28</v>
      </c>
      <c r="AE8" s="18">
        <f t="shared" si="1"/>
        <v>29</v>
      </c>
      <c r="AF8" s="18">
        <f t="shared" si="1"/>
        <v>30</v>
      </c>
    </row>
    <row r="9" spans="1:32" ht="12.75">
      <c r="A9" t="s">
        <v>105</v>
      </c>
      <c r="B9" t="s">
        <v>98</v>
      </c>
      <c r="C9" s="6">
        <v>1996</v>
      </c>
      <c r="D9" s="18">
        <f>C9+1</f>
        <v>1997</v>
      </c>
      <c r="E9" s="18">
        <f aca="true" t="shared" si="2" ref="E9:V9">D9+1</f>
        <v>1998</v>
      </c>
      <c r="F9" s="18">
        <f t="shared" si="2"/>
        <v>1999</v>
      </c>
      <c r="G9" s="18">
        <f t="shared" si="2"/>
        <v>2000</v>
      </c>
      <c r="H9" s="18">
        <f t="shared" si="2"/>
        <v>2001</v>
      </c>
      <c r="I9" s="18">
        <f t="shared" si="2"/>
        <v>2002</v>
      </c>
      <c r="J9" s="18">
        <f t="shared" si="2"/>
        <v>2003</v>
      </c>
      <c r="K9" s="18">
        <f t="shared" si="2"/>
        <v>2004</v>
      </c>
      <c r="L9" s="18">
        <f t="shared" si="2"/>
        <v>2005</v>
      </c>
      <c r="M9" s="18">
        <f t="shared" si="2"/>
        <v>2006</v>
      </c>
      <c r="N9" s="18">
        <f t="shared" si="2"/>
        <v>2007</v>
      </c>
      <c r="O9" s="18">
        <f t="shared" si="2"/>
        <v>2008</v>
      </c>
      <c r="P9" s="18">
        <f t="shared" si="2"/>
        <v>2009</v>
      </c>
      <c r="Q9" s="18">
        <f t="shared" si="2"/>
        <v>2010</v>
      </c>
      <c r="R9" s="18">
        <f t="shared" si="2"/>
        <v>2011</v>
      </c>
      <c r="S9" s="18">
        <f t="shared" si="2"/>
        <v>2012</v>
      </c>
      <c r="T9" s="18">
        <f t="shared" si="2"/>
        <v>2013</v>
      </c>
      <c r="U9" s="18">
        <f t="shared" si="2"/>
        <v>2014</v>
      </c>
      <c r="V9" s="18">
        <f t="shared" si="2"/>
        <v>2015</v>
      </c>
      <c r="W9" s="18">
        <f aca="true" t="shared" si="3" ref="W9:AF9">V9+1</f>
        <v>2016</v>
      </c>
      <c r="X9" s="18">
        <f t="shared" si="3"/>
        <v>2017</v>
      </c>
      <c r="Y9" s="18">
        <f t="shared" si="3"/>
        <v>2018</v>
      </c>
      <c r="Z9" s="18">
        <f t="shared" si="3"/>
        <v>2019</v>
      </c>
      <c r="AA9" s="18">
        <f t="shared" si="3"/>
        <v>2020</v>
      </c>
      <c r="AB9" s="18">
        <f t="shared" si="3"/>
        <v>2021</v>
      </c>
      <c r="AC9" s="18">
        <f t="shared" si="3"/>
        <v>2022</v>
      </c>
      <c r="AD9" s="18">
        <f t="shared" si="3"/>
        <v>2023</v>
      </c>
      <c r="AE9" s="18">
        <f t="shared" si="3"/>
        <v>2024</v>
      </c>
      <c r="AF9" s="18">
        <f t="shared" si="3"/>
        <v>2025</v>
      </c>
    </row>
    <row r="10" spans="1:3" ht="12.75">
      <c r="A10" t="s">
        <v>99</v>
      </c>
      <c r="B10" s="18">
        <f>C4</f>
        <v>2187</v>
      </c>
      <c r="C10" s="6">
        <f>-B10</f>
        <v>-2187</v>
      </c>
    </row>
    <row r="11" spans="1:32" ht="12.75">
      <c r="A11" t="s">
        <v>107</v>
      </c>
      <c r="B11" s="34">
        <f>DRE!B22</f>
        <v>0.8454545454545452</v>
      </c>
      <c r="C11" s="6">
        <f>DRE!C23</f>
        <v>0</v>
      </c>
      <c r="D11" s="6">
        <f>DRE!D23</f>
        <v>39.204318193334416</v>
      </c>
      <c r="E11" s="6">
        <f>DRE!E23</f>
        <v>94.88129475277842</v>
      </c>
      <c r="F11" s="6">
        <f>DRE!F23</f>
        <v>219.97680335321112</v>
      </c>
      <c r="G11" s="6">
        <f>DRE!G23</f>
        <v>295.91648753493246</v>
      </c>
      <c r="H11" s="6">
        <f>DRE!H23</f>
        <v>364.489066820494</v>
      </c>
      <c r="I11" s="6">
        <f>DRE!I23</f>
        <v>542.2707358932857</v>
      </c>
      <c r="J11" s="6">
        <f>DRE!J23</f>
        <v>623.5635118990408</v>
      </c>
      <c r="K11" s="6">
        <f>DRE!K23</f>
        <v>677.0031391589324</v>
      </c>
      <c r="L11" s="6">
        <f>DRE!L23</f>
        <v>739.4821891140612</v>
      </c>
      <c r="M11" s="8">
        <f>DRE!M23</f>
        <v>820.4479348071106</v>
      </c>
      <c r="N11" s="6">
        <f>M11*(1.03)</f>
        <v>845.061372851324</v>
      </c>
      <c r="O11" s="6">
        <f aca="true" t="shared" si="4" ref="O11:V11">N11*(1.03)</f>
        <v>870.4132140368638</v>
      </c>
      <c r="P11" s="6">
        <f t="shared" si="4"/>
        <v>896.5256104579697</v>
      </c>
      <c r="Q11" s="6">
        <f t="shared" si="4"/>
        <v>923.4213787717089</v>
      </c>
      <c r="R11" s="6">
        <f t="shared" si="4"/>
        <v>951.1240201348602</v>
      </c>
      <c r="S11" s="6">
        <f t="shared" si="4"/>
        <v>979.657740738906</v>
      </c>
      <c r="T11" s="6">
        <f t="shared" si="4"/>
        <v>1009.0474729610733</v>
      </c>
      <c r="U11" s="6">
        <f t="shared" si="4"/>
        <v>1039.3188971499055</v>
      </c>
      <c r="V11" s="6">
        <f t="shared" si="4"/>
        <v>1070.4984640644027</v>
      </c>
      <c r="W11" s="6">
        <f aca="true" t="shared" si="5" ref="W11:AF11">V11*(1.03)</f>
        <v>1102.6134179863348</v>
      </c>
      <c r="X11" s="6">
        <f t="shared" si="5"/>
        <v>1135.6918205259249</v>
      </c>
      <c r="Y11" s="6">
        <f t="shared" si="5"/>
        <v>1169.7625751417027</v>
      </c>
      <c r="Z11" s="6">
        <f t="shared" si="5"/>
        <v>1204.8554523959538</v>
      </c>
      <c r="AA11" s="6">
        <f t="shared" si="5"/>
        <v>1241.0011159678324</v>
      </c>
      <c r="AB11" s="6">
        <f t="shared" si="5"/>
        <v>1278.2311494468674</v>
      </c>
      <c r="AC11" s="6">
        <f t="shared" si="5"/>
        <v>1316.5780839302736</v>
      </c>
      <c r="AD11" s="6">
        <f t="shared" si="5"/>
        <v>1356.0754264481818</v>
      </c>
      <c r="AE11" s="6">
        <f t="shared" si="5"/>
        <v>1396.7576892416273</v>
      </c>
      <c r="AF11" s="6">
        <f t="shared" si="5"/>
        <v>1438.6604199188762</v>
      </c>
    </row>
    <row r="12" spans="1:12" ht="12.75">
      <c r="A12" t="s">
        <v>101</v>
      </c>
      <c r="B12" s="28">
        <f>B6</f>
        <v>0.1</v>
      </c>
      <c r="C12" s="6">
        <f>-$B$12*C5</f>
        <v>-109.35000000000001</v>
      </c>
      <c r="D12" s="18">
        <f>C12</f>
        <v>-109.35000000000001</v>
      </c>
      <c r="E12" s="18">
        <f aca="true" t="shared" si="6" ref="E12:L12">D12</f>
        <v>-109.35000000000001</v>
      </c>
      <c r="F12" s="18">
        <f t="shared" si="6"/>
        <v>-109.35000000000001</v>
      </c>
      <c r="G12" s="18">
        <f t="shared" si="6"/>
        <v>-109.35000000000001</v>
      </c>
      <c r="H12" s="18">
        <f t="shared" si="6"/>
        <v>-109.35000000000001</v>
      </c>
      <c r="I12" s="18">
        <f t="shared" si="6"/>
        <v>-109.35000000000001</v>
      </c>
      <c r="J12" s="18">
        <f t="shared" si="6"/>
        <v>-109.35000000000001</v>
      </c>
      <c r="K12" s="18">
        <f t="shared" si="6"/>
        <v>-109.35000000000001</v>
      </c>
      <c r="L12" s="18">
        <f t="shared" si="6"/>
        <v>-109.35000000000001</v>
      </c>
    </row>
    <row r="13" spans="1:12" ht="12.75">
      <c r="A13" t="s">
        <v>102</v>
      </c>
      <c r="G13" s="18"/>
      <c r="L13" s="18">
        <f>-C4</f>
        <v>-2187</v>
      </c>
    </row>
    <row r="14" spans="1:32" ht="12.75">
      <c r="A14" t="s">
        <v>105</v>
      </c>
      <c r="C14" s="6">
        <f>SUM(C10:C13)</f>
        <v>-2296.35</v>
      </c>
      <c r="D14" s="6">
        <f aca="true" t="shared" si="7" ref="D14:L14">SUM(D10:D13)</f>
        <v>-70.14568180666559</v>
      </c>
      <c r="E14" s="6">
        <f t="shared" si="7"/>
        <v>-14.468705247221592</v>
      </c>
      <c r="F14" s="6">
        <f t="shared" si="7"/>
        <v>110.62680335321112</v>
      </c>
      <c r="G14" s="6">
        <f t="shared" si="7"/>
        <v>186.56648753493243</v>
      </c>
      <c r="H14" s="6">
        <f t="shared" si="7"/>
        <v>255.13906682049395</v>
      </c>
      <c r="I14" s="6">
        <f t="shared" si="7"/>
        <v>432.9207358932857</v>
      </c>
      <c r="J14" s="6">
        <f t="shared" si="7"/>
        <v>514.2135118990408</v>
      </c>
      <c r="K14" s="6">
        <f t="shared" si="7"/>
        <v>567.6531391589324</v>
      </c>
      <c r="L14" s="6">
        <f t="shared" si="7"/>
        <v>-1556.867810885939</v>
      </c>
      <c r="M14" s="6">
        <f aca="true" t="shared" si="8" ref="M14:AF14">SUM(M10:M13)</f>
        <v>820.4479348071106</v>
      </c>
      <c r="N14" s="6">
        <f t="shared" si="8"/>
        <v>845.061372851324</v>
      </c>
      <c r="O14" s="6">
        <f t="shared" si="8"/>
        <v>870.4132140368638</v>
      </c>
      <c r="P14" s="6">
        <f t="shared" si="8"/>
        <v>896.5256104579697</v>
      </c>
      <c r="Q14" s="6">
        <f t="shared" si="8"/>
        <v>923.4213787717089</v>
      </c>
      <c r="R14" s="6">
        <f t="shared" si="8"/>
        <v>951.1240201348602</v>
      </c>
      <c r="S14" s="6">
        <f t="shared" si="8"/>
        <v>979.657740738906</v>
      </c>
      <c r="T14" s="6">
        <f t="shared" si="8"/>
        <v>1009.0474729610733</v>
      </c>
      <c r="U14" s="6">
        <f t="shared" si="8"/>
        <v>1039.3188971499055</v>
      </c>
      <c r="V14" s="6">
        <f t="shared" si="8"/>
        <v>1070.4984640644027</v>
      </c>
      <c r="W14" s="6">
        <f t="shared" si="8"/>
        <v>1102.6134179863348</v>
      </c>
      <c r="X14" s="6">
        <f t="shared" si="8"/>
        <v>1135.6918205259249</v>
      </c>
      <c r="Y14" s="6">
        <f t="shared" si="8"/>
        <v>1169.7625751417027</v>
      </c>
      <c r="Z14" s="6">
        <f t="shared" si="8"/>
        <v>1204.8554523959538</v>
      </c>
      <c r="AA14" s="6">
        <f t="shared" si="8"/>
        <v>1241.0011159678324</v>
      </c>
      <c r="AB14" s="6">
        <f t="shared" si="8"/>
        <v>1278.2311494468674</v>
      </c>
      <c r="AC14" s="6">
        <f t="shared" si="8"/>
        <v>1316.5780839302736</v>
      </c>
      <c r="AD14" s="6">
        <f t="shared" si="8"/>
        <v>1356.0754264481818</v>
      </c>
      <c r="AE14" s="6">
        <f t="shared" si="8"/>
        <v>1396.7576892416273</v>
      </c>
      <c r="AF14" s="6">
        <f t="shared" si="8"/>
        <v>1438.6604199188762</v>
      </c>
    </row>
    <row r="15" spans="4:32" ht="13.5" thickBot="1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2" ht="13.5" thickBot="1">
      <c r="A16" t="s">
        <v>103</v>
      </c>
      <c r="B16" s="33">
        <f>IRR(C14:AF14)</f>
        <v>0.1421958545752192</v>
      </c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2004-05-29T14:11:15Z</dcterms:created>
  <dcterms:modified xsi:type="dcterms:W3CDTF">2011-06-09T11:11:41Z</dcterms:modified>
  <cp:category/>
  <cp:version/>
  <cp:contentType/>
  <cp:contentStatus/>
</cp:coreProperties>
</file>