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011"/>
  <workbookPr/>
  <mc:AlternateContent xmlns:mc="http://schemas.openxmlformats.org/markup-compatibility/2006">
    <mc:Choice Requires="x15">
      <x15ac:absPath xmlns:x15ac="http://schemas.microsoft.com/office/spreadsheetml/2010/11/ac" url="/Users/eugeniobitti/Dropbox/DISCIPLINAS GRADUAÇÃO FEARP/Análise de Custos/Exercícios/"/>
    </mc:Choice>
  </mc:AlternateContent>
  <bookViews>
    <workbookView xWindow="0" yWindow="460" windowWidth="51200" windowHeight="26780" tabRatio="500" activeTab="5"/>
  </bookViews>
  <sheets>
    <sheet name="12.2" sheetId="1" r:id="rId1"/>
    <sheet name="12.10" sheetId="2" r:id="rId2"/>
    <sheet name="12.13" sheetId="3" r:id="rId3"/>
    <sheet name="12.18" sheetId="4" r:id="rId4"/>
    <sheet name="12.20" sheetId="5" r:id="rId5"/>
    <sheet name="12.23" sheetId="6" r:id="rId6"/>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3" i="6" l="1"/>
  <c r="K4" i="6"/>
  <c r="K5" i="6"/>
  <c r="L5" i="6"/>
  <c r="M5" i="6"/>
  <c r="N5" i="6"/>
  <c r="K8" i="6"/>
  <c r="K9" i="6"/>
  <c r="K10" i="6"/>
  <c r="K11" i="6"/>
  <c r="K12" i="6"/>
  <c r="K13" i="6"/>
  <c r="K14" i="6"/>
  <c r="K15" i="6"/>
  <c r="L15" i="6"/>
  <c r="M15" i="6"/>
  <c r="N15" i="6"/>
  <c r="K18" i="6"/>
  <c r="K19" i="6"/>
  <c r="K20" i="6"/>
  <c r="K21" i="6"/>
  <c r="K22" i="6"/>
  <c r="K23" i="6"/>
  <c r="K24" i="6"/>
  <c r="L24" i="6"/>
  <c r="M24" i="6"/>
  <c r="N24" i="6"/>
  <c r="K26" i="6"/>
  <c r="L26" i="6"/>
  <c r="M26" i="6"/>
  <c r="N26" i="6"/>
  <c r="K28" i="6"/>
  <c r="L28" i="6"/>
  <c r="M28" i="6"/>
  <c r="N28" i="6"/>
  <c r="K34" i="6"/>
  <c r="K38" i="6"/>
  <c r="K39" i="6"/>
  <c r="K40" i="6"/>
  <c r="L44" i="6"/>
  <c r="K46" i="6"/>
  <c r="K47" i="6"/>
  <c r="K48" i="6"/>
  <c r="K49" i="6"/>
  <c r="K50" i="6"/>
  <c r="K51" i="6"/>
  <c r="K52" i="6"/>
  <c r="K53" i="6"/>
  <c r="K54" i="6"/>
  <c r="L54" i="6"/>
  <c r="L55" i="6"/>
  <c r="K59" i="6"/>
  <c r="K60" i="6"/>
  <c r="K61" i="6"/>
  <c r="K62" i="6"/>
  <c r="K63" i="6"/>
  <c r="L18" i="5"/>
  <c r="J20" i="5"/>
  <c r="K20" i="5"/>
  <c r="J21" i="5"/>
  <c r="K21" i="5"/>
  <c r="K22" i="5"/>
  <c r="L22" i="5"/>
  <c r="L23" i="5"/>
  <c r="K42" i="5"/>
  <c r="K43" i="5"/>
  <c r="K45" i="5"/>
  <c r="K49" i="5"/>
  <c r="K50" i="5"/>
  <c r="K51" i="5"/>
  <c r="L51" i="5"/>
  <c r="K53" i="5"/>
  <c r="L53" i="5"/>
  <c r="K54" i="5"/>
  <c r="L54" i="5"/>
  <c r="K55" i="5"/>
  <c r="L55" i="5"/>
  <c r="L56" i="5"/>
  <c r="K57" i="5"/>
  <c r="L57" i="5"/>
  <c r="K58" i="5"/>
  <c r="L58" i="5"/>
  <c r="L4" i="4"/>
  <c r="L5" i="4"/>
  <c r="L6" i="4"/>
  <c r="L17" i="4"/>
  <c r="L18" i="4"/>
  <c r="M23" i="4"/>
  <c r="K24" i="4"/>
  <c r="L24" i="4"/>
  <c r="K25" i="4"/>
  <c r="L25" i="4"/>
  <c r="K26" i="4"/>
  <c r="L26" i="4"/>
  <c r="K27" i="4"/>
  <c r="L27" i="4"/>
  <c r="K28" i="4"/>
  <c r="L28" i="4"/>
  <c r="M28" i="4"/>
  <c r="M29" i="4"/>
  <c r="K33" i="4"/>
  <c r="K34" i="4"/>
  <c r="K35" i="4"/>
  <c r="K36" i="4"/>
  <c r="K10" i="3"/>
  <c r="L10" i="3"/>
  <c r="M10" i="3"/>
  <c r="K11" i="3"/>
  <c r="L11" i="3"/>
  <c r="M11" i="3"/>
  <c r="K12" i="3"/>
  <c r="L12" i="3"/>
  <c r="M12" i="3"/>
  <c r="K19" i="3"/>
  <c r="L19" i="3"/>
  <c r="M19" i="3"/>
  <c r="J20" i="3"/>
  <c r="K20" i="3"/>
  <c r="L20" i="3"/>
  <c r="M20" i="3"/>
  <c r="K21" i="3"/>
  <c r="L21" i="3"/>
  <c r="M21" i="3"/>
  <c r="K22" i="3"/>
  <c r="L22" i="3"/>
  <c r="M22" i="3"/>
  <c r="K23" i="3"/>
  <c r="L23" i="3"/>
  <c r="M23" i="3"/>
  <c r="K26" i="3"/>
  <c r="L26" i="3"/>
  <c r="M26" i="3"/>
  <c r="J9" i="2"/>
  <c r="J10" i="2"/>
  <c r="J17" i="2"/>
  <c r="J18" i="2"/>
  <c r="J22" i="2"/>
  <c r="H24" i="2"/>
  <c r="I24" i="2"/>
  <c r="H25" i="2"/>
  <c r="I25" i="2"/>
  <c r="H26" i="2"/>
  <c r="I26" i="2"/>
  <c r="J26" i="2"/>
  <c r="J27" i="2"/>
  <c r="H4" i="1"/>
  <c r="H5" i="1"/>
  <c r="H6" i="1"/>
  <c r="I6" i="1"/>
  <c r="J6" i="1"/>
  <c r="K6" i="1"/>
  <c r="H8" i="1"/>
  <c r="H9" i="1"/>
  <c r="H10" i="1"/>
  <c r="H11" i="1"/>
  <c r="H12" i="1"/>
  <c r="I12" i="1"/>
  <c r="J12" i="1"/>
  <c r="K12" i="1"/>
  <c r="H13" i="1"/>
  <c r="I13" i="1"/>
  <c r="J13" i="1"/>
  <c r="K13" i="1"/>
  <c r="I17" i="1"/>
  <c r="G19" i="1"/>
  <c r="H19" i="1"/>
  <c r="G20" i="1"/>
  <c r="H20" i="1"/>
  <c r="I20" i="1"/>
  <c r="I21" i="1"/>
  <c r="G25" i="1"/>
  <c r="I25" i="1"/>
  <c r="J25" i="1"/>
  <c r="K25" i="1"/>
  <c r="H25" i="1"/>
  <c r="I26" i="1"/>
  <c r="J26" i="1"/>
  <c r="K26" i="1"/>
  <c r="H26" i="1"/>
  <c r="H27" i="1"/>
  <c r="I27" i="1"/>
  <c r="J27" i="1"/>
  <c r="K27" i="1"/>
  <c r="G29" i="1"/>
  <c r="I29" i="1"/>
  <c r="J29" i="1"/>
  <c r="K29" i="1"/>
  <c r="H29" i="1"/>
  <c r="G30" i="1"/>
  <c r="I30" i="1"/>
  <c r="J30" i="1"/>
  <c r="K30" i="1"/>
  <c r="H30" i="1"/>
  <c r="G31" i="1"/>
  <c r="I31" i="1"/>
  <c r="J31" i="1"/>
  <c r="K31" i="1"/>
  <c r="H31" i="1"/>
  <c r="H32" i="1"/>
  <c r="I32" i="1"/>
  <c r="J32" i="1"/>
  <c r="K32" i="1"/>
  <c r="H33" i="1"/>
  <c r="I33" i="1"/>
  <c r="J33" i="1"/>
  <c r="K33" i="1"/>
  <c r="G34" i="1"/>
  <c r="H34" i="1"/>
  <c r="H35" i="1"/>
</calcChain>
</file>

<file path=xl/sharedStrings.xml><?xml version="1.0" encoding="utf-8"?>
<sst xmlns="http://schemas.openxmlformats.org/spreadsheetml/2006/main" count="172" uniqueCount="123">
  <si>
    <t>Total</t>
  </si>
  <si>
    <t>Enfermagem Domiciliar</t>
  </si>
  <si>
    <t>Refeições s/ Rodas</t>
  </si>
  <si>
    <t>Trabalhos Domésticos</t>
  </si>
  <si>
    <t>Receitas</t>
  </si>
  <si>
    <t>Despesas Variáveis</t>
  </si>
  <si>
    <t>Margem de Contribuição</t>
  </si>
  <si>
    <t>Despesas Fixas:</t>
  </si>
  <si>
    <t>Depreciação</t>
  </si>
  <si>
    <t>Seguro de Responsabilidade Civil</t>
  </si>
  <si>
    <t>Salários Administradores Programas</t>
  </si>
  <si>
    <t>Despesas Adm. Gerais</t>
  </si>
  <si>
    <t>Total de Despesas Fixas</t>
  </si>
  <si>
    <t>ROL</t>
  </si>
  <si>
    <t>Margem de Contribuição - Descontinuidade</t>
  </si>
  <si>
    <t>(-) Custos Evitados</t>
  </si>
  <si>
    <t>Redução na ROL</t>
  </si>
  <si>
    <t>Margem por Segmento</t>
  </si>
  <si>
    <t>Vendas</t>
  </si>
  <si>
    <t>DV</t>
  </si>
  <si>
    <t>Despesas de Produção</t>
  </si>
  <si>
    <t>Comissão de Vendas</t>
  </si>
  <si>
    <t>Expedição</t>
  </si>
  <si>
    <t>MC</t>
  </si>
  <si>
    <t>DF</t>
  </si>
  <si>
    <t>Salário Supervisor Linha Produtos</t>
  </si>
  <si>
    <t>CIP (alocado HMAQ)</t>
  </si>
  <si>
    <t>Depreciação (sem valor residual)</t>
  </si>
  <si>
    <t>Propaganda (rastreável)</t>
  </si>
  <si>
    <t>Seguro dos Estoques</t>
  </si>
  <si>
    <t>Depto. Compras (alocado receita)</t>
  </si>
  <si>
    <t>NÃO!!!</t>
  </si>
  <si>
    <t>Produto</t>
  </si>
  <si>
    <t>A</t>
  </si>
  <si>
    <t>B</t>
  </si>
  <si>
    <t>C</t>
  </si>
  <si>
    <t>Preço</t>
  </si>
  <si>
    <t>CV</t>
  </si>
  <si>
    <t>MD</t>
  </si>
  <si>
    <t>MOD</t>
  </si>
  <si>
    <t>CIP-V</t>
  </si>
  <si>
    <t>CV Total</t>
  </si>
  <si>
    <t>IMC</t>
  </si>
  <si>
    <t>Tx Salário</t>
  </si>
  <si>
    <t>Volume HMOD</t>
  </si>
  <si>
    <t>HMOD requerida por unidade</t>
  </si>
  <si>
    <t>MC/unidade de recursos restrito</t>
  </si>
  <si>
    <t>MC Total</t>
  </si>
  <si>
    <t>Ou seja, enfase do Produto A, seguidos por C e B respectivamente.</t>
  </si>
  <si>
    <t>O montante que a empresa estaria disposta a pagar em horas extras depende de como o tempo seria usado. Se houver encomendas nãoatendidas para todos os produtos, a empresa presumivelmente usaria o tempo adicional para fazer mais do produto A. Cada HMOD gera $ 12 da margem de contribuição. Portanto, a empresa deve estar disposta a pagar até $ 20/h ( $ 8 de salário normal  mais a margem de contribuição por hora de $ 12) por hora de trabalho adicional, mas, evidentemente, preferem pagar muito menos. O limite superior de US $ 20 por sinais administração directa horas para gestores quão valioso horas de trabalho adicionais são para a empresa.
Se toda a demanda para o produto A tenha sido satisfeito, Faixa Empresa usaria então nenhum diretos horas de trabalho adicionais para a fabricação do produto C. Nesse caso, a empresa deve estar disposto a pagar até US $ 18 por hora (US $ 8 salário habitual, mais o $ 10 por hora margem de contribuição para o produto C) para a fabricação de mais produtos C.
Da mesma forma, se toda a demanda, tanto para os produtos A e C tem sido satisfeito, horas de trabalho suplementares seriam utilizados para fazer o produto B. Nesse caso, a empresa deve estar disposto a pagar até US $ 17 por hora para fabricar mais produtos B.</t>
  </si>
  <si>
    <t>Receita das Passagens (100 cadeiras x 40% de ocupação x $75/pessoa)</t>
  </si>
  <si>
    <t>DV ($22,50/pessoa)</t>
  </si>
  <si>
    <t>Despesas do Tour</t>
  </si>
  <si>
    <t>Promoção</t>
  </si>
  <si>
    <t>Salário do Motorista</t>
  </si>
  <si>
    <t>Taxa do Guia Turístico</t>
  </si>
  <si>
    <t>Combustivel</t>
  </si>
  <si>
    <t>Depreciacao</t>
  </si>
  <si>
    <t>Seguro</t>
  </si>
  <si>
    <t>Estacionamento</t>
  </si>
  <si>
    <t>Acomodações e Refeições</t>
  </si>
  <si>
    <t>Manutenção</t>
  </si>
  <si>
    <t>Margem de Contribuição Abdicada</t>
  </si>
  <si>
    <t>Não são relevantes para decisão:</t>
  </si>
  <si>
    <t>A meta de aumentar a ocupação média poderia ser realizado por queda passeios como a mansões históricas turnê com mais baixos do que a média ocupação de assento. Isto poderia reduzir os lucros em pelo menos duas formas. Em primeiro lugar, os passeios que são eliminados poderia ter margens de contribuição que exceder seus custos evitáveis (como no caso do "mansões históricas" tour na parte 1). Se assim for, então eliminando estes passeios reduziria a margem de contribuição total da empresa mais do que isso reduziria os custos totais, e os lucros cairia. Em segundo lugar, estes passeios pode estar agindo como "ímãs" que atraem os turistas para outros, passeios mais rentáveis.</t>
  </si>
  <si>
    <t>Producao (galões)</t>
  </si>
  <si>
    <t>CF</t>
  </si>
  <si>
    <t>Vendas (galões)</t>
  </si>
  <si>
    <t>Redução CF</t>
  </si>
  <si>
    <t>Redução DF</t>
  </si>
  <si>
    <t>Custos de Partida</t>
  </si>
  <si>
    <t>Análise p/ 2 Meses</t>
  </si>
  <si>
    <t>MC Total Abdicada</t>
  </si>
  <si>
    <t>Custos Evitados</t>
  </si>
  <si>
    <t>(-) Custos Partida</t>
  </si>
  <si>
    <t>Resultado</t>
  </si>
  <si>
    <t>Não, a empresa não deve fechar a planta; deve continuar a operar no nível reduzido de 11.000 litros produzidos e vendidos a cada mês. Encerramento irá resultar em uma maior perda de $ 140,000 ao longo do período de dois meses que se a empresa continua a operar. Outros fatores são a potencial perda de boa vontade entre os clientes que precisam de 11.000 litros de MJ-7 cada mês e os efeitos adversos sobre a moral dos funcionários. Ao fechar para baixo, as necessidades dos clientes não será cumprido (sem estoques estão na mão), e seus negócios podem ser perdidos permanentemente para outro fornecedor.</t>
  </si>
  <si>
    <t>Variação em Custos - Parada</t>
  </si>
  <si>
    <t>MC unitária</t>
  </si>
  <si>
    <t>PE</t>
  </si>
  <si>
    <t>EM DOIS MESES (6.000/mês)</t>
  </si>
  <si>
    <t>Conferência:</t>
  </si>
  <si>
    <t>Fa'brica Operando</t>
  </si>
  <si>
    <t>Fábrica Parada</t>
  </si>
  <si>
    <t>(-) CV</t>
  </si>
  <si>
    <t>(-) CF:</t>
  </si>
  <si>
    <t>CIP</t>
  </si>
  <si>
    <t>Total CF</t>
  </si>
  <si>
    <t>Custos Partida</t>
  </si>
  <si>
    <t>Custos Fixos Totais</t>
  </si>
  <si>
    <t>Variacao ROL</t>
  </si>
  <si>
    <t>Norte</t>
  </si>
  <si>
    <t>Centro</t>
  </si>
  <si>
    <t>Sul</t>
  </si>
  <si>
    <t>CPV</t>
  </si>
  <si>
    <t>Margem Bruta</t>
  </si>
  <si>
    <t>Desp. Vendas</t>
  </si>
  <si>
    <t>Propaganda direta</t>
  </si>
  <si>
    <t>Proaganda geral*</t>
  </si>
  <si>
    <t>Salários vendas</t>
  </si>
  <si>
    <t>Salários entregas</t>
  </si>
  <si>
    <t>Aluguel loja</t>
  </si>
  <si>
    <t>Depreciacao dispositivos mostruário</t>
  </si>
  <si>
    <t>Depreciaçao equiptos. Entrega</t>
  </si>
  <si>
    <t>Desp. Adm.</t>
  </si>
  <si>
    <t>Salários gerentes lojas</t>
  </si>
  <si>
    <t>Salários escritório geral*</t>
  </si>
  <si>
    <t>Utilidades</t>
  </si>
  <si>
    <t>Seguro dispositivos mostruário/estoque</t>
  </si>
  <si>
    <t>Encargos trabalhistas</t>
  </si>
  <si>
    <t>Despesas gerais*</t>
  </si>
  <si>
    <t>Total Despesas Operacionais</t>
  </si>
  <si>
    <t>Calculo da redução em encargos trabalhistas</t>
  </si>
  <si>
    <t>funcionário dispensado</t>
  </si>
  <si>
    <t>funcionário que deixará de ser contratado</t>
  </si>
  <si>
    <t>Salários escritório geral</t>
  </si>
  <si>
    <t>Taxa de encargos trabalhistas</t>
  </si>
  <si>
    <t>Margem Bruta Abdicada</t>
  </si>
  <si>
    <t>Variação ROL</t>
  </si>
  <si>
    <t>Ou seja, a loja não deve ser fechada. Se a loja for fechada, a ROL global será reduzida em $ 9.800 por trimestre.</t>
  </si>
  <si>
    <t>Margem Bruta Transferida para Norte</t>
  </si>
  <si>
    <t>Perda Líquida na Margem Bruta</t>
  </si>
  <si>
    <t>Ou seja, nesse caso, a loja deve ser fechada. Se a loja for fechada, a ROL global aumentará em $ 73.200 por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</si>
</sst>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
    <numFmt numFmtId="166" formatCode="0.0%"/>
  </numFmts>
  <fonts count="5" x14ac:knownFonts="1">
    <font>
      <sz val="12"/>
      <color theme="1"/>
      <name val="Calibri"/>
      <family val="2"/>
      <scheme val="minor"/>
    </font>
    <font>
      <sz val="12"/>
      <color theme="1"/>
      <name val="Calibri"/>
      <family val="2"/>
      <scheme val="minor"/>
    </font>
    <font>
      <sz val="10"/>
      <color theme="1"/>
      <name val="Times New Roman"/>
    </font>
    <font>
      <b/>
      <sz val="10"/>
      <color theme="1"/>
      <name val="Times New Roman"/>
    </font>
    <font>
      <u/>
      <sz val="10"/>
      <color theme="1"/>
      <name val="Times New Roman"/>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double">
        <color auto="1"/>
      </bottom>
      <diagonal/>
    </border>
    <border>
      <left/>
      <right/>
      <top style="thin">
        <color auto="1"/>
      </top>
      <bottom style="double">
        <color auto="1"/>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164" fontId="2" fillId="0" borderId="0" xfId="0" applyNumberFormat="1" applyFont="1"/>
    <xf numFmtId="164" fontId="3" fillId="0" borderId="0" xfId="0" applyNumberFormat="1" applyFont="1" applyAlignment="1">
      <alignment horizontal="center"/>
    </xf>
    <xf numFmtId="164" fontId="4" fillId="0" borderId="0" xfId="0" applyNumberFormat="1" applyFont="1"/>
    <xf numFmtId="164" fontId="2" fillId="0" borderId="0" xfId="0" applyNumberFormat="1" applyFont="1" applyAlignment="1">
      <alignment horizontal="left" indent="2"/>
    </xf>
    <xf numFmtId="164" fontId="2" fillId="0" borderId="1" xfId="0" applyNumberFormat="1" applyFont="1" applyBorder="1"/>
    <xf numFmtId="164" fontId="2" fillId="0" borderId="2" xfId="0" applyNumberFormat="1" applyFont="1" applyBorder="1"/>
    <xf numFmtId="164" fontId="2" fillId="0" borderId="3" xfId="0" applyNumberFormat="1" applyFont="1" applyBorder="1"/>
    <xf numFmtId="164" fontId="2" fillId="0" borderId="4" xfId="0" applyNumberFormat="1" applyFont="1" applyBorder="1"/>
    <xf numFmtId="164" fontId="2" fillId="0" borderId="0" xfId="0" applyNumberFormat="1" applyFont="1" applyBorder="1"/>
    <xf numFmtId="164" fontId="2" fillId="0" borderId="5" xfId="0" applyNumberFormat="1" applyFont="1" applyBorder="1"/>
    <xf numFmtId="164" fontId="2" fillId="0" borderId="4" xfId="0" applyNumberFormat="1" applyFont="1" applyBorder="1" applyAlignment="1">
      <alignment horizontal="left" indent="2"/>
    </xf>
    <xf numFmtId="164" fontId="4" fillId="0" borderId="0" xfId="0" applyNumberFormat="1" applyFont="1" applyBorder="1"/>
    <xf numFmtId="164" fontId="4" fillId="0" borderId="5" xfId="0" applyNumberFormat="1" applyFont="1" applyBorder="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164" fontId="3" fillId="0" borderId="9" xfId="0" applyNumberFormat="1" applyFont="1" applyBorder="1" applyAlignment="1">
      <alignment horizontal="center"/>
    </xf>
    <xf numFmtId="165" fontId="2" fillId="0" borderId="0" xfId="0" applyNumberFormat="1" applyFont="1" applyAlignment="1">
      <alignment horizontal="left" indent="2"/>
    </xf>
    <xf numFmtId="164" fontId="2" fillId="0" borderId="10" xfId="0" applyNumberFormat="1" applyFont="1" applyBorder="1"/>
    <xf numFmtId="165" fontId="2" fillId="0" borderId="0" xfId="0" applyNumberFormat="1" applyFont="1" applyAlignment="1">
      <alignment horizontal="left"/>
    </xf>
    <xf numFmtId="164" fontId="2" fillId="0" borderId="11" xfId="0" applyNumberFormat="1" applyFont="1" applyBorder="1"/>
    <xf numFmtId="164" fontId="2" fillId="0" borderId="0" xfId="0" applyNumberFormat="1" applyFont="1" applyAlignment="1">
      <alignment horizontal="left" indent="1"/>
    </xf>
    <xf numFmtId="164" fontId="3" fillId="2" borderId="0" xfId="0" applyNumberFormat="1" applyFont="1" applyFill="1"/>
    <xf numFmtId="164" fontId="2" fillId="0" borderId="0" xfId="0" applyNumberFormat="1" applyFont="1" applyAlignment="1">
      <alignment horizontal="center"/>
    </xf>
    <xf numFmtId="164" fontId="4" fillId="0" borderId="0" xfId="0" applyNumberFormat="1" applyFont="1" applyAlignment="1">
      <alignment horizontal="center"/>
    </xf>
    <xf numFmtId="9" fontId="2" fillId="0" borderId="0" xfId="1" applyFont="1" applyAlignment="1">
      <alignment horizontal="center"/>
    </xf>
    <xf numFmtId="165" fontId="2" fillId="0" borderId="0" xfId="0" applyNumberFormat="1" applyFont="1"/>
    <xf numFmtId="9" fontId="2" fillId="0" borderId="0" xfId="1" applyFont="1"/>
    <xf numFmtId="164" fontId="3" fillId="0" borderId="0" xfId="0" applyNumberFormat="1" applyFont="1"/>
    <xf numFmtId="166" fontId="2" fillId="0" borderId="0" xfId="1" applyNumberFormat="1" applyFont="1"/>
    <xf numFmtId="164" fontId="3" fillId="0" borderId="0" xfId="0" applyNumberFormat="1" applyFont="1" applyAlignment="1">
      <alignment horizontal="center"/>
    </xf>
    <xf numFmtId="164" fontId="2" fillId="0" borderId="0" xfId="0" applyNumberFormat="1" applyFont="1" applyAlignment="1">
      <alignment horizontal="left" vertical="center" wrapText="1"/>
    </xf>
  </cellXfs>
  <cellStyles count="2">
    <cellStyle name="Normal" xfId="0" builtinId="0"/>
    <cellStyle name="Porcentagem"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4" Type="http://schemas.openxmlformats.org/officeDocument/2006/relationships/image" Target="../media/image11.png"/><Relationship Id="rId1" Type="http://schemas.openxmlformats.org/officeDocument/2006/relationships/image" Target="../media/image8.png"/><Relationship Id="rId2"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163573</xdr:colOff>
      <xdr:row>39</xdr:row>
      <xdr:rowOff>56660</xdr:rowOff>
    </xdr:to>
    <xdr:grpSp>
      <xdr:nvGrpSpPr>
        <xdr:cNvPr id="2" name="Group 3"/>
        <xdr:cNvGrpSpPr/>
      </xdr:nvGrpSpPr>
      <xdr:grpSpPr>
        <a:xfrm>
          <a:off x="0" y="0"/>
          <a:ext cx="4300144" cy="6624374"/>
          <a:chOff x="0" y="0"/>
          <a:chExt cx="4315496" cy="6152660"/>
        </a:xfrm>
      </xdr:grpSpPr>
      <xdr:pic>
        <xdr:nvPicPr>
          <xdr:cNvPr id="3" name="Picture 1"/>
          <xdr:cNvPicPr>
            <a:picLocks noChangeAspect="1"/>
          </xdr:cNvPicPr>
        </xdr:nvPicPr>
        <xdr:blipFill>
          <a:blip xmlns:r="http://schemas.openxmlformats.org/officeDocument/2006/relationships" r:embed="rId1"/>
          <a:stretch>
            <a:fillRect/>
          </a:stretch>
        </xdr:blipFill>
        <xdr:spPr>
          <a:xfrm>
            <a:off x="0" y="0"/>
            <a:ext cx="3937000" cy="1195818"/>
          </a:xfrm>
          <a:prstGeom prst="rect">
            <a:avLst/>
          </a:prstGeom>
        </xdr:spPr>
      </xdr:pic>
      <xdr:pic>
        <xdr:nvPicPr>
          <xdr:cNvPr id="4" name="Picture 2"/>
          <xdr:cNvPicPr>
            <a:picLocks noChangeAspect="1"/>
          </xdr:cNvPicPr>
        </xdr:nvPicPr>
        <xdr:blipFill>
          <a:blip xmlns:r="http://schemas.openxmlformats.org/officeDocument/2006/relationships" r:embed="rId2"/>
          <a:stretch>
            <a:fillRect/>
          </a:stretch>
        </xdr:blipFill>
        <xdr:spPr>
          <a:xfrm>
            <a:off x="0" y="1152768"/>
            <a:ext cx="4315496" cy="4999892"/>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535214</xdr:colOff>
      <xdr:row>40</xdr:row>
      <xdr:rowOff>12700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488214" cy="6616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585304</xdr:colOff>
      <xdr:row>38</xdr:row>
      <xdr:rowOff>121478</xdr:rowOff>
    </xdr:to>
    <xdr:grpSp>
      <xdr:nvGrpSpPr>
        <xdr:cNvPr id="2" name="Group 3"/>
        <xdr:cNvGrpSpPr/>
      </xdr:nvGrpSpPr>
      <xdr:grpSpPr>
        <a:xfrm>
          <a:off x="0" y="0"/>
          <a:ext cx="6383130" cy="6416261"/>
          <a:chOff x="0" y="0"/>
          <a:chExt cx="5606379" cy="5419034"/>
        </a:xfrm>
      </xdr:grpSpPr>
      <xdr:pic>
        <xdr:nvPicPr>
          <xdr:cNvPr id="3" name="Picture 1"/>
          <xdr:cNvPicPr>
            <a:picLocks noChangeAspect="1"/>
          </xdr:cNvPicPr>
        </xdr:nvPicPr>
        <xdr:blipFill>
          <a:blip xmlns:r="http://schemas.openxmlformats.org/officeDocument/2006/relationships" r:embed="rId1"/>
          <a:stretch>
            <a:fillRect/>
          </a:stretch>
        </xdr:blipFill>
        <xdr:spPr>
          <a:xfrm>
            <a:off x="0" y="0"/>
            <a:ext cx="5606379" cy="3155674"/>
          </a:xfrm>
          <a:prstGeom prst="rect">
            <a:avLst/>
          </a:prstGeom>
        </xdr:spPr>
      </xdr:pic>
      <xdr:pic>
        <xdr:nvPicPr>
          <xdr:cNvPr id="4" name="Picture 2"/>
          <xdr:cNvPicPr>
            <a:picLocks noChangeAspect="1"/>
          </xdr:cNvPicPr>
        </xdr:nvPicPr>
        <xdr:blipFill>
          <a:blip xmlns:r="http://schemas.openxmlformats.org/officeDocument/2006/relationships" r:embed="rId2"/>
          <a:stretch>
            <a:fillRect/>
          </a:stretch>
        </xdr:blipFill>
        <xdr:spPr>
          <a:xfrm>
            <a:off x="0" y="3158434"/>
            <a:ext cx="5435600" cy="22606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640521</xdr:colOff>
      <xdr:row>60</xdr:row>
      <xdr:rowOff>22704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244521" cy="99287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376619</xdr:colOff>
      <xdr:row>33</xdr:row>
      <xdr:rowOff>127972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980619" cy="55762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234461</xdr:colOff>
      <xdr:row>68</xdr:row>
      <xdr:rowOff>78154</xdr:rowOff>
    </xdr:to>
    <xdr:grpSp>
      <xdr:nvGrpSpPr>
        <xdr:cNvPr id="2" name="Group 6"/>
        <xdr:cNvGrpSpPr/>
      </xdr:nvGrpSpPr>
      <xdr:grpSpPr>
        <a:xfrm>
          <a:off x="0" y="0"/>
          <a:ext cx="6877538" cy="11371385"/>
          <a:chOff x="0" y="0"/>
          <a:chExt cx="5702300" cy="9698893"/>
        </a:xfrm>
      </xdr:grpSpPr>
      <xdr:grpSp>
        <xdr:nvGrpSpPr>
          <xdr:cNvPr id="3" name="Group 4"/>
          <xdr:cNvGrpSpPr/>
        </xdr:nvGrpSpPr>
        <xdr:grpSpPr>
          <a:xfrm>
            <a:off x="0" y="0"/>
            <a:ext cx="5702300" cy="9244623"/>
            <a:chOff x="0" y="0"/>
            <a:chExt cx="5702300" cy="9244623"/>
          </a:xfrm>
        </xdr:grpSpPr>
        <xdr:pic>
          <xdr:nvPicPr>
            <xdr:cNvPr id="5" name="Picture 1"/>
            <xdr:cNvPicPr>
              <a:picLocks noChangeAspect="1"/>
            </xdr:cNvPicPr>
          </xdr:nvPicPr>
          <xdr:blipFill>
            <a:blip xmlns:r="http://schemas.openxmlformats.org/officeDocument/2006/relationships" r:embed="rId1"/>
            <a:stretch>
              <a:fillRect/>
            </a:stretch>
          </xdr:blipFill>
          <xdr:spPr>
            <a:xfrm>
              <a:off x="0" y="0"/>
              <a:ext cx="5397500" cy="863600"/>
            </a:xfrm>
            <a:prstGeom prst="rect">
              <a:avLst/>
            </a:prstGeom>
          </xdr:spPr>
        </xdr:pic>
        <xdr:pic>
          <xdr:nvPicPr>
            <xdr:cNvPr id="6" name="Picture 2"/>
            <xdr:cNvPicPr>
              <a:picLocks noChangeAspect="1"/>
            </xdr:cNvPicPr>
          </xdr:nvPicPr>
          <xdr:blipFill>
            <a:blip xmlns:r="http://schemas.openxmlformats.org/officeDocument/2006/relationships" r:embed="rId2"/>
            <a:stretch>
              <a:fillRect/>
            </a:stretch>
          </xdr:blipFill>
          <xdr:spPr>
            <a:xfrm>
              <a:off x="0" y="713153"/>
              <a:ext cx="5313817" cy="4239847"/>
            </a:xfrm>
            <a:prstGeom prst="rect">
              <a:avLst/>
            </a:prstGeom>
          </xdr:spPr>
        </xdr:pic>
        <xdr:pic>
          <xdr:nvPicPr>
            <xdr:cNvPr id="7" name="Picture 3"/>
            <xdr:cNvPicPr>
              <a:picLocks noChangeAspect="1"/>
            </xdr:cNvPicPr>
          </xdr:nvPicPr>
          <xdr:blipFill>
            <a:blip xmlns:r="http://schemas.openxmlformats.org/officeDocument/2006/relationships" r:embed="rId3"/>
            <a:stretch>
              <a:fillRect/>
            </a:stretch>
          </xdr:blipFill>
          <xdr:spPr>
            <a:xfrm>
              <a:off x="0" y="4913923"/>
              <a:ext cx="5702300" cy="4330700"/>
            </a:xfrm>
            <a:prstGeom prst="rect">
              <a:avLst/>
            </a:prstGeom>
          </xdr:spPr>
        </xdr:pic>
      </xdr:grpSp>
      <xdr:pic>
        <xdr:nvPicPr>
          <xdr:cNvPr id="4" name="Picture 5"/>
          <xdr:cNvPicPr>
            <a:picLocks noChangeAspect="1"/>
          </xdr:cNvPicPr>
        </xdr:nvPicPr>
        <xdr:blipFill>
          <a:blip xmlns:r="http://schemas.openxmlformats.org/officeDocument/2006/relationships" r:embed="rId4"/>
          <a:stretch>
            <a:fillRect/>
          </a:stretch>
        </xdr:blipFill>
        <xdr:spPr>
          <a:xfrm>
            <a:off x="107462" y="9114693"/>
            <a:ext cx="5194300" cy="584200"/>
          </a:xfrm>
          <a:prstGeom prst="rect">
            <a:avLst/>
          </a:prstGeom>
        </xdr:spPr>
      </xdr:pic>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K36"/>
  <sheetViews>
    <sheetView showGridLines="0" zoomScale="175" zoomScaleNormal="175" zoomScalePageLayoutView="175" workbookViewId="0">
      <selection activeCell="F1" sqref="F1:L1048576"/>
    </sheetView>
  </sheetViews>
  <sheetFormatPr baseColWidth="10" defaultRowHeight="13" x14ac:dyDescent="0.15"/>
  <cols>
    <col min="1" max="5" width="10.83203125" style="1"/>
    <col min="6" max="6" width="8.5" style="1" customWidth="1"/>
    <col min="7" max="7" width="29.83203125" style="1" bestFit="1" customWidth="1"/>
    <col min="8" max="11" width="17.1640625" style="1" customWidth="1"/>
    <col min="12" max="16384" width="10.83203125" style="1"/>
  </cols>
  <sheetData>
    <row r="3" spans="7:11" x14ac:dyDescent="0.15">
      <c r="H3" s="2" t="s">
        <v>0</v>
      </c>
      <c r="I3" s="2" t="s">
        <v>1</v>
      </c>
      <c r="J3" s="2" t="s">
        <v>2</v>
      </c>
      <c r="K3" s="2" t="s">
        <v>3</v>
      </c>
    </row>
    <row r="4" spans="7:11" x14ac:dyDescent="0.15">
      <c r="G4" s="1" t="s">
        <v>4</v>
      </c>
      <c r="H4" s="1">
        <f>SUM(I4:K4)</f>
        <v>900000</v>
      </c>
      <c r="I4" s="1">
        <v>260000</v>
      </c>
      <c r="J4" s="1">
        <v>400000</v>
      </c>
      <c r="K4" s="1">
        <v>240000</v>
      </c>
    </row>
    <row r="5" spans="7:11" x14ac:dyDescent="0.15">
      <c r="G5" s="1" t="s">
        <v>5</v>
      </c>
      <c r="H5" s="3">
        <f>SUM(I5:K5)</f>
        <v>490000</v>
      </c>
      <c r="I5" s="3">
        <v>120000</v>
      </c>
      <c r="J5" s="3">
        <v>210000</v>
      </c>
      <c r="K5" s="3">
        <v>160000</v>
      </c>
    </row>
    <row r="6" spans="7:11" x14ac:dyDescent="0.15">
      <c r="G6" s="1" t="s">
        <v>6</v>
      </c>
      <c r="H6" s="1">
        <f>+H4-H5</f>
        <v>410000</v>
      </c>
      <c r="I6" s="1">
        <f t="shared" ref="I6:K6" si="0">+I4-I5</f>
        <v>140000</v>
      </c>
      <c r="J6" s="1">
        <f t="shared" si="0"/>
        <v>190000</v>
      </c>
      <c r="K6" s="1">
        <f t="shared" si="0"/>
        <v>80000</v>
      </c>
    </row>
    <row r="7" spans="7:11" x14ac:dyDescent="0.15">
      <c r="G7" s="1" t="s">
        <v>7</v>
      </c>
    </row>
    <row r="8" spans="7:11" x14ac:dyDescent="0.15">
      <c r="G8" s="4" t="s">
        <v>8</v>
      </c>
      <c r="H8" s="1">
        <f t="shared" ref="H8:H11" si="1">SUM(I8:K8)</f>
        <v>68000</v>
      </c>
      <c r="I8" s="1">
        <v>8000</v>
      </c>
      <c r="J8" s="1">
        <v>40000</v>
      </c>
      <c r="K8" s="1">
        <v>20000</v>
      </c>
    </row>
    <row r="9" spans="7:11" x14ac:dyDescent="0.15">
      <c r="G9" s="4" t="s">
        <v>9</v>
      </c>
      <c r="H9" s="1">
        <f t="shared" si="1"/>
        <v>42000</v>
      </c>
      <c r="I9" s="1">
        <v>20000</v>
      </c>
      <c r="J9" s="1">
        <v>7000</v>
      </c>
      <c r="K9" s="1">
        <v>15000</v>
      </c>
    </row>
    <row r="10" spans="7:11" x14ac:dyDescent="0.15">
      <c r="G10" s="4" t="s">
        <v>10</v>
      </c>
      <c r="H10" s="1">
        <f t="shared" si="1"/>
        <v>115000</v>
      </c>
      <c r="I10" s="1">
        <v>40000</v>
      </c>
      <c r="J10" s="1">
        <v>38000</v>
      </c>
      <c r="K10" s="1">
        <v>37000</v>
      </c>
    </row>
    <row r="11" spans="7:11" x14ac:dyDescent="0.15">
      <c r="G11" s="4" t="s">
        <v>11</v>
      </c>
      <c r="H11" s="3">
        <f t="shared" si="1"/>
        <v>180000</v>
      </c>
      <c r="I11" s="3">
        <v>52000</v>
      </c>
      <c r="J11" s="3">
        <v>80000</v>
      </c>
      <c r="K11" s="3">
        <v>48000</v>
      </c>
    </row>
    <row r="12" spans="7:11" x14ac:dyDescent="0.15">
      <c r="G12" s="1" t="s">
        <v>12</v>
      </c>
      <c r="H12" s="3">
        <f>+H8+H9+H10+H11</f>
        <v>405000</v>
      </c>
      <c r="I12" s="3">
        <f t="shared" ref="I12:K12" si="2">+I8+I9+I10+I11</f>
        <v>120000</v>
      </c>
      <c r="J12" s="3">
        <f t="shared" si="2"/>
        <v>165000</v>
      </c>
      <c r="K12" s="3">
        <f t="shared" si="2"/>
        <v>120000</v>
      </c>
    </row>
    <row r="13" spans="7:11" x14ac:dyDescent="0.15">
      <c r="G13" s="1" t="s">
        <v>13</v>
      </c>
      <c r="H13" s="1">
        <f>+H6-H12</f>
        <v>5000</v>
      </c>
      <c r="I13" s="1">
        <f t="shared" ref="I13:K13" si="3">+I6-I12</f>
        <v>20000</v>
      </c>
      <c r="J13" s="1">
        <f t="shared" si="3"/>
        <v>25000</v>
      </c>
      <c r="K13" s="1">
        <f t="shared" si="3"/>
        <v>-40000</v>
      </c>
    </row>
    <row r="17" spans="7:11" x14ac:dyDescent="0.15">
      <c r="G17" s="5" t="s">
        <v>14</v>
      </c>
      <c r="H17" s="6"/>
      <c r="I17" s="7">
        <f>-K6</f>
        <v>-80000</v>
      </c>
    </row>
    <row r="18" spans="7:11" x14ac:dyDescent="0.15">
      <c r="G18" s="8" t="s">
        <v>15</v>
      </c>
      <c r="H18" s="9"/>
      <c r="I18" s="10"/>
    </row>
    <row r="19" spans="7:11" x14ac:dyDescent="0.15">
      <c r="G19" s="11" t="str">
        <f>G9</f>
        <v>Seguro de Responsabilidade Civil</v>
      </c>
      <c r="H19" s="9">
        <f>K9</f>
        <v>15000</v>
      </c>
      <c r="I19" s="10"/>
    </row>
    <row r="20" spans="7:11" x14ac:dyDescent="0.15">
      <c r="G20" s="11" t="str">
        <f>G10</f>
        <v>Salários Administradores Programas</v>
      </c>
      <c r="H20" s="12">
        <f>K10</f>
        <v>37000</v>
      </c>
      <c r="I20" s="13">
        <f>+H20+H19</f>
        <v>52000</v>
      </c>
    </row>
    <row r="21" spans="7:11" x14ac:dyDescent="0.15">
      <c r="G21" s="14" t="s">
        <v>16</v>
      </c>
      <c r="H21" s="15"/>
      <c r="I21" s="16">
        <f>+I20+I17</f>
        <v>-28000</v>
      </c>
    </row>
    <row r="24" spans="7:11" x14ac:dyDescent="0.15">
      <c r="H24" s="17" t="s">
        <v>0</v>
      </c>
      <c r="I24" s="17" t="s">
        <v>1</v>
      </c>
      <c r="J24" s="17" t="s">
        <v>2</v>
      </c>
      <c r="K24" s="17" t="s">
        <v>3</v>
      </c>
    </row>
    <row r="25" spans="7:11" x14ac:dyDescent="0.15">
      <c r="G25" s="1" t="str">
        <f>G4</f>
        <v>Receitas</v>
      </c>
      <c r="H25" s="1">
        <f>SUM(I25:K25)</f>
        <v>900000</v>
      </c>
      <c r="I25" s="1">
        <f>I4</f>
        <v>260000</v>
      </c>
      <c r="J25" s="1">
        <f>J4</f>
        <v>400000</v>
      </c>
      <c r="K25" s="1">
        <f>K4</f>
        <v>240000</v>
      </c>
    </row>
    <row r="26" spans="7:11" x14ac:dyDescent="0.15">
      <c r="G26" s="1" t="s">
        <v>5</v>
      </c>
      <c r="H26" s="3">
        <f>SUM(I26:K26)</f>
        <v>490000</v>
      </c>
      <c r="I26" s="3">
        <f>I5</f>
        <v>120000</v>
      </c>
      <c r="J26" s="3">
        <f t="shared" ref="J26:K26" si="4">J5</f>
        <v>210000</v>
      </c>
      <c r="K26" s="3">
        <f t="shared" si="4"/>
        <v>160000</v>
      </c>
    </row>
    <row r="27" spans="7:11" x14ac:dyDescent="0.15">
      <c r="G27" s="1" t="s">
        <v>6</v>
      </c>
      <c r="H27" s="1">
        <f>+H25-H26</f>
        <v>410000</v>
      </c>
      <c r="I27" s="1">
        <f>+I25-I26</f>
        <v>140000</v>
      </c>
      <c r="J27" s="1">
        <f t="shared" ref="J27:K27" si="5">+J25-J26</f>
        <v>190000</v>
      </c>
      <c r="K27" s="1">
        <f t="shared" si="5"/>
        <v>80000</v>
      </c>
    </row>
    <row r="28" spans="7:11" x14ac:dyDescent="0.15">
      <c r="G28" s="1" t="s">
        <v>7</v>
      </c>
    </row>
    <row r="29" spans="7:11" x14ac:dyDescent="0.15">
      <c r="G29" s="18" t="str">
        <f>G8</f>
        <v>Depreciação</v>
      </c>
      <c r="H29" s="1">
        <f t="shared" ref="H29:H31" si="6">SUM(I29:K29)</f>
        <v>68000</v>
      </c>
      <c r="I29" s="1">
        <f>I8</f>
        <v>8000</v>
      </c>
      <c r="J29" s="1">
        <f t="shared" ref="J29:K31" si="7">J8</f>
        <v>40000</v>
      </c>
      <c r="K29" s="1">
        <f t="shared" si="7"/>
        <v>20000</v>
      </c>
    </row>
    <row r="30" spans="7:11" x14ac:dyDescent="0.15">
      <c r="G30" s="18" t="str">
        <f t="shared" ref="G30:G31" si="8">G9</f>
        <v>Seguro de Responsabilidade Civil</v>
      </c>
      <c r="H30" s="1">
        <f t="shared" si="6"/>
        <v>42000</v>
      </c>
      <c r="I30" s="1">
        <f>I9</f>
        <v>20000</v>
      </c>
      <c r="J30" s="1">
        <f t="shared" si="7"/>
        <v>7000</v>
      </c>
      <c r="K30" s="1">
        <f t="shared" si="7"/>
        <v>15000</v>
      </c>
    </row>
    <row r="31" spans="7:11" x14ac:dyDescent="0.15">
      <c r="G31" s="18" t="str">
        <f t="shared" si="8"/>
        <v>Salários Administradores Programas</v>
      </c>
      <c r="H31" s="3">
        <f t="shared" si="6"/>
        <v>115000</v>
      </c>
      <c r="I31" s="3">
        <f>I10</f>
        <v>40000</v>
      </c>
      <c r="J31" s="3">
        <f t="shared" si="7"/>
        <v>38000</v>
      </c>
      <c r="K31" s="3">
        <f t="shared" si="7"/>
        <v>37000</v>
      </c>
    </row>
    <row r="32" spans="7:11" ht="14" thickBot="1" x14ac:dyDescent="0.2">
      <c r="G32" s="1" t="s">
        <v>12</v>
      </c>
      <c r="H32" s="19">
        <f>SUM(H29:H31)</f>
        <v>225000</v>
      </c>
      <c r="I32" s="19">
        <f t="shared" ref="I32:K32" si="9">SUM(I29:I31)</f>
        <v>68000</v>
      </c>
      <c r="J32" s="19">
        <f t="shared" si="9"/>
        <v>85000</v>
      </c>
      <c r="K32" s="19">
        <f t="shared" si="9"/>
        <v>72000</v>
      </c>
    </row>
    <row r="33" spans="7:11" ht="14" thickTop="1" x14ac:dyDescent="0.15">
      <c r="G33" s="20" t="s">
        <v>17</v>
      </c>
      <c r="H33" s="1">
        <f>+H27-H32</f>
        <v>185000</v>
      </c>
      <c r="I33" s="1">
        <f t="shared" ref="I33:K33" si="10">+I27-I32</f>
        <v>72000</v>
      </c>
      <c r="J33" s="1">
        <f t="shared" si="10"/>
        <v>105000</v>
      </c>
      <c r="K33" s="1">
        <f t="shared" si="10"/>
        <v>8000</v>
      </c>
    </row>
    <row r="34" spans="7:11" x14ac:dyDescent="0.15">
      <c r="G34" s="1" t="str">
        <f>G11</f>
        <v>Despesas Adm. Gerais</v>
      </c>
      <c r="H34" s="3">
        <f>H11</f>
        <v>180000</v>
      </c>
    </row>
    <row r="35" spans="7:11" ht="14" thickBot="1" x14ac:dyDescent="0.2">
      <c r="G35" s="21" t="s">
        <v>13</v>
      </c>
      <c r="H35" s="21">
        <f>+H33-H34</f>
        <v>5000</v>
      </c>
      <c r="I35" s="21"/>
      <c r="J35" s="21"/>
      <c r="K35" s="21"/>
    </row>
    <row r="36" spans="7:11" ht="14" thickTop="1" x14ac:dyDescent="0.15"/>
  </sheetData>
  <pageMargins left="0.75" right="0.75" top="1" bottom="1" header="0.5" footer="0.5"/>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J30"/>
  <sheetViews>
    <sheetView showGridLines="0" zoomScale="130" zoomScaleNormal="130" zoomScalePageLayoutView="130" workbookViewId="0">
      <selection activeCell="G1" sqref="G1:N1048576"/>
    </sheetView>
  </sheetViews>
  <sheetFormatPr baseColWidth="10" defaultRowHeight="13" x14ac:dyDescent="0.15"/>
  <cols>
    <col min="1" max="7" width="10.83203125" style="1"/>
    <col min="8" max="8" width="26.33203125" style="1" bestFit="1" customWidth="1"/>
    <col min="9" max="16384" width="10.83203125" style="1"/>
  </cols>
  <sheetData>
    <row r="5" spans="8:10" x14ac:dyDescent="0.15">
      <c r="H5" s="1" t="s">
        <v>18</v>
      </c>
      <c r="J5" s="1">
        <v>450000</v>
      </c>
    </row>
    <row r="6" spans="8:10" x14ac:dyDescent="0.15">
      <c r="H6" s="1" t="s">
        <v>19</v>
      </c>
    </row>
    <row r="7" spans="8:10" x14ac:dyDescent="0.15">
      <c r="H7" s="22" t="s">
        <v>20</v>
      </c>
      <c r="I7" s="1">
        <v>130000</v>
      </c>
    </row>
    <row r="8" spans="8:10" x14ac:dyDescent="0.15">
      <c r="H8" s="22" t="s">
        <v>21</v>
      </c>
      <c r="I8" s="1">
        <v>48000</v>
      </c>
    </row>
    <row r="9" spans="8:10" x14ac:dyDescent="0.15">
      <c r="H9" s="22" t="s">
        <v>22</v>
      </c>
      <c r="I9" s="3">
        <v>12000</v>
      </c>
      <c r="J9" s="3">
        <f>SUM(I7:I9)</f>
        <v>190000</v>
      </c>
    </row>
    <row r="10" spans="8:10" x14ac:dyDescent="0.15">
      <c r="H10" s="1" t="s">
        <v>23</v>
      </c>
      <c r="J10" s="1">
        <f>+J5-J9</f>
        <v>260000</v>
      </c>
    </row>
    <row r="11" spans="8:10" x14ac:dyDescent="0.15">
      <c r="H11" s="1" t="s">
        <v>24</v>
      </c>
    </row>
    <row r="12" spans="8:10" x14ac:dyDescent="0.15">
      <c r="H12" s="22" t="s">
        <v>25</v>
      </c>
      <c r="I12" s="1">
        <v>21000</v>
      </c>
    </row>
    <row r="13" spans="8:10" x14ac:dyDescent="0.15">
      <c r="H13" s="22" t="s">
        <v>26</v>
      </c>
      <c r="I13" s="1">
        <v>104000</v>
      </c>
    </row>
    <row r="14" spans="8:10" x14ac:dyDescent="0.15">
      <c r="H14" s="22" t="s">
        <v>27</v>
      </c>
      <c r="I14" s="1">
        <v>36000</v>
      </c>
    </row>
    <row r="15" spans="8:10" x14ac:dyDescent="0.15">
      <c r="H15" s="22" t="s">
        <v>28</v>
      </c>
      <c r="I15" s="1">
        <v>110000</v>
      </c>
    </row>
    <row r="16" spans="8:10" x14ac:dyDescent="0.15">
      <c r="H16" s="22" t="s">
        <v>29</v>
      </c>
      <c r="I16" s="1">
        <v>9000</v>
      </c>
    </row>
    <row r="17" spans="8:10" x14ac:dyDescent="0.15">
      <c r="H17" s="22" t="s">
        <v>30</v>
      </c>
      <c r="I17" s="3">
        <v>50000</v>
      </c>
      <c r="J17" s="3">
        <f>SUM(I12:I17)</f>
        <v>330000</v>
      </c>
    </row>
    <row r="18" spans="8:10" x14ac:dyDescent="0.15">
      <c r="H18" s="1" t="s">
        <v>13</v>
      </c>
      <c r="J18" s="1">
        <f>+J10-J17</f>
        <v>-70000</v>
      </c>
    </row>
    <row r="22" spans="8:10" x14ac:dyDescent="0.15">
      <c r="H22" s="5" t="s">
        <v>14</v>
      </c>
      <c r="I22" s="6"/>
      <c r="J22" s="7">
        <f>-J10</f>
        <v>-260000</v>
      </c>
    </row>
    <row r="23" spans="8:10" x14ac:dyDescent="0.15">
      <c r="H23" s="8" t="s">
        <v>15</v>
      </c>
      <c r="I23" s="9"/>
      <c r="J23" s="10"/>
    </row>
    <row r="24" spans="8:10" x14ac:dyDescent="0.15">
      <c r="H24" s="11" t="str">
        <f>H12</f>
        <v>Salário Supervisor Linha Produtos</v>
      </c>
      <c r="I24" s="9">
        <f>I12</f>
        <v>21000</v>
      </c>
      <c r="J24" s="10"/>
    </row>
    <row r="25" spans="8:10" x14ac:dyDescent="0.15">
      <c r="H25" s="11" t="str">
        <f>H15</f>
        <v>Propaganda (rastreável)</v>
      </c>
      <c r="I25" s="9">
        <f>I15</f>
        <v>110000</v>
      </c>
      <c r="J25" s="10"/>
    </row>
    <row r="26" spans="8:10" x14ac:dyDescent="0.15">
      <c r="H26" s="11" t="str">
        <f>H16</f>
        <v>Seguro dos Estoques</v>
      </c>
      <c r="I26" s="12">
        <f>I16</f>
        <v>9000</v>
      </c>
      <c r="J26" s="13">
        <f>SUM(I24:I26)</f>
        <v>140000</v>
      </c>
    </row>
    <row r="27" spans="8:10" x14ac:dyDescent="0.15">
      <c r="H27" s="14" t="s">
        <v>16</v>
      </c>
      <c r="I27" s="15"/>
      <c r="J27" s="16">
        <f>+J22+J26</f>
        <v>-120000</v>
      </c>
    </row>
    <row r="30" spans="8:10" x14ac:dyDescent="0.15">
      <c r="J30" s="23" t="s">
        <v>31</v>
      </c>
    </row>
  </sheetData>
  <pageMargins left="0.75" right="0.75" top="1" bottom="1" header="0.5" footer="0.5"/>
  <pageSetup paperSize="9"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N53"/>
  <sheetViews>
    <sheetView showGridLines="0" zoomScale="115" zoomScaleNormal="115" zoomScalePageLayoutView="115" workbookViewId="0">
      <selection activeCell="I1" sqref="I1:T1048576"/>
    </sheetView>
  </sheetViews>
  <sheetFormatPr baseColWidth="10" defaultRowHeight="13" x14ac:dyDescent="0.15"/>
  <cols>
    <col min="1" max="9" width="10.83203125" style="1"/>
    <col min="10" max="10" width="22.83203125" style="1" bestFit="1" customWidth="1"/>
    <col min="11" max="16384" width="10.83203125" style="1"/>
  </cols>
  <sheetData>
    <row r="3" spans="10:13" x14ac:dyDescent="0.15">
      <c r="K3" s="31" t="s">
        <v>32</v>
      </c>
      <c r="L3" s="31"/>
      <c r="M3" s="31"/>
    </row>
    <row r="4" spans="10:13" x14ac:dyDescent="0.15">
      <c r="K4" s="2" t="s">
        <v>33</v>
      </c>
      <c r="L4" s="2" t="s">
        <v>34</v>
      </c>
      <c r="M4" s="2" t="s">
        <v>35</v>
      </c>
    </row>
    <row r="5" spans="10:13" x14ac:dyDescent="0.15">
      <c r="J5" s="1" t="s">
        <v>36</v>
      </c>
      <c r="K5" s="24">
        <v>60</v>
      </c>
      <c r="L5" s="24">
        <v>90</v>
      </c>
      <c r="M5" s="24">
        <v>80</v>
      </c>
    </row>
    <row r="6" spans="10:13" x14ac:dyDescent="0.15">
      <c r="J6" s="1" t="s">
        <v>37</v>
      </c>
      <c r="K6" s="24"/>
      <c r="L6" s="24"/>
      <c r="M6" s="24"/>
    </row>
    <row r="7" spans="10:13" x14ac:dyDescent="0.15">
      <c r="J7" s="1" t="s">
        <v>38</v>
      </c>
      <c r="K7" s="24">
        <v>27</v>
      </c>
      <c r="L7" s="24">
        <v>14</v>
      </c>
      <c r="M7" s="24">
        <v>40</v>
      </c>
    </row>
    <row r="8" spans="10:13" x14ac:dyDescent="0.15">
      <c r="J8" s="1" t="s">
        <v>39</v>
      </c>
      <c r="K8" s="24">
        <v>12</v>
      </c>
      <c r="L8" s="24">
        <v>32</v>
      </c>
      <c r="M8" s="24">
        <v>16</v>
      </c>
    </row>
    <row r="9" spans="10:13" x14ac:dyDescent="0.15">
      <c r="J9" s="1" t="s">
        <v>40</v>
      </c>
      <c r="K9" s="25">
        <v>3</v>
      </c>
      <c r="L9" s="25">
        <v>8</v>
      </c>
      <c r="M9" s="25">
        <v>4</v>
      </c>
    </row>
    <row r="10" spans="10:13" x14ac:dyDescent="0.15">
      <c r="J10" s="1" t="s">
        <v>41</v>
      </c>
      <c r="K10" s="24">
        <f>SUM(K7:K9)</f>
        <v>42</v>
      </c>
      <c r="L10" s="24">
        <f t="shared" ref="L10:M10" si="0">SUM(L7:L9)</f>
        <v>54</v>
      </c>
      <c r="M10" s="24">
        <f t="shared" si="0"/>
        <v>60</v>
      </c>
    </row>
    <row r="11" spans="10:13" x14ac:dyDescent="0.15">
      <c r="J11" s="1" t="s">
        <v>23</v>
      </c>
      <c r="K11" s="24">
        <f>+K5-K10</f>
        <v>18</v>
      </c>
      <c r="L11" s="24">
        <f t="shared" ref="L11:M11" si="1">+L5-L10</f>
        <v>36</v>
      </c>
      <c r="M11" s="24">
        <f t="shared" si="1"/>
        <v>20</v>
      </c>
    </row>
    <row r="12" spans="10:13" x14ac:dyDescent="0.15">
      <c r="J12" s="1" t="s">
        <v>42</v>
      </c>
      <c r="K12" s="26">
        <f>+K11/K5</f>
        <v>0.3</v>
      </c>
      <c r="L12" s="26">
        <f t="shared" ref="L12:M12" si="2">+L11/L5</f>
        <v>0.4</v>
      </c>
      <c r="M12" s="26">
        <f t="shared" si="2"/>
        <v>0.25</v>
      </c>
    </row>
    <row r="15" spans="10:13" x14ac:dyDescent="0.15">
      <c r="J15" s="1" t="s">
        <v>43</v>
      </c>
      <c r="K15" s="1">
        <v>8</v>
      </c>
    </row>
    <row r="16" spans="10:13" x14ac:dyDescent="0.15">
      <c r="J16" s="1" t="s">
        <v>44</v>
      </c>
      <c r="K16" s="27">
        <v>3000</v>
      </c>
    </row>
    <row r="19" spans="10:14" x14ac:dyDescent="0.15">
      <c r="J19" s="1" t="s">
        <v>39</v>
      </c>
      <c r="K19" s="24">
        <f>K8</f>
        <v>12</v>
      </c>
      <c r="L19" s="24">
        <f t="shared" ref="L19:M19" si="3">L8</f>
        <v>32</v>
      </c>
      <c r="M19" s="24">
        <f t="shared" si="3"/>
        <v>16</v>
      </c>
    </row>
    <row r="20" spans="10:14" x14ac:dyDescent="0.15">
      <c r="J20" s="1" t="str">
        <f>J15</f>
        <v>Tx Salário</v>
      </c>
      <c r="K20" s="24">
        <f>$K$15</f>
        <v>8</v>
      </c>
      <c r="L20" s="24">
        <f t="shared" ref="L20:M20" si="4">$K$15</f>
        <v>8</v>
      </c>
      <c r="M20" s="24">
        <f t="shared" si="4"/>
        <v>8</v>
      </c>
    </row>
    <row r="21" spans="10:14" x14ac:dyDescent="0.15">
      <c r="J21" s="1" t="s">
        <v>45</v>
      </c>
      <c r="K21" s="24">
        <f>+K19/K20</f>
        <v>1.5</v>
      </c>
      <c r="L21" s="24">
        <f t="shared" ref="L21:M21" si="5">+L19/L20</f>
        <v>4</v>
      </c>
      <c r="M21" s="24">
        <f t="shared" si="5"/>
        <v>2</v>
      </c>
    </row>
    <row r="22" spans="10:14" x14ac:dyDescent="0.15">
      <c r="J22" s="1" t="s">
        <v>23</v>
      </c>
      <c r="K22" s="24">
        <f>K11</f>
        <v>18</v>
      </c>
      <c r="L22" s="24">
        <f>L11</f>
        <v>36</v>
      </c>
      <c r="M22" s="24">
        <f>M11</f>
        <v>20</v>
      </c>
    </row>
    <row r="23" spans="10:14" x14ac:dyDescent="0.15">
      <c r="J23" s="1" t="s">
        <v>46</v>
      </c>
      <c r="K23" s="24">
        <f>+K22/K21</f>
        <v>12</v>
      </c>
      <c r="L23" s="24">
        <f t="shared" ref="L23:M23" si="6">+L22/L21</f>
        <v>9</v>
      </c>
      <c r="M23" s="24">
        <f t="shared" si="6"/>
        <v>10</v>
      </c>
    </row>
    <row r="26" spans="10:14" x14ac:dyDescent="0.15">
      <c r="J26" s="1" t="s">
        <v>47</v>
      </c>
      <c r="K26" s="1">
        <f>+K23*$K$16</f>
        <v>36000</v>
      </c>
      <c r="L26" s="1">
        <f t="shared" ref="L26:M26" si="7">+L23*$K$16</f>
        <v>27000</v>
      </c>
      <c r="M26" s="1">
        <f t="shared" si="7"/>
        <v>30000</v>
      </c>
    </row>
    <row r="28" spans="10:14" ht="13" customHeight="1" x14ac:dyDescent="0.15">
      <c r="J28" s="32" t="s">
        <v>48</v>
      </c>
      <c r="K28" s="32"/>
      <c r="L28" s="32"/>
      <c r="M28" s="32"/>
    </row>
    <row r="29" spans="10:14" x14ac:dyDescent="0.15">
      <c r="J29" s="32"/>
      <c r="K29" s="32"/>
      <c r="L29" s="32"/>
      <c r="M29" s="32"/>
    </row>
    <row r="30" spans="10:14" x14ac:dyDescent="0.15">
      <c r="J30" s="32"/>
      <c r="K30" s="32"/>
      <c r="L30" s="32"/>
      <c r="M30" s="32"/>
    </row>
    <row r="32" spans="10:14" ht="13" customHeight="1" x14ac:dyDescent="0.15">
      <c r="J32" s="32" t="s">
        <v>49</v>
      </c>
      <c r="K32" s="32"/>
      <c r="L32" s="32"/>
      <c r="M32" s="32"/>
      <c r="N32" s="32"/>
    </row>
    <row r="33" spans="10:14" x14ac:dyDescent="0.15">
      <c r="J33" s="32"/>
      <c r="K33" s="32"/>
      <c r="L33" s="32"/>
      <c r="M33" s="32"/>
      <c r="N33" s="32"/>
    </row>
    <row r="34" spans="10:14" x14ac:dyDescent="0.15">
      <c r="J34" s="32"/>
      <c r="K34" s="32"/>
      <c r="L34" s="32"/>
      <c r="M34" s="32"/>
      <c r="N34" s="32"/>
    </row>
    <row r="35" spans="10:14" x14ac:dyDescent="0.15">
      <c r="J35" s="32"/>
      <c r="K35" s="32"/>
      <c r="L35" s="32"/>
      <c r="M35" s="32"/>
      <c r="N35" s="32"/>
    </row>
    <row r="36" spans="10:14" x14ac:dyDescent="0.15">
      <c r="J36" s="32"/>
      <c r="K36" s="32"/>
      <c r="L36" s="32"/>
      <c r="M36" s="32"/>
      <c r="N36" s="32"/>
    </row>
    <row r="37" spans="10:14" x14ac:dyDescent="0.15">
      <c r="J37" s="32"/>
      <c r="K37" s="32"/>
      <c r="L37" s="32"/>
      <c r="M37" s="32"/>
      <c r="N37" s="32"/>
    </row>
    <row r="38" spans="10:14" x14ac:dyDescent="0.15">
      <c r="J38" s="32"/>
      <c r="K38" s="32"/>
      <c r="L38" s="32"/>
      <c r="M38" s="32"/>
      <c r="N38" s="32"/>
    </row>
    <row r="39" spans="10:14" x14ac:dyDescent="0.15">
      <c r="J39" s="32"/>
      <c r="K39" s="32"/>
      <c r="L39" s="32"/>
      <c r="M39" s="32"/>
      <c r="N39" s="32"/>
    </row>
    <row r="40" spans="10:14" x14ac:dyDescent="0.15">
      <c r="J40" s="32"/>
      <c r="K40" s="32"/>
      <c r="L40" s="32"/>
      <c r="M40" s="32"/>
      <c r="N40" s="32"/>
    </row>
    <row r="41" spans="10:14" x14ac:dyDescent="0.15">
      <c r="J41" s="32"/>
      <c r="K41" s="32"/>
      <c r="L41" s="32"/>
      <c r="M41" s="32"/>
      <c r="N41" s="32"/>
    </row>
    <row r="42" spans="10:14" x14ac:dyDescent="0.15">
      <c r="J42" s="32"/>
      <c r="K42" s="32"/>
      <c r="L42" s="32"/>
      <c r="M42" s="32"/>
      <c r="N42" s="32"/>
    </row>
    <row r="43" spans="10:14" x14ac:dyDescent="0.15">
      <c r="J43" s="32"/>
      <c r="K43" s="32"/>
      <c r="L43" s="32"/>
      <c r="M43" s="32"/>
      <c r="N43" s="32"/>
    </row>
    <row r="44" spans="10:14" x14ac:dyDescent="0.15">
      <c r="J44" s="32"/>
      <c r="K44" s="32"/>
      <c r="L44" s="32"/>
      <c r="M44" s="32"/>
      <c r="N44" s="32"/>
    </row>
    <row r="45" spans="10:14" x14ac:dyDescent="0.15">
      <c r="J45" s="32"/>
      <c r="K45" s="32"/>
      <c r="L45" s="32"/>
      <c r="M45" s="32"/>
      <c r="N45" s="32"/>
    </row>
    <row r="46" spans="10:14" x14ac:dyDescent="0.15">
      <c r="J46" s="32"/>
      <c r="K46" s="32"/>
      <c r="L46" s="32"/>
      <c r="M46" s="32"/>
      <c r="N46" s="32"/>
    </row>
    <row r="47" spans="10:14" x14ac:dyDescent="0.15">
      <c r="J47" s="32"/>
      <c r="K47" s="32"/>
      <c r="L47" s="32"/>
      <c r="M47" s="32"/>
      <c r="N47" s="32"/>
    </row>
    <row r="48" spans="10:14" x14ac:dyDescent="0.15">
      <c r="J48" s="32"/>
      <c r="K48" s="32"/>
      <c r="L48" s="32"/>
      <c r="M48" s="32"/>
      <c r="N48" s="32"/>
    </row>
    <row r="49" spans="10:14" x14ac:dyDescent="0.15">
      <c r="J49" s="32"/>
      <c r="K49" s="32"/>
      <c r="L49" s="32"/>
      <c r="M49" s="32"/>
      <c r="N49" s="32"/>
    </row>
    <row r="50" spans="10:14" x14ac:dyDescent="0.15">
      <c r="J50" s="32"/>
      <c r="K50" s="32"/>
      <c r="L50" s="32"/>
      <c r="M50" s="32"/>
      <c r="N50" s="32"/>
    </row>
    <row r="51" spans="10:14" x14ac:dyDescent="0.15">
      <c r="J51" s="32"/>
      <c r="K51" s="32"/>
      <c r="L51" s="32"/>
      <c r="M51" s="32"/>
      <c r="N51" s="32"/>
    </row>
    <row r="52" spans="10:14" x14ac:dyDescent="0.15">
      <c r="J52" s="32"/>
      <c r="K52" s="32"/>
      <c r="L52" s="32"/>
      <c r="M52" s="32"/>
      <c r="N52" s="32"/>
    </row>
    <row r="53" spans="10:14" x14ac:dyDescent="0.15">
      <c r="J53" s="32"/>
      <c r="K53" s="32"/>
      <c r="L53" s="32"/>
      <c r="M53" s="32"/>
      <c r="N53" s="32"/>
    </row>
  </sheetData>
  <mergeCells count="3">
    <mergeCell ref="K3:M3"/>
    <mergeCell ref="J28:M30"/>
    <mergeCell ref="J32:N53"/>
  </mergeCells>
  <pageMargins left="0.75" right="0.75" top="1" bottom="1" header="0.5" footer="0.5"/>
  <pageSetup paperSize="9"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4:N52"/>
  <sheetViews>
    <sheetView showGridLines="0" zoomScale="145" zoomScaleNormal="145" zoomScalePageLayoutView="145" workbookViewId="0">
      <selection activeCell="J1" sqref="J1:R1048576"/>
    </sheetView>
  </sheetViews>
  <sheetFormatPr baseColWidth="10" defaultRowHeight="13" x14ac:dyDescent="0.15"/>
  <cols>
    <col min="1" max="10" width="10.83203125" style="1"/>
    <col min="11" max="11" width="48.83203125" style="1" bestFit="1" customWidth="1"/>
    <col min="12" max="16384" width="10.83203125" style="1"/>
  </cols>
  <sheetData>
    <row r="4" spans="11:12" x14ac:dyDescent="0.15">
      <c r="K4" s="1" t="s">
        <v>50</v>
      </c>
      <c r="L4" s="1">
        <f>75*0.4*100</f>
        <v>3000</v>
      </c>
    </row>
    <row r="5" spans="11:12" x14ac:dyDescent="0.15">
      <c r="K5" s="1" t="s">
        <v>51</v>
      </c>
      <c r="L5" s="3">
        <f>0.4*100*22.5</f>
        <v>900</v>
      </c>
    </row>
    <row r="6" spans="11:12" x14ac:dyDescent="0.15">
      <c r="K6" s="1" t="s">
        <v>23</v>
      </c>
      <c r="L6" s="1">
        <f>+L4-L5</f>
        <v>2100</v>
      </c>
    </row>
    <row r="7" spans="11:12" x14ac:dyDescent="0.15">
      <c r="K7" s="1" t="s">
        <v>52</v>
      </c>
    </row>
    <row r="8" spans="11:12" x14ac:dyDescent="0.15">
      <c r="K8" s="1" t="s">
        <v>53</v>
      </c>
      <c r="L8" s="1">
        <v>600</v>
      </c>
    </row>
    <row r="9" spans="11:12" x14ac:dyDescent="0.15">
      <c r="K9" s="1" t="s">
        <v>54</v>
      </c>
      <c r="L9" s="1">
        <v>350</v>
      </c>
    </row>
    <row r="10" spans="11:12" x14ac:dyDescent="0.15">
      <c r="K10" s="1" t="s">
        <v>55</v>
      </c>
      <c r="L10" s="1">
        <v>700</v>
      </c>
    </row>
    <row r="11" spans="11:12" x14ac:dyDescent="0.15">
      <c r="K11" s="1" t="s">
        <v>56</v>
      </c>
      <c r="L11" s="1">
        <v>125</v>
      </c>
    </row>
    <row r="12" spans="11:12" x14ac:dyDescent="0.15">
      <c r="K12" s="1" t="s">
        <v>57</v>
      </c>
      <c r="L12" s="1">
        <v>450</v>
      </c>
    </row>
    <row r="13" spans="11:12" x14ac:dyDescent="0.15">
      <c r="K13" s="1" t="s">
        <v>58</v>
      </c>
      <c r="L13" s="1">
        <v>200</v>
      </c>
    </row>
    <row r="14" spans="11:12" x14ac:dyDescent="0.15">
      <c r="K14" s="1" t="s">
        <v>59</v>
      </c>
      <c r="L14" s="1">
        <v>50</v>
      </c>
    </row>
    <row r="15" spans="11:12" x14ac:dyDescent="0.15">
      <c r="K15" s="1" t="s">
        <v>60</v>
      </c>
      <c r="L15" s="1">
        <v>175</v>
      </c>
    </row>
    <row r="16" spans="11:12" x14ac:dyDescent="0.15">
      <c r="K16" s="1" t="s">
        <v>61</v>
      </c>
      <c r="L16" s="3">
        <v>300</v>
      </c>
    </row>
    <row r="17" spans="11:13" x14ac:dyDescent="0.15">
      <c r="K17" s="1" t="s">
        <v>0</v>
      </c>
      <c r="L17" s="1">
        <f>SUM(L8:L16)</f>
        <v>2950</v>
      </c>
    </row>
    <row r="18" spans="11:13" x14ac:dyDescent="0.15">
      <c r="K18" s="1" t="s">
        <v>13</v>
      </c>
      <c r="L18" s="1">
        <f>+L6-L17</f>
        <v>-850</v>
      </c>
    </row>
    <row r="23" spans="11:13" x14ac:dyDescent="0.15">
      <c r="K23" s="1" t="s">
        <v>62</v>
      </c>
      <c r="M23" s="1">
        <f>-L6</f>
        <v>-2100</v>
      </c>
    </row>
    <row r="24" spans="11:13" x14ac:dyDescent="0.15">
      <c r="K24" s="1" t="str">
        <f>K8</f>
        <v>Promoção</v>
      </c>
      <c r="L24" s="1">
        <f>L8</f>
        <v>600</v>
      </c>
    </row>
    <row r="25" spans="11:13" x14ac:dyDescent="0.15">
      <c r="K25" s="1" t="str">
        <f>K10</f>
        <v>Taxa do Guia Turístico</v>
      </c>
      <c r="L25" s="1">
        <f>L10</f>
        <v>700</v>
      </c>
    </row>
    <row r="26" spans="11:13" x14ac:dyDescent="0.15">
      <c r="K26" s="1" t="str">
        <f>K11</f>
        <v>Combustivel</v>
      </c>
      <c r="L26" s="1">
        <f>L11</f>
        <v>125</v>
      </c>
    </row>
    <row r="27" spans="11:13" x14ac:dyDescent="0.15">
      <c r="K27" s="1" t="str">
        <f>K14</f>
        <v>Estacionamento</v>
      </c>
      <c r="L27" s="1">
        <f>L14</f>
        <v>50</v>
      </c>
    </row>
    <row r="28" spans="11:13" x14ac:dyDescent="0.15">
      <c r="K28" s="1" t="str">
        <f>K15</f>
        <v>Acomodações e Refeições</v>
      </c>
      <c r="L28" s="3">
        <f>L15</f>
        <v>175</v>
      </c>
      <c r="M28" s="3">
        <f>SUM(L24:L28)</f>
        <v>1650</v>
      </c>
    </row>
    <row r="29" spans="11:13" x14ac:dyDescent="0.15">
      <c r="M29" s="1">
        <f>+M28+M23</f>
        <v>-450</v>
      </c>
    </row>
    <row r="32" spans="11:13" x14ac:dyDescent="0.15">
      <c r="K32" s="1" t="s">
        <v>63</v>
      </c>
    </row>
    <row r="33" spans="11:14" x14ac:dyDescent="0.15">
      <c r="K33" s="1" t="str">
        <f>K9</f>
        <v>Salário do Motorista</v>
      </c>
    </row>
    <row r="34" spans="11:14" x14ac:dyDescent="0.15">
      <c r="K34" s="1" t="str">
        <f>K12</f>
        <v>Depreciacao</v>
      </c>
    </row>
    <row r="35" spans="11:14" x14ac:dyDescent="0.15">
      <c r="K35" s="1" t="str">
        <f>K13</f>
        <v>Seguro</v>
      </c>
    </row>
    <row r="36" spans="11:14" x14ac:dyDescent="0.15">
      <c r="K36" s="1" t="str">
        <f>K16</f>
        <v>Manutenção</v>
      </c>
    </row>
    <row r="38" spans="11:14" ht="13" customHeight="1" x14ac:dyDescent="0.15">
      <c r="K38" s="32" t="s">
        <v>64</v>
      </c>
      <c r="L38" s="32"/>
      <c r="M38" s="32"/>
      <c r="N38" s="32"/>
    </row>
    <row r="39" spans="11:14" x14ac:dyDescent="0.15">
      <c r="K39" s="32"/>
      <c r="L39" s="32"/>
      <c r="M39" s="32"/>
      <c r="N39" s="32"/>
    </row>
    <row r="40" spans="11:14" x14ac:dyDescent="0.15">
      <c r="K40" s="32"/>
      <c r="L40" s="32"/>
      <c r="M40" s="32"/>
      <c r="N40" s="32"/>
    </row>
    <row r="41" spans="11:14" x14ac:dyDescent="0.15">
      <c r="K41" s="32"/>
      <c r="L41" s="32"/>
      <c r="M41" s="32"/>
      <c r="N41" s="32"/>
    </row>
    <row r="42" spans="11:14" x14ac:dyDescent="0.15">
      <c r="K42" s="32"/>
      <c r="L42" s="32"/>
      <c r="M42" s="32"/>
      <c r="N42" s="32"/>
    </row>
    <row r="43" spans="11:14" x14ac:dyDescent="0.15">
      <c r="K43" s="32"/>
      <c r="L43" s="32"/>
      <c r="M43" s="32"/>
      <c r="N43" s="32"/>
    </row>
    <row r="44" spans="11:14" x14ac:dyDescent="0.15">
      <c r="K44" s="32"/>
      <c r="L44" s="32"/>
      <c r="M44" s="32"/>
      <c r="N44" s="32"/>
    </row>
    <row r="45" spans="11:14" x14ac:dyDescent="0.15">
      <c r="K45" s="32"/>
      <c r="L45" s="32"/>
      <c r="M45" s="32"/>
      <c r="N45" s="32"/>
    </row>
    <row r="46" spans="11:14" x14ac:dyDescent="0.15">
      <c r="K46" s="32"/>
      <c r="L46" s="32"/>
      <c r="M46" s="32"/>
      <c r="N46" s="32"/>
    </row>
    <row r="47" spans="11:14" x14ac:dyDescent="0.15">
      <c r="K47" s="32"/>
      <c r="L47" s="32"/>
      <c r="M47" s="32"/>
      <c r="N47" s="32"/>
    </row>
    <row r="48" spans="11:14" x14ac:dyDescent="0.15">
      <c r="K48" s="32"/>
      <c r="L48" s="32"/>
      <c r="M48" s="32"/>
      <c r="N48" s="32"/>
    </row>
    <row r="49" spans="11:14" x14ac:dyDescent="0.15">
      <c r="K49" s="32"/>
      <c r="L49" s="32"/>
      <c r="M49" s="32"/>
      <c r="N49" s="32"/>
    </row>
    <row r="50" spans="11:14" x14ac:dyDescent="0.15">
      <c r="K50" s="32"/>
      <c r="L50" s="32"/>
      <c r="M50" s="32"/>
      <c r="N50" s="32"/>
    </row>
    <row r="51" spans="11:14" x14ac:dyDescent="0.15">
      <c r="K51" s="32"/>
      <c r="L51" s="32"/>
      <c r="M51" s="32"/>
      <c r="N51" s="32"/>
    </row>
    <row r="52" spans="11:14" x14ac:dyDescent="0.15">
      <c r="K52" s="32"/>
      <c r="L52" s="32"/>
      <c r="M52" s="32"/>
      <c r="N52" s="32"/>
    </row>
  </sheetData>
  <mergeCells count="1">
    <mergeCell ref="K38:N52"/>
  </mergeCells>
  <pageMargins left="0.75" right="0.75" top="1" bottom="1" header="0.5" footer="0.5"/>
  <pageSetup paperSize="9"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5:M58"/>
  <sheetViews>
    <sheetView showGridLines="0" zoomScale="145" zoomScaleNormal="145" zoomScalePageLayoutView="145" workbookViewId="0">
      <selection activeCell="I1" sqref="I1:Q1048576"/>
    </sheetView>
  </sheetViews>
  <sheetFormatPr baseColWidth="10" defaultRowHeight="13" x14ac:dyDescent="0.15"/>
  <cols>
    <col min="1" max="9" width="10.83203125" style="1"/>
    <col min="10" max="10" width="21.33203125" style="1" bestFit="1" customWidth="1"/>
    <col min="11" max="11" width="13.6640625" style="1" bestFit="1" customWidth="1"/>
    <col min="12" max="12" width="11.83203125" style="1" bestFit="1" customWidth="1"/>
    <col min="13" max="16384" width="10.83203125" style="1"/>
  </cols>
  <sheetData>
    <row r="5" spans="10:11" x14ac:dyDescent="0.15">
      <c r="J5" s="1" t="s">
        <v>65</v>
      </c>
      <c r="K5" s="27">
        <v>40000</v>
      </c>
    </row>
    <row r="6" spans="10:11" x14ac:dyDescent="0.15">
      <c r="J6" s="1" t="s">
        <v>36</v>
      </c>
      <c r="K6" s="1">
        <v>35</v>
      </c>
    </row>
    <row r="7" spans="10:11" x14ac:dyDescent="0.15">
      <c r="J7" s="1" t="s">
        <v>37</v>
      </c>
      <c r="K7" s="1">
        <v>21</v>
      </c>
    </row>
    <row r="8" spans="10:11" x14ac:dyDescent="0.15">
      <c r="J8" s="1" t="s">
        <v>66</v>
      </c>
      <c r="K8" s="1">
        <v>230000</v>
      </c>
    </row>
    <row r="9" spans="10:11" x14ac:dyDescent="0.15">
      <c r="J9" s="1" t="s">
        <v>24</v>
      </c>
      <c r="K9" s="1">
        <v>310000</v>
      </c>
    </row>
    <row r="11" spans="10:11" x14ac:dyDescent="0.15">
      <c r="J11" s="1" t="s">
        <v>67</v>
      </c>
      <c r="K11" s="27">
        <v>11000</v>
      </c>
    </row>
    <row r="13" spans="10:11" x14ac:dyDescent="0.15">
      <c r="J13" s="1" t="s">
        <v>68</v>
      </c>
      <c r="K13" s="1">
        <v>60000</v>
      </c>
    </row>
    <row r="14" spans="10:11" x14ac:dyDescent="0.15">
      <c r="J14" s="1" t="s">
        <v>69</v>
      </c>
      <c r="K14" s="28">
        <v>0.1</v>
      </c>
    </row>
    <row r="15" spans="10:11" x14ac:dyDescent="0.15">
      <c r="J15" s="1" t="s">
        <v>70</v>
      </c>
      <c r="K15" s="1">
        <v>14000</v>
      </c>
    </row>
    <row r="17" spans="10:13" x14ac:dyDescent="0.15">
      <c r="J17" s="31" t="s">
        <v>71</v>
      </c>
      <c r="K17" s="31"/>
      <c r="L17" s="31"/>
    </row>
    <row r="18" spans="10:13" x14ac:dyDescent="0.15">
      <c r="J18" s="1" t="s">
        <v>72</v>
      </c>
      <c r="L18" s="1">
        <f>-(K6-K7)*K11*2</f>
        <v>-308000</v>
      </c>
    </row>
    <row r="19" spans="10:13" x14ac:dyDescent="0.15">
      <c r="J19" s="1" t="s">
        <v>73</v>
      </c>
    </row>
    <row r="20" spans="10:13" x14ac:dyDescent="0.15">
      <c r="J20" s="1" t="str">
        <f>J13</f>
        <v>Redução CF</v>
      </c>
      <c r="K20" s="1">
        <f>K13*2</f>
        <v>120000</v>
      </c>
    </row>
    <row r="21" spans="10:13" x14ac:dyDescent="0.15">
      <c r="J21" s="1" t="str">
        <f>J14</f>
        <v>Redução DF</v>
      </c>
      <c r="K21" s="1">
        <f>K14*K9*2</f>
        <v>62000</v>
      </c>
    </row>
    <row r="22" spans="10:13" x14ac:dyDescent="0.15">
      <c r="J22" s="1" t="s">
        <v>74</v>
      </c>
      <c r="K22" s="1">
        <f>-K15</f>
        <v>-14000</v>
      </c>
      <c r="L22" s="3">
        <f>SUM(K19:K22)</f>
        <v>168000</v>
      </c>
    </row>
    <row r="23" spans="10:13" x14ac:dyDescent="0.15">
      <c r="J23" s="1" t="s">
        <v>75</v>
      </c>
      <c r="L23" s="1">
        <f>+L22+L18</f>
        <v>-140000</v>
      </c>
    </row>
    <row r="26" spans="10:13" ht="13" customHeight="1" x14ac:dyDescent="0.15">
      <c r="J26" s="32" t="s">
        <v>76</v>
      </c>
      <c r="K26" s="32"/>
      <c r="L26" s="32"/>
      <c r="M26" s="32"/>
    </row>
    <row r="27" spans="10:13" x14ac:dyDescent="0.15">
      <c r="J27" s="32"/>
      <c r="K27" s="32"/>
      <c r="L27" s="32"/>
      <c r="M27" s="32"/>
    </row>
    <row r="28" spans="10:13" x14ac:dyDescent="0.15">
      <c r="J28" s="32"/>
      <c r="K28" s="32"/>
      <c r="L28" s="32"/>
      <c r="M28" s="32"/>
    </row>
    <row r="29" spans="10:13" x14ac:dyDescent="0.15">
      <c r="J29" s="32"/>
      <c r="K29" s="32"/>
      <c r="L29" s="32"/>
      <c r="M29" s="32"/>
    </row>
    <row r="30" spans="10:13" x14ac:dyDescent="0.15">
      <c r="J30" s="32"/>
      <c r="K30" s="32"/>
      <c r="L30" s="32"/>
      <c r="M30" s="32"/>
    </row>
    <row r="31" spans="10:13" x14ac:dyDescent="0.15">
      <c r="J31" s="32"/>
      <c r="K31" s="32"/>
      <c r="L31" s="32"/>
      <c r="M31" s="32"/>
    </row>
    <row r="32" spans="10:13" x14ac:dyDescent="0.15">
      <c r="J32" s="32"/>
      <c r="K32" s="32"/>
      <c r="L32" s="32"/>
      <c r="M32" s="32"/>
    </row>
    <row r="33" spans="10:13" x14ac:dyDescent="0.15">
      <c r="J33" s="32"/>
      <c r="K33" s="32"/>
      <c r="L33" s="32"/>
      <c r="M33" s="32"/>
    </row>
    <row r="34" spans="10:13" x14ac:dyDescent="0.15">
      <c r="J34" s="32"/>
      <c r="K34" s="32"/>
      <c r="L34" s="32"/>
      <c r="M34" s="32"/>
    </row>
    <row r="35" spans="10:13" x14ac:dyDescent="0.15">
      <c r="J35" s="32"/>
      <c r="K35" s="32"/>
      <c r="L35" s="32"/>
      <c r="M35" s="32"/>
    </row>
    <row r="36" spans="10:13" x14ac:dyDescent="0.15">
      <c r="J36" s="32"/>
      <c r="K36" s="32"/>
      <c r="L36" s="32"/>
      <c r="M36" s="32"/>
    </row>
    <row r="37" spans="10:13" x14ac:dyDescent="0.15">
      <c r="J37" s="32"/>
      <c r="K37" s="32"/>
      <c r="L37" s="32"/>
      <c r="M37" s="32"/>
    </row>
    <row r="38" spans="10:13" x14ac:dyDescent="0.15">
      <c r="J38" s="32"/>
      <c r="K38" s="32"/>
      <c r="L38" s="32"/>
      <c r="M38" s="32"/>
    </row>
    <row r="39" spans="10:13" x14ac:dyDescent="0.15">
      <c r="J39" s="32"/>
      <c r="K39" s="32"/>
      <c r="L39" s="32"/>
      <c r="M39" s="32"/>
    </row>
    <row r="40" spans="10:13" x14ac:dyDescent="0.15">
      <c r="J40" s="32"/>
      <c r="K40" s="32"/>
      <c r="L40" s="32"/>
      <c r="M40" s="32"/>
    </row>
    <row r="42" spans="10:13" x14ac:dyDescent="0.15">
      <c r="J42" s="1" t="s">
        <v>77</v>
      </c>
      <c r="K42" s="1">
        <f>L22</f>
        <v>168000</v>
      </c>
    </row>
    <row r="43" spans="10:13" x14ac:dyDescent="0.15">
      <c r="J43" s="1" t="s">
        <v>78</v>
      </c>
      <c r="K43" s="1">
        <f>+K6-K7</f>
        <v>14</v>
      </c>
    </row>
    <row r="45" spans="10:13" x14ac:dyDescent="0.15">
      <c r="J45" s="1" t="s">
        <v>79</v>
      </c>
      <c r="K45" s="27">
        <f>K42/K43</f>
        <v>12000</v>
      </c>
      <c r="L45" s="29" t="s">
        <v>80</v>
      </c>
    </row>
    <row r="47" spans="10:13" x14ac:dyDescent="0.15">
      <c r="J47" s="1" t="s">
        <v>81</v>
      </c>
    </row>
    <row r="48" spans="10:13" x14ac:dyDescent="0.15">
      <c r="K48" s="1" t="s">
        <v>82</v>
      </c>
      <c r="L48" s="1" t="s">
        <v>83</v>
      </c>
    </row>
    <row r="49" spans="10:12" x14ac:dyDescent="0.15">
      <c r="J49" s="1" t="s">
        <v>18</v>
      </c>
      <c r="K49" s="1">
        <f>K45*K6</f>
        <v>420000</v>
      </c>
      <c r="L49" s="1">
        <v>0</v>
      </c>
    </row>
    <row r="50" spans="10:12" x14ac:dyDescent="0.15">
      <c r="J50" s="1" t="s">
        <v>84</v>
      </c>
      <c r="K50" s="3">
        <f>-K7*K45</f>
        <v>-252000</v>
      </c>
      <c r="L50" s="3">
        <v>0</v>
      </c>
    </row>
    <row r="51" spans="10:12" x14ac:dyDescent="0.15">
      <c r="J51" s="1" t="s">
        <v>23</v>
      </c>
      <c r="K51" s="1">
        <f>+K50+K49</f>
        <v>168000</v>
      </c>
      <c r="L51" s="1">
        <f>+L50+L49</f>
        <v>0</v>
      </c>
    </row>
    <row r="52" spans="10:12" x14ac:dyDescent="0.15">
      <c r="J52" s="1" t="s">
        <v>85</v>
      </c>
    </row>
    <row r="53" spans="10:12" x14ac:dyDescent="0.15">
      <c r="J53" s="4" t="s">
        <v>86</v>
      </c>
      <c r="K53" s="1">
        <f>-K8*2</f>
        <v>-460000</v>
      </c>
      <c r="L53" s="1">
        <f>-(K8-K13)*2</f>
        <v>-340000</v>
      </c>
    </row>
    <row r="54" spans="10:12" x14ac:dyDescent="0.15">
      <c r="J54" s="4" t="s">
        <v>24</v>
      </c>
      <c r="K54" s="3">
        <f>-K9*2</f>
        <v>-620000</v>
      </c>
      <c r="L54" s="3">
        <f>-K9*(1-K14)*2</f>
        <v>-558000</v>
      </c>
    </row>
    <row r="55" spans="10:12" x14ac:dyDescent="0.15">
      <c r="J55" s="4" t="s">
        <v>87</v>
      </c>
      <c r="K55" s="1">
        <f>+K54+K53</f>
        <v>-1080000</v>
      </c>
      <c r="L55" s="1">
        <f>+L54+L53</f>
        <v>-898000</v>
      </c>
    </row>
    <row r="56" spans="10:12" x14ac:dyDescent="0.15">
      <c r="J56" s="1" t="s">
        <v>88</v>
      </c>
      <c r="K56" s="3">
        <v>0</v>
      </c>
      <c r="L56" s="3">
        <f>-K15</f>
        <v>-14000</v>
      </c>
    </row>
    <row r="57" spans="10:12" x14ac:dyDescent="0.15">
      <c r="J57" s="1" t="s">
        <v>89</v>
      </c>
      <c r="K57" s="3">
        <f>+K56+K55</f>
        <v>-1080000</v>
      </c>
      <c r="L57" s="3">
        <f>+L56+L55</f>
        <v>-912000</v>
      </c>
    </row>
    <row r="58" spans="10:12" x14ac:dyDescent="0.15">
      <c r="J58" s="1" t="s">
        <v>90</v>
      </c>
      <c r="K58" s="1">
        <f>K51+K57</f>
        <v>-912000</v>
      </c>
      <c r="L58" s="1">
        <f>L51+L57</f>
        <v>-912000</v>
      </c>
    </row>
  </sheetData>
  <mergeCells count="2">
    <mergeCell ref="J17:L17"/>
    <mergeCell ref="J26:M40"/>
  </mergeCells>
  <pageMargins left="0.75" right="0.75" top="1" bottom="1" header="0.5" footer="0.5"/>
  <pageSetup paperSize="9"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N65"/>
  <sheetViews>
    <sheetView showGridLines="0" tabSelected="1" zoomScale="130" zoomScaleNormal="130" zoomScalePageLayoutView="130" workbookViewId="0">
      <selection activeCell="I1" sqref="I1:V1048576"/>
    </sheetView>
  </sheetViews>
  <sheetFormatPr baseColWidth="10" defaultRowHeight="13" x14ac:dyDescent="0.15"/>
  <cols>
    <col min="1" max="9" width="10.83203125" style="1"/>
    <col min="10" max="10" width="28.1640625" style="1" bestFit="1" customWidth="1"/>
    <col min="11" max="14" width="14.83203125" style="1" customWidth="1"/>
    <col min="15" max="16384" width="10.83203125" style="1"/>
  </cols>
  <sheetData>
    <row r="2" spans="10:14" x14ac:dyDescent="0.15">
      <c r="K2" s="2" t="s">
        <v>0</v>
      </c>
      <c r="L2" s="2" t="s">
        <v>91</v>
      </c>
      <c r="M2" s="2" t="s">
        <v>92</v>
      </c>
      <c r="N2" s="2" t="s">
        <v>93</v>
      </c>
    </row>
    <row r="3" spans="10:14" x14ac:dyDescent="0.15">
      <c r="J3" s="1" t="s">
        <v>18</v>
      </c>
      <c r="K3" s="24">
        <f>SUM(L3:N3)</f>
        <v>2500000</v>
      </c>
      <c r="L3" s="24">
        <v>900000</v>
      </c>
      <c r="M3" s="24">
        <v>600000</v>
      </c>
      <c r="N3" s="24">
        <v>1000000</v>
      </c>
    </row>
    <row r="4" spans="10:14" x14ac:dyDescent="0.15">
      <c r="J4" s="1" t="s">
        <v>94</v>
      </c>
      <c r="K4" s="25">
        <f>SUM(L4:N4)</f>
        <v>1450000</v>
      </c>
      <c r="L4" s="25">
        <v>513000</v>
      </c>
      <c r="M4" s="25">
        <v>372000</v>
      </c>
      <c r="N4" s="25">
        <v>565000</v>
      </c>
    </row>
    <row r="5" spans="10:14" x14ac:dyDescent="0.15">
      <c r="J5" s="1" t="s">
        <v>95</v>
      </c>
      <c r="K5" s="24">
        <f>+K3-K4</f>
        <v>1050000</v>
      </c>
      <c r="L5" s="24">
        <f t="shared" ref="L5:N5" si="0">+L3-L4</f>
        <v>387000</v>
      </c>
      <c r="M5" s="24">
        <f t="shared" si="0"/>
        <v>228000</v>
      </c>
      <c r="N5" s="24">
        <f t="shared" si="0"/>
        <v>435000</v>
      </c>
    </row>
    <row r="6" spans="10:14" x14ac:dyDescent="0.15">
      <c r="K6" s="24"/>
      <c r="L6" s="24"/>
      <c r="M6" s="24"/>
      <c r="N6" s="24"/>
    </row>
    <row r="7" spans="10:14" x14ac:dyDescent="0.15">
      <c r="J7" s="1" t="s">
        <v>96</v>
      </c>
      <c r="K7" s="24"/>
      <c r="L7" s="24"/>
      <c r="M7" s="24"/>
      <c r="N7" s="24"/>
    </row>
    <row r="8" spans="10:14" x14ac:dyDescent="0.15">
      <c r="J8" s="1" t="s">
        <v>97</v>
      </c>
      <c r="K8" s="24">
        <f t="shared" ref="K8:K14" si="1">SUM(L8:N8)</f>
        <v>118500</v>
      </c>
      <c r="L8" s="24">
        <v>40000</v>
      </c>
      <c r="M8" s="24">
        <v>36000</v>
      </c>
      <c r="N8" s="24">
        <v>42500</v>
      </c>
    </row>
    <row r="9" spans="10:14" x14ac:dyDescent="0.15">
      <c r="J9" s="1" t="s">
        <v>98</v>
      </c>
      <c r="K9" s="24">
        <f t="shared" si="1"/>
        <v>20000</v>
      </c>
      <c r="L9" s="24">
        <v>7200</v>
      </c>
      <c r="M9" s="24">
        <v>4800</v>
      </c>
      <c r="N9" s="24">
        <v>8000</v>
      </c>
    </row>
    <row r="10" spans="10:14" x14ac:dyDescent="0.15">
      <c r="J10" s="1" t="s">
        <v>99</v>
      </c>
      <c r="K10" s="24">
        <f t="shared" si="1"/>
        <v>157000</v>
      </c>
      <c r="L10" s="24">
        <v>52000</v>
      </c>
      <c r="M10" s="24">
        <v>45000</v>
      </c>
      <c r="N10" s="24">
        <v>60000</v>
      </c>
    </row>
    <row r="11" spans="10:14" x14ac:dyDescent="0.15">
      <c r="J11" s="1" t="s">
        <v>100</v>
      </c>
      <c r="K11" s="24">
        <f t="shared" si="1"/>
        <v>30000</v>
      </c>
      <c r="L11" s="24">
        <v>10000</v>
      </c>
      <c r="M11" s="24">
        <v>10000</v>
      </c>
      <c r="N11" s="24">
        <v>10000</v>
      </c>
    </row>
    <row r="12" spans="10:14" x14ac:dyDescent="0.15">
      <c r="J12" s="1" t="s">
        <v>101</v>
      </c>
      <c r="K12" s="24">
        <f t="shared" si="1"/>
        <v>215000</v>
      </c>
      <c r="L12" s="24">
        <v>70000</v>
      </c>
      <c r="M12" s="24">
        <v>65000</v>
      </c>
      <c r="N12" s="24">
        <v>80000</v>
      </c>
    </row>
    <row r="13" spans="10:14" x14ac:dyDescent="0.15">
      <c r="J13" s="1" t="s">
        <v>102</v>
      </c>
      <c r="K13" s="24">
        <f t="shared" si="1"/>
        <v>46950</v>
      </c>
      <c r="L13" s="24">
        <v>18300</v>
      </c>
      <c r="M13" s="24">
        <v>8800</v>
      </c>
      <c r="N13" s="24">
        <v>19850</v>
      </c>
    </row>
    <row r="14" spans="10:14" x14ac:dyDescent="0.15">
      <c r="J14" s="1" t="s">
        <v>103</v>
      </c>
      <c r="K14" s="25">
        <f t="shared" si="1"/>
        <v>27000</v>
      </c>
      <c r="L14" s="24">
        <v>9000</v>
      </c>
      <c r="M14" s="24">
        <v>9000</v>
      </c>
      <c r="N14" s="24">
        <v>9000</v>
      </c>
    </row>
    <row r="15" spans="10:14" x14ac:dyDescent="0.15">
      <c r="J15" s="1" t="s">
        <v>0</v>
      </c>
      <c r="K15" s="24">
        <f>SUM(K7:K14)</f>
        <v>614450</v>
      </c>
      <c r="L15" s="24">
        <f t="shared" ref="L15:N15" si="2">SUM(L7:L14)</f>
        <v>206500</v>
      </c>
      <c r="M15" s="24">
        <f t="shared" si="2"/>
        <v>178600</v>
      </c>
      <c r="N15" s="24">
        <f t="shared" si="2"/>
        <v>229350</v>
      </c>
    </row>
    <row r="16" spans="10:14" x14ac:dyDescent="0.15">
      <c r="K16" s="24"/>
      <c r="L16" s="24"/>
      <c r="M16" s="24"/>
      <c r="N16" s="24"/>
    </row>
    <row r="17" spans="10:14" x14ac:dyDescent="0.15">
      <c r="J17" s="1" t="s">
        <v>104</v>
      </c>
      <c r="K17" s="24"/>
      <c r="L17" s="24"/>
      <c r="M17" s="24"/>
      <c r="N17" s="24"/>
    </row>
    <row r="18" spans="10:14" x14ac:dyDescent="0.15">
      <c r="J18" s="1" t="s">
        <v>105</v>
      </c>
      <c r="K18" s="24">
        <f t="shared" ref="K18:K23" si="3">SUM(L18:N18)</f>
        <v>63000</v>
      </c>
      <c r="L18" s="24">
        <v>20000</v>
      </c>
      <c r="M18" s="24">
        <v>18000</v>
      </c>
      <c r="N18" s="24">
        <v>25000</v>
      </c>
    </row>
    <row r="19" spans="10:14" x14ac:dyDescent="0.15">
      <c r="J19" s="1" t="s">
        <v>106</v>
      </c>
      <c r="K19" s="24">
        <f t="shared" si="3"/>
        <v>50000</v>
      </c>
      <c r="L19" s="24">
        <v>18000</v>
      </c>
      <c r="M19" s="24">
        <v>12000</v>
      </c>
      <c r="N19" s="24">
        <v>20000</v>
      </c>
    </row>
    <row r="20" spans="10:14" x14ac:dyDescent="0.15">
      <c r="J20" s="1" t="s">
        <v>107</v>
      </c>
      <c r="K20" s="24">
        <f t="shared" si="3"/>
        <v>89800</v>
      </c>
      <c r="L20" s="24">
        <v>31000</v>
      </c>
      <c r="M20" s="24">
        <v>27200</v>
      </c>
      <c r="N20" s="24">
        <v>31600</v>
      </c>
    </row>
    <row r="21" spans="10:14" x14ac:dyDescent="0.15">
      <c r="J21" s="1" t="s">
        <v>108</v>
      </c>
      <c r="K21" s="24">
        <f t="shared" si="3"/>
        <v>25500</v>
      </c>
      <c r="L21" s="24">
        <v>8000</v>
      </c>
      <c r="M21" s="24">
        <v>9000</v>
      </c>
      <c r="N21" s="24">
        <v>8500</v>
      </c>
    </row>
    <row r="22" spans="10:14" x14ac:dyDescent="0.15">
      <c r="J22" s="1" t="s">
        <v>109</v>
      </c>
      <c r="K22" s="24">
        <f t="shared" si="3"/>
        <v>36000</v>
      </c>
      <c r="L22" s="24">
        <v>12000</v>
      </c>
      <c r="M22" s="24">
        <v>10200</v>
      </c>
      <c r="N22" s="24">
        <v>13800</v>
      </c>
    </row>
    <row r="23" spans="10:14" x14ac:dyDescent="0.15">
      <c r="J23" s="1" t="s">
        <v>110</v>
      </c>
      <c r="K23" s="25">
        <f t="shared" si="3"/>
        <v>25000</v>
      </c>
      <c r="L23" s="24">
        <v>9000</v>
      </c>
      <c r="M23" s="24">
        <v>6000</v>
      </c>
      <c r="N23" s="24">
        <v>10000</v>
      </c>
    </row>
    <row r="24" spans="10:14" x14ac:dyDescent="0.15">
      <c r="J24" s="1" t="s">
        <v>0</v>
      </c>
      <c r="K24" s="25">
        <f>SUM(K18:K23)</f>
        <v>289300</v>
      </c>
      <c r="L24" s="25">
        <f>SUM(L18:L23)</f>
        <v>98000</v>
      </c>
      <c r="M24" s="25">
        <f>SUM(M18:M23)</f>
        <v>82400</v>
      </c>
      <c r="N24" s="25">
        <f>SUM(N18:N23)</f>
        <v>108900</v>
      </c>
    </row>
    <row r="25" spans="10:14" x14ac:dyDescent="0.15">
      <c r="K25" s="24"/>
      <c r="L25" s="24"/>
      <c r="M25" s="24"/>
      <c r="N25" s="24"/>
    </row>
    <row r="26" spans="10:14" x14ac:dyDescent="0.15">
      <c r="J26" s="1" t="s">
        <v>111</v>
      </c>
      <c r="K26" s="25">
        <f>K24+K15</f>
        <v>903750</v>
      </c>
      <c r="L26" s="25">
        <f t="shared" ref="L26:N26" si="4">L24+L15</f>
        <v>304500</v>
      </c>
      <c r="M26" s="25">
        <f t="shared" si="4"/>
        <v>261000</v>
      </c>
      <c r="N26" s="25">
        <f t="shared" si="4"/>
        <v>338250</v>
      </c>
    </row>
    <row r="27" spans="10:14" x14ac:dyDescent="0.15">
      <c r="K27" s="24"/>
      <c r="L27" s="24"/>
      <c r="M27" s="24"/>
      <c r="N27" s="24"/>
    </row>
    <row r="28" spans="10:14" x14ac:dyDescent="0.15">
      <c r="J28" s="1" t="s">
        <v>13</v>
      </c>
      <c r="K28" s="24">
        <f>K5-K26</f>
        <v>146250</v>
      </c>
      <c r="L28" s="24">
        <f t="shared" ref="L28:N28" si="5">L5-L26</f>
        <v>82500</v>
      </c>
      <c r="M28" s="24">
        <f t="shared" si="5"/>
        <v>-33000</v>
      </c>
      <c r="N28" s="24">
        <f t="shared" si="5"/>
        <v>96750</v>
      </c>
    </row>
    <row r="33" spans="10:12" x14ac:dyDescent="0.15">
      <c r="J33" s="29" t="s">
        <v>112</v>
      </c>
    </row>
    <row r="34" spans="10:12" x14ac:dyDescent="0.15">
      <c r="J34" s="1" t="s">
        <v>99</v>
      </c>
      <c r="K34" s="1">
        <f>M10</f>
        <v>45000</v>
      </c>
    </row>
    <row r="35" spans="10:12" x14ac:dyDescent="0.15">
      <c r="J35" s="1" t="s">
        <v>100</v>
      </c>
      <c r="K35" s="1">
        <v>7000</v>
      </c>
      <c r="L35" s="1" t="s">
        <v>113</v>
      </c>
    </row>
    <row r="36" spans="10:12" x14ac:dyDescent="0.15">
      <c r="J36" s="1" t="s">
        <v>105</v>
      </c>
      <c r="K36" s="1">
        <v>15000</v>
      </c>
      <c r="L36" s="1" t="s">
        <v>114</v>
      </c>
    </row>
    <row r="37" spans="10:12" x14ac:dyDescent="0.15">
      <c r="J37" s="1" t="s">
        <v>115</v>
      </c>
      <c r="K37" s="3">
        <v>8000</v>
      </c>
      <c r="L37" s="1" t="s">
        <v>113</v>
      </c>
    </row>
    <row r="38" spans="10:12" x14ac:dyDescent="0.15">
      <c r="J38" s="1" t="s">
        <v>0</v>
      </c>
      <c r="K38" s="1">
        <f>SUM(K34:K37)</f>
        <v>75000</v>
      </c>
    </row>
    <row r="39" spans="10:12" x14ac:dyDescent="0.15">
      <c r="J39" s="1" t="s">
        <v>116</v>
      </c>
      <c r="K39" s="30">
        <f>M22/SUM(M10,M11,M18,M19)</f>
        <v>0.12</v>
      </c>
    </row>
    <row r="40" spans="10:12" x14ac:dyDescent="0.15">
      <c r="J40" s="1" t="s">
        <v>109</v>
      </c>
      <c r="K40" s="1">
        <f>+K39*K38</f>
        <v>9000</v>
      </c>
    </row>
    <row r="44" spans="10:12" x14ac:dyDescent="0.15">
      <c r="J44" s="1" t="s">
        <v>117</v>
      </c>
      <c r="L44" s="1">
        <f>-M5</f>
        <v>-228000</v>
      </c>
    </row>
    <row r="45" spans="10:12" x14ac:dyDescent="0.15">
      <c r="J45" s="1" t="s">
        <v>15</v>
      </c>
    </row>
    <row r="46" spans="10:12" x14ac:dyDescent="0.15">
      <c r="J46" s="1" t="s">
        <v>97</v>
      </c>
      <c r="K46" s="1">
        <f>M8</f>
        <v>36000</v>
      </c>
    </row>
    <row r="47" spans="10:12" x14ac:dyDescent="0.15">
      <c r="J47" s="1" t="s">
        <v>99</v>
      </c>
      <c r="K47" s="1">
        <f>K34</f>
        <v>45000</v>
      </c>
    </row>
    <row r="48" spans="10:12" x14ac:dyDescent="0.15">
      <c r="J48" s="1" t="s">
        <v>100</v>
      </c>
      <c r="K48" s="1">
        <f>K35</f>
        <v>7000</v>
      </c>
    </row>
    <row r="49" spans="10:12" x14ac:dyDescent="0.15">
      <c r="J49" s="1" t="s">
        <v>101</v>
      </c>
      <c r="K49" s="1">
        <f>M12</f>
        <v>65000</v>
      </c>
    </row>
    <row r="50" spans="10:12" x14ac:dyDescent="0.15">
      <c r="J50" s="1" t="s">
        <v>105</v>
      </c>
      <c r="K50" s="1">
        <f>K36</f>
        <v>15000</v>
      </c>
    </row>
    <row r="51" spans="10:12" x14ac:dyDescent="0.15">
      <c r="J51" s="1" t="s">
        <v>115</v>
      </c>
      <c r="K51" s="1">
        <f>K37</f>
        <v>8000</v>
      </c>
    </row>
    <row r="52" spans="10:12" x14ac:dyDescent="0.15">
      <c r="J52" s="1" t="s">
        <v>107</v>
      </c>
      <c r="K52" s="1">
        <f>M20</f>
        <v>27200</v>
      </c>
    </row>
    <row r="53" spans="10:12" x14ac:dyDescent="0.15">
      <c r="J53" s="1" t="s">
        <v>108</v>
      </c>
      <c r="K53" s="1">
        <f>0.666666666666667*M21</f>
        <v>6000.0000000000027</v>
      </c>
    </row>
    <row r="54" spans="10:12" x14ac:dyDescent="0.15">
      <c r="J54" s="1" t="s">
        <v>109</v>
      </c>
      <c r="K54" s="3">
        <f>K40</f>
        <v>9000</v>
      </c>
      <c r="L54" s="1">
        <f>SUM(K46:K54)</f>
        <v>218200</v>
      </c>
    </row>
    <row r="55" spans="10:12" x14ac:dyDescent="0.15">
      <c r="J55" s="1" t="s">
        <v>118</v>
      </c>
      <c r="L55" s="1">
        <f>+L44+L54</f>
        <v>-9800</v>
      </c>
    </row>
    <row r="57" spans="10:12" x14ac:dyDescent="0.15">
      <c r="J57" s="29" t="s">
        <v>119</v>
      </c>
    </row>
    <row r="59" spans="10:12" x14ac:dyDescent="0.15">
      <c r="J59" s="1" t="s">
        <v>117</v>
      </c>
      <c r="K59" s="1">
        <f>-M5</f>
        <v>-228000</v>
      </c>
    </row>
    <row r="60" spans="10:12" x14ac:dyDescent="0.15">
      <c r="J60" s="1" t="s">
        <v>120</v>
      </c>
      <c r="K60" s="3">
        <f>+L5/L3*200000</f>
        <v>86000</v>
      </c>
    </row>
    <row r="61" spans="10:12" x14ac:dyDescent="0.15">
      <c r="J61" s="1" t="s">
        <v>121</v>
      </c>
      <c r="K61" s="1">
        <f>+K60+K59</f>
        <v>-142000</v>
      </c>
    </row>
    <row r="62" spans="10:12" x14ac:dyDescent="0.15">
      <c r="J62" s="1" t="s">
        <v>73</v>
      </c>
      <c r="K62" s="1">
        <f>+L54</f>
        <v>218200</v>
      </c>
    </row>
    <row r="63" spans="10:12" x14ac:dyDescent="0.15">
      <c r="J63" s="1" t="s">
        <v>118</v>
      </c>
      <c r="K63" s="1">
        <f>+K62+K61</f>
        <v>76200</v>
      </c>
    </row>
    <row r="65" spans="10:10" x14ac:dyDescent="0.15">
      <c r="J65" s="29" t="s">
        <v>122</v>
      </c>
    </row>
  </sheetData>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6</vt:i4>
      </vt:variant>
    </vt:vector>
  </HeadingPairs>
  <TitlesOfParts>
    <vt:vector size="6" baseType="lpstr">
      <vt:lpstr>12.2</vt:lpstr>
      <vt:lpstr>12.10</vt:lpstr>
      <vt:lpstr>12.13</vt:lpstr>
      <vt:lpstr>12.18</vt:lpstr>
      <vt:lpstr>12.20</vt:lpstr>
      <vt:lpstr>12.23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Microsoft Office</dc:creator>
  <cp:lastModifiedBy>Usuário do Microsoft Office</cp:lastModifiedBy>
  <dcterms:created xsi:type="dcterms:W3CDTF">2016-05-18T02:31:54Z</dcterms:created>
  <dcterms:modified xsi:type="dcterms:W3CDTF">2016-05-18T02:36:31Z</dcterms:modified>
</cp:coreProperties>
</file>