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915"/>
  <workbookPr/>
  <mc:AlternateContent xmlns:mc="http://schemas.openxmlformats.org/markup-compatibility/2006">
    <mc:Choice Requires="x15">
      <x15ac:absPath xmlns:x15ac="http://schemas.microsoft.com/office/spreadsheetml/2010/11/ac" url="/Users/eugeniobitti/Dropbox/DISCIPLINAS GRADUAÇÃO FEARP/Orçamento/"/>
    </mc:Choice>
  </mc:AlternateContent>
  <bookViews>
    <workbookView xWindow="0" yWindow="460" windowWidth="28800" windowHeight="16220" activeTab="2"/>
  </bookViews>
  <sheets>
    <sheet name="9,24" sheetId="1" r:id="rId1"/>
    <sheet name="9,25" sheetId="2" r:id="rId2"/>
    <sheet name="9,27" sheetId="4" r:id="rId3"/>
    <sheet name="9,28" sheetId="5" r:id="rId4"/>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N8" i="2" l="1"/>
  <c r="O32" i="5"/>
  <c r="O33" i="5"/>
  <c r="O34" i="5"/>
  <c r="O35" i="5"/>
  <c r="O36" i="5"/>
  <c r="O37" i="5"/>
  <c r="O38" i="5"/>
  <c r="O39" i="5"/>
  <c r="O40" i="5"/>
  <c r="J18" i="5"/>
  <c r="L32" i="5"/>
  <c r="J19" i="5"/>
  <c r="L33" i="5"/>
  <c r="J20" i="5"/>
  <c r="L34" i="5"/>
  <c r="K21" i="5"/>
  <c r="L35" i="5"/>
  <c r="J22" i="5"/>
  <c r="L36" i="5"/>
  <c r="J23" i="5"/>
  <c r="L37" i="5"/>
  <c r="K24" i="5"/>
  <c r="L38" i="5"/>
  <c r="I25" i="5"/>
  <c r="J25" i="5"/>
  <c r="K25" i="5"/>
  <c r="L39" i="5"/>
  <c r="L40" i="5"/>
  <c r="M40" i="5"/>
  <c r="N40" i="5"/>
  <c r="I32" i="5"/>
  <c r="I33" i="5"/>
  <c r="I34" i="5"/>
  <c r="I35" i="5"/>
  <c r="I36" i="5"/>
  <c r="I37" i="5"/>
  <c r="I38" i="5"/>
  <c r="I39" i="5"/>
  <c r="I40" i="5"/>
  <c r="J40" i="5"/>
  <c r="K40" i="5"/>
  <c r="M39" i="5"/>
  <c r="N39" i="5"/>
  <c r="J39" i="5"/>
  <c r="K39" i="5"/>
  <c r="M38" i="5"/>
  <c r="N38" i="5"/>
  <c r="J38" i="5"/>
  <c r="K38" i="5"/>
  <c r="M37" i="5"/>
  <c r="N37" i="5"/>
  <c r="J37" i="5"/>
  <c r="K37" i="5"/>
  <c r="M36" i="5"/>
  <c r="N36" i="5"/>
  <c r="J36" i="5"/>
  <c r="K36" i="5"/>
  <c r="M35" i="5"/>
  <c r="N35" i="5"/>
  <c r="J35" i="5"/>
  <c r="K35" i="5"/>
  <c r="M34" i="5"/>
  <c r="N34" i="5"/>
  <c r="J34" i="5"/>
  <c r="K34" i="5"/>
  <c r="M33" i="5"/>
  <c r="N33" i="5"/>
  <c r="J33" i="5"/>
  <c r="K33" i="5"/>
  <c r="M32" i="5"/>
  <c r="N32" i="5"/>
  <c r="K32" i="5"/>
  <c r="J32" i="5"/>
  <c r="K14" i="5"/>
  <c r="I14" i="5"/>
  <c r="P26" i="4"/>
  <c r="P27" i="4"/>
  <c r="P28" i="4"/>
  <c r="P29" i="4"/>
  <c r="P30" i="4"/>
  <c r="P31" i="4"/>
  <c r="P32" i="4"/>
  <c r="M26" i="4"/>
  <c r="M27" i="4"/>
  <c r="M28" i="4"/>
  <c r="M29" i="4"/>
  <c r="M30" i="4"/>
  <c r="M31" i="4"/>
  <c r="M32" i="4"/>
  <c r="N32" i="4"/>
  <c r="O32" i="4"/>
  <c r="K3" i="4"/>
  <c r="J26" i="4"/>
  <c r="J27" i="4"/>
  <c r="J28" i="4"/>
  <c r="J29" i="4"/>
  <c r="J30" i="4"/>
  <c r="J31" i="4"/>
  <c r="J32" i="4"/>
  <c r="K32" i="4"/>
  <c r="L32" i="4"/>
  <c r="N31" i="4"/>
  <c r="O31" i="4"/>
  <c r="K31" i="4"/>
  <c r="L31" i="4"/>
  <c r="N30" i="4"/>
  <c r="O30" i="4"/>
  <c r="K30" i="4"/>
  <c r="L30" i="4"/>
  <c r="N29" i="4"/>
  <c r="O29" i="4"/>
  <c r="K29" i="4"/>
  <c r="L29" i="4"/>
  <c r="N28" i="4"/>
  <c r="O28" i="4"/>
  <c r="K28" i="4"/>
  <c r="L28" i="4"/>
  <c r="N27" i="4"/>
  <c r="O27" i="4"/>
  <c r="K27" i="4"/>
  <c r="L27" i="4"/>
  <c r="N26" i="4"/>
  <c r="O26" i="4"/>
  <c r="K26" i="4"/>
  <c r="L26" i="4"/>
  <c r="L12" i="4"/>
  <c r="K6" i="4"/>
  <c r="K7" i="4"/>
  <c r="K8" i="4"/>
  <c r="K9" i="4"/>
  <c r="K10" i="4"/>
  <c r="K11" i="4"/>
  <c r="K12" i="4"/>
  <c r="M12" i="4"/>
  <c r="N12" i="4"/>
  <c r="J12" i="4"/>
  <c r="M11" i="4"/>
  <c r="N11" i="4"/>
  <c r="M10" i="4"/>
  <c r="N10" i="4"/>
  <c r="M9" i="4"/>
  <c r="N9" i="4"/>
  <c r="M8" i="4"/>
  <c r="N8" i="4"/>
  <c r="M7" i="4"/>
  <c r="N7" i="4"/>
  <c r="M6" i="4"/>
  <c r="N6" i="4"/>
  <c r="P35" i="2"/>
  <c r="P37" i="2"/>
  <c r="P38" i="2"/>
  <c r="P39" i="2"/>
  <c r="P40" i="2"/>
  <c r="P41" i="2"/>
  <c r="P42" i="2"/>
  <c r="P44" i="2"/>
  <c r="M35" i="2"/>
  <c r="M37" i="2"/>
  <c r="Q9" i="2"/>
  <c r="M38" i="2"/>
  <c r="J39" i="2"/>
  <c r="M39" i="2"/>
  <c r="J40" i="2"/>
  <c r="M40" i="2"/>
  <c r="J41" i="2"/>
  <c r="M41" i="2"/>
  <c r="M42" i="2"/>
  <c r="M44" i="2"/>
  <c r="N44" i="2"/>
  <c r="O44" i="2"/>
  <c r="J35" i="2"/>
  <c r="J37" i="2"/>
  <c r="J38" i="2"/>
  <c r="J42" i="2"/>
  <c r="J44" i="2"/>
  <c r="K44" i="2"/>
  <c r="L44" i="2"/>
  <c r="N42" i="2"/>
  <c r="O42" i="2"/>
  <c r="K42" i="2"/>
  <c r="L42" i="2"/>
  <c r="N40" i="2"/>
  <c r="O40" i="2"/>
  <c r="K40" i="2"/>
  <c r="L40" i="2"/>
  <c r="N39" i="2"/>
  <c r="O39" i="2"/>
  <c r="K39" i="2"/>
  <c r="L39" i="2"/>
  <c r="N38" i="2"/>
  <c r="O38" i="2"/>
  <c r="K38" i="2"/>
  <c r="L38" i="2"/>
  <c r="N37" i="2"/>
  <c r="O37" i="2"/>
  <c r="K37" i="2"/>
  <c r="L37" i="2"/>
  <c r="N35" i="2"/>
  <c r="O35" i="2"/>
  <c r="K35" i="2"/>
  <c r="L35" i="2"/>
  <c r="L13" i="2"/>
  <c r="L15" i="2"/>
  <c r="K13" i="2"/>
  <c r="K15" i="2"/>
  <c r="M15" i="2"/>
  <c r="N15" i="2"/>
  <c r="M13" i="2"/>
  <c r="N13" i="2"/>
  <c r="M12" i="2"/>
  <c r="N12" i="2"/>
  <c r="M11" i="2"/>
  <c r="N11" i="2"/>
  <c r="M10" i="2"/>
  <c r="N10" i="2"/>
  <c r="M9" i="2"/>
  <c r="N9" i="2"/>
  <c r="M8" i="2"/>
  <c r="M5" i="2"/>
  <c r="N5" i="2"/>
  <c r="P33" i="1"/>
  <c r="P34" i="1"/>
  <c r="P35" i="1"/>
  <c r="P36" i="1"/>
  <c r="P37" i="1"/>
  <c r="P38" i="1"/>
  <c r="P39" i="1"/>
  <c r="S6" i="1"/>
  <c r="M33" i="1"/>
  <c r="S7" i="1"/>
  <c r="M34" i="1"/>
  <c r="S8" i="1"/>
  <c r="M35" i="1"/>
  <c r="S9" i="1"/>
  <c r="M36" i="1"/>
  <c r="R10" i="1"/>
  <c r="M37" i="1"/>
  <c r="R11" i="1"/>
  <c r="M38" i="1"/>
  <c r="M39" i="1"/>
  <c r="N39" i="1"/>
  <c r="O39" i="1"/>
  <c r="J33" i="1"/>
  <c r="J34" i="1"/>
  <c r="J35" i="1"/>
  <c r="J36" i="1"/>
  <c r="J37" i="1"/>
  <c r="J38" i="1"/>
  <c r="J39" i="1"/>
  <c r="K39" i="1"/>
  <c r="L39" i="1"/>
  <c r="N38" i="1"/>
  <c r="O38" i="1"/>
  <c r="K38" i="1"/>
  <c r="L38" i="1"/>
  <c r="N37" i="1"/>
  <c r="O37" i="1"/>
  <c r="K37" i="1"/>
  <c r="L37" i="1"/>
  <c r="N36" i="1"/>
  <c r="O36" i="1"/>
  <c r="K36" i="1"/>
  <c r="L36" i="1"/>
  <c r="N35" i="1"/>
  <c r="O35" i="1"/>
  <c r="K35" i="1"/>
  <c r="L35" i="1"/>
  <c r="N34" i="1"/>
  <c r="O34" i="1"/>
  <c r="K34" i="1"/>
  <c r="L34" i="1"/>
  <c r="N33" i="1"/>
  <c r="O33" i="1"/>
  <c r="K33" i="1"/>
  <c r="L33" i="1"/>
  <c r="L12" i="1"/>
  <c r="K12" i="1"/>
  <c r="M12" i="1"/>
  <c r="N12" i="1"/>
  <c r="M11" i="1"/>
  <c r="N11" i="1"/>
  <c r="M10" i="1"/>
  <c r="N10" i="1"/>
  <c r="M9" i="1"/>
  <c r="N9" i="1"/>
  <c r="M8" i="1"/>
  <c r="N8" i="1"/>
  <c r="M7" i="1"/>
  <c r="N7" i="1"/>
  <c r="M6" i="1"/>
  <c r="N6" i="1"/>
  <c r="M4" i="1"/>
</calcChain>
</file>

<file path=xl/sharedStrings.xml><?xml version="1.0" encoding="utf-8"?>
<sst xmlns="http://schemas.openxmlformats.org/spreadsheetml/2006/main" count="153" uniqueCount="65">
  <si>
    <t>PLANO</t>
  </si>
  <si>
    <t>REAL</t>
  </si>
  <si>
    <t>VARIAÇÕES</t>
  </si>
  <si>
    <t>HMAQ</t>
  </si>
  <si>
    <t>Fixo</t>
  </si>
  <si>
    <t>Variável</t>
  </si>
  <si>
    <t>Variavel</t>
  </si>
  <si>
    <t>MOD</t>
  </si>
  <si>
    <t>Suprimentos</t>
  </si>
  <si>
    <t>Misto</t>
  </si>
  <si>
    <t>Manutenção</t>
  </si>
  <si>
    <t>Utilidades</t>
  </si>
  <si>
    <t>Supervisão</t>
  </si>
  <si>
    <t>Depreciação</t>
  </si>
  <si>
    <t>Total</t>
  </si>
  <si>
    <t>FLEXIVEL</t>
  </si>
  <si>
    <t>Despesas:</t>
  </si>
  <si>
    <t>Total de Despesa</t>
  </si>
  <si>
    <t>VARIACAO</t>
  </si>
  <si>
    <t>Permutas Concluidas</t>
  </si>
  <si>
    <t>Preço Unitário</t>
  </si>
  <si>
    <t>Despesas Unitárias Médias:</t>
  </si>
  <si>
    <t>Honorários Advocatícios</t>
  </si>
  <si>
    <t>Misto (Fixo de $4.100)</t>
  </si>
  <si>
    <t>Despesas de Escritório</t>
  </si>
  <si>
    <t>&gt;&gt;&gt;&gt;&gt;&gt;&gt;</t>
  </si>
  <si>
    <t>Aluguel</t>
  </si>
  <si>
    <t>Seguro</t>
  </si>
  <si>
    <t>ROL</t>
  </si>
  <si>
    <t>Receita</t>
  </si>
  <si>
    <t>Por um lado, o aumento do número de permutas foi positivo. A atividade global favorável de $1.955 indica que a receita operacional líquida deve ter aumentado na mesma proporção do aumento na atividade. No e várias desfavoráveis de gastos , todos os quais devem ser investigados</t>
  </si>
  <si>
    <t>Orçamento Annual</t>
  </si>
  <si>
    <t>Orçamento Mensal (1/12)</t>
  </si>
  <si>
    <t>Março (Real)</t>
  </si>
  <si>
    <t>Variação</t>
  </si>
  <si>
    <t>Quilometros</t>
  </si>
  <si>
    <t>Veiculos</t>
  </si>
  <si>
    <t>Gasolina</t>
  </si>
  <si>
    <t>Óleio, Pequenos Reparos e Peças</t>
  </si>
  <si>
    <t>Consertos Externos</t>
  </si>
  <si>
    <t>Salários</t>
  </si>
  <si>
    <t>Depreciacao Veiculos</t>
  </si>
  <si>
    <t>Fixo/mes</t>
  </si>
  <si>
    <t>Variável/km</t>
  </si>
  <si>
    <t>Variável/veiculo/ano</t>
  </si>
  <si>
    <t>O relatório original é baseado em uma abordagem de orçamento estático que não permite variações no número de quilómetros percorridos de mês para mês, ou da variação do número de automóveis usados. Como resultado, os números de "orçamento mensal" são benchmarks irrealistas. Por exemplo, os custos variáveis reais, tais como gasolina não pode ser comparado com o custo "orçado", porque o orçamento mensal baseia-se apenas em vez de 50.000 milhas os 58.000 milhas efectivamente percorrido durante o mês.
O relatório de desempenho, em parte, (1) acima é mais realista, porque o valor de referência orçamento flexível é baseado nas milhas reais accionados e no número real de automóveis usados durante o mês.</t>
  </si>
  <si>
    <t>DRIVER</t>
  </si>
  <si>
    <t>Produções</t>
  </si>
  <si>
    <t>Apresentações</t>
  </si>
  <si>
    <t>Salários Atores/Diretores</t>
  </si>
  <si>
    <t># Apresentações</t>
  </si>
  <si>
    <t>Salários Assitentes</t>
  </si>
  <si>
    <t>Salários Bilheteria</t>
  </si>
  <si>
    <t>Cenários/Figurinos</t>
  </si>
  <si>
    <t># Produções</t>
  </si>
  <si>
    <t>Aluguel de Salas</t>
  </si>
  <si>
    <t>Programas Impressos</t>
  </si>
  <si>
    <t>Publicidades</t>
  </si>
  <si>
    <t>Despesas Adm</t>
  </si>
  <si>
    <t>75% Fixas/15% # Produções/10% # Apresentações</t>
  </si>
  <si>
    <t>Variável/# Apresetnações</t>
  </si>
  <si>
    <t>Variável/# Produções</t>
  </si>
  <si>
    <t>3. A variação global gastos desfavorável é uma porcentagem muito pequena do custo total, cerca de 0,7%, o que sugere que os custos estão sob controle. Além disso, a maior variação desfavorável é para cenário, figurinos e adereços. Isso pode indicar resíduos, mas também pode indicar que mais dinheiro foi gasto com esses itens, que são altamente visíveis para frequentadores de teatro, para garantir produções de maior qualidade.
4. Os custos médios pode não ser muito bons indicadores dos custos adicionais de qualquer produção ou desempenho particular. As médias encobrir variações consideráveis ​​nos custos. Por exemplo, a produção de Pedro, o Coelho pode exigir apenas meia dúzia de atores e atrizes e figurinos bastante simples e adereços. Por outro lado, a produção de Cinderella pode exigir dezenas de atores e atrizes e figurinos muito elaborados e caros e adereços. Consequentemente, tanto os custos de produção e o custo por desempenho será muito maior para Cinderella do que para Pedro, o Coelho. Os gerentes de companhias de teatro sabem que devem estimar os custos de cada nova produção custos individualmente da média são de pouca utilidade para este fim.</t>
  </si>
  <si>
    <t>O relatório de controle de custos compara o plano de orçamento, que foi preparado para 40.000 máquinas-hora, aos resultados reais para 42.000 máquinas-horas. Os custos que são variáveis ou mistos devem ser maiores quando o nível de atividade é de 42.000, em vez de 40.000 máquinas-horas. Comparações diretas entre orçado e realizado são válidas somente se os custos são fixos. O relatório de controle de custos elaborado pela empresa não deve ser utilizado para avaliar como os custos foram controlados.</t>
  </si>
  <si>
    <t>O relatório preparado pelo contador compara a média unitária orçada de receita e custo à média real. Esta abordagem assume implicitamente que todos os custos são estritamente variáveis; apenas os custos variáveis ​​devem ser constantes em uma base unitára. O custo fixo médio deve diminuir na medida em que o nível de atividade aumenta e vice-versa. Neste caso, o nível efetivo da atividade foi maior do que o nível de atividade orçado. Como conseqüência, o custo médio por unidade para todo o custo que é fixo ou misto deve declinar e mostrar uma variação favorável. Isto faz com que seja difícil de interpretar a variação para um custo misto ou fixo. Por exemplo, a variação da despesa de aluguel foi favoravel em $ 15 devido simplesmente ao aumento do volume ou a empresa realmente economizou algum dinheiro no seu aluguel? Por causa dessa ambigüidade, o relatório preparado pelo contador não é tão útil quanto um relatório de desempenho preparadas usando um orçamento flexível.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</si>
</sst>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0.00;\(#,##0.00\)"/>
    <numFmt numFmtId="166" formatCode="#,##0;\(#,##0\)"/>
  </numFmts>
  <fonts count="5" x14ac:knownFonts="1">
    <font>
      <sz val="12"/>
      <color theme="1"/>
      <name val="Calibri"/>
      <family val="2"/>
      <scheme val="minor"/>
    </font>
    <font>
      <sz val="12"/>
      <color theme="1"/>
      <name val="Calibri"/>
      <family val="2"/>
      <scheme val="minor"/>
    </font>
    <font>
      <sz val="10"/>
      <color theme="1"/>
      <name val="Times New Roman"/>
      <family val="1"/>
    </font>
    <font>
      <b/>
      <sz val="10"/>
      <color theme="1"/>
      <name val="Times New Roman"/>
      <family val="1"/>
    </font>
    <font>
      <u/>
      <sz val="10"/>
      <color theme="1"/>
      <name val="Times New Roman"/>
      <family val="1"/>
    </font>
  </fonts>
  <fills count="2">
    <fill>
      <patternFill patternType="none"/>
    </fill>
    <fill>
      <patternFill patternType="gray125"/>
    </fill>
  </fills>
  <borders count="3">
    <border>
      <left/>
      <right/>
      <top/>
      <bottom/>
      <diagonal/>
    </border>
    <border>
      <left/>
      <right/>
      <top/>
      <bottom style="thin">
        <color auto="1"/>
      </bottom>
      <diagonal/>
    </border>
    <border>
      <left/>
      <right/>
      <top style="thin">
        <color auto="1"/>
      </top>
      <bottom style="double">
        <color auto="1"/>
      </bottom>
      <diagonal/>
    </border>
  </borders>
  <cellStyleXfs count="2">
    <xf numFmtId="0" fontId="0" fillId="0" borderId="0"/>
    <xf numFmtId="164" fontId="1" fillId="0" borderId="0" applyFont="0" applyFill="0" applyBorder="0" applyAlignment="0" applyProtection="0"/>
  </cellStyleXfs>
  <cellXfs count="16">
    <xf numFmtId="0" fontId="0" fillId="0" borderId="0" xfId="0"/>
    <xf numFmtId="165" fontId="2" fillId="0" borderId="0" xfId="0" applyNumberFormat="1" applyFont="1"/>
    <xf numFmtId="165" fontId="3" fillId="0" borderId="0" xfId="0" applyNumberFormat="1" applyFont="1" applyAlignment="1">
      <alignment horizontal="center"/>
    </xf>
    <xf numFmtId="166" fontId="2" fillId="0" borderId="0" xfId="0" applyNumberFormat="1" applyFont="1"/>
    <xf numFmtId="165" fontId="2" fillId="0" borderId="0" xfId="0" applyNumberFormat="1" applyFont="1" applyAlignment="1">
      <alignment horizontal="center"/>
    </xf>
    <xf numFmtId="165" fontId="4" fillId="0" borderId="0" xfId="0" applyNumberFormat="1" applyFont="1"/>
    <xf numFmtId="165" fontId="2" fillId="0" borderId="0" xfId="1" applyNumberFormat="1" applyFont="1" applyAlignment="1">
      <alignment horizontal="center"/>
    </xf>
    <xf numFmtId="165" fontId="2" fillId="0" borderId="0" xfId="0" applyNumberFormat="1" applyFont="1" applyAlignment="1">
      <alignment horizontal="left" indent="1"/>
    </xf>
    <xf numFmtId="165" fontId="3" fillId="0" borderId="0" xfId="0" applyNumberFormat="1" applyFont="1"/>
    <xf numFmtId="165" fontId="2" fillId="0" borderId="0" xfId="1" applyNumberFormat="1" applyFont="1" applyBorder="1" applyAlignment="1">
      <alignment horizontal="center"/>
    </xf>
    <xf numFmtId="165" fontId="2" fillId="0" borderId="0" xfId="0" applyNumberFormat="1" applyFont="1" applyAlignment="1">
      <alignment horizontal="left" indent="2"/>
    </xf>
    <xf numFmtId="165" fontId="3" fillId="0" borderId="1" xfId="1" applyNumberFormat="1" applyFont="1" applyBorder="1" applyAlignment="1">
      <alignment horizontal="center"/>
    </xf>
    <xf numFmtId="165" fontId="2" fillId="0" borderId="0" xfId="0" applyNumberFormat="1" applyFont="1" applyBorder="1" applyAlignment="1">
      <alignment horizontal="center"/>
    </xf>
    <xf numFmtId="165" fontId="3" fillId="0" borderId="2" xfId="0" applyNumberFormat="1" applyFont="1" applyBorder="1" applyAlignment="1">
      <alignment horizontal="center"/>
    </xf>
    <xf numFmtId="165" fontId="3" fillId="0" borderId="2" xfId="0" applyNumberFormat="1" applyFont="1" applyBorder="1"/>
    <xf numFmtId="165" fontId="2" fillId="0" borderId="0" xfId="0" applyNumberFormat="1" applyFont="1" applyAlignment="1">
      <alignment horizontal="left" vertical="center" wrapText="1"/>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635001</xdr:colOff>
      <xdr:row>7</xdr:row>
      <xdr:rowOff>118470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317484" cy="1251945"/>
        </a:xfrm>
        <a:prstGeom prst="rect">
          <a:avLst/>
        </a:prstGeom>
      </xdr:spPr>
    </xdr:pic>
    <xdr:clientData/>
  </xdr:twoCellAnchor>
  <xdr:twoCellAnchor editAs="oneCell">
    <xdr:from>
      <xdr:col>0</xdr:col>
      <xdr:colOff>0</xdr:colOff>
      <xdr:row>7</xdr:row>
      <xdr:rowOff>26276</xdr:rowOff>
    </xdr:from>
    <xdr:to>
      <xdr:col>6</xdr:col>
      <xdr:colOff>440828</xdr:colOff>
      <xdr:row>47</xdr:row>
      <xdr:rowOff>61310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159751"/>
          <a:ext cx="6123311" cy="6512034"/>
        </a:xfrm>
        <a:prstGeom prst="rect">
          <a:avLst/>
        </a:prstGeom>
      </xdr:spPr>
    </xdr:pic>
    <xdr:clientData/>
  </xdr:twoCellAnchor>
  <xdr:twoCellAnchor>
    <xdr:from>
      <xdr:col>14</xdr:col>
      <xdr:colOff>157655</xdr:colOff>
      <xdr:row>5</xdr:row>
      <xdr:rowOff>43793</xdr:rowOff>
    </xdr:from>
    <xdr:to>
      <xdr:col>14</xdr:col>
      <xdr:colOff>595411</xdr:colOff>
      <xdr:row>8</xdr:row>
      <xdr:rowOff>52377</xdr:rowOff>
    </xdr:to>
    <xdr:sp macro="" textlink="">
      <xdr:nvSpPr>
        <xdr:cNvPr id="4" name="Striped Right Arrow 3"/>
        <xdr:cNvSpPr/>
      </xdr:nvSpPr>
      <xdr:spPr>
        <a:xfrm>
          <a:off x="12149630" y="853418"/>
          <a:ext cx="437756" cy="494359"/>
        </a:xfrm>
        <a:prstGeom prst="stripedRightArrow">
          <a:avLst/>
        </a:prstGeom>
        <a:ln/>
      </xdr:spPr>
      <xdr:style>
        <a:lnRef idx="1">
          <a:schemeClr val="accent1"/>
        </a:lnRef>
        <a:fillRef idx="3">
          <a:schemeClr val="accent1"/>
        </a:fillRef>
        <a:effectRef idx="2">
          <a:schemeClr val="accent1"/>
        </a:effectRef>
        <a:fontRef idx="minor">
          <a:schemeClr val="lt1"/>
        </a:fontRef>
      </xdr:style>
      <xdr:txBody>
        <a:bodyPr wrap="square"/>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35035</xdr:colOff>
      <xdr:row>8</xdr:row>
      <xdr:rowOff>59693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835760" cy="1355093"/>
        </a:xfrm>
        <a:prstGeom prst="rect">
          <a:avLst/>
        </a:prstGeom>
      </xdr:spPr>
    </xdr:pic>
    <xdr:clientData/>
  </xdr:twoCellAnchor>
  <xdr:twoCellAnchor editAs="oneCell">
    <xdr:from>
      <xdr:col>0</xdr:col>
      <xdr:colOff>0</xdr:colOff>
      <xdr:row>8</xdr:row>
      <xdr:rowOff>8760</xdr:rowOff>
    </xdr:from>
    <xdr:to>
      <xdr:col>7</xdr:col>
      <xdr:colOff>105104</xdr:colOff>
      <xdr:row>26</xdr:row>
      <xdr:rowOff>141651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304160"/>
          <a:ext cx="5905829" cy="3047541"/>
        </a:xfrm>
        <a:prstGeom prst="rect">
          <a:avLst/>
        </a:prstGeom>
      </xdr:spPr>
    </xdr:pic>
    <xdr:clientData/>
  </xdr:twoCellAnchor>
  <xdr:twoCellAnchor editAs="oneCell">
    <xdr:from>
      <xdr:col>0</xdr:col>
      <xdr:colOff>0</xdr:colOff>
      <xdr:row>26</xdr:row>
      <xdr:rowOff>140138</xdr:rowOff>
    </xdr:from>
    <xdr:to>
      <xdr:col>7</xdr:col>
      <xdr:colOff>140138</xdr:colOff>
      <xdr:row>44</xdr:row>
      <xdr:rowOff>114151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4350188"/>
          <a:ext cx="5940863" cy="2898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538989</xdr:colOff>
      <xdr:row>41</xdr:row>
      <xdr:rowOff>52552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511039" cy="6710527"/>
        </a:xfrm>
        <a:prstGeom prst="rect">
          <a:avLst/>
        </a:prstGeom>
      </xdr:spPr>
    </xdr:pic>
    <xdr:clientData/>
  </xdr:twoCellAnchor>
  <xdr:twoCellAnchor editAs="oneCell">
    <xdr:from>
      <xdr:col>0</xdr:col>
      <xdr:colOff>0</xdr:colOff>
      <xdr:row>41</xdr:row>
      <xdr:rowOff>17517</xdr:rowOff>
    </xdr:from>
    <xdr:to>
      <xdr:col>6</xdr:col>
      <xdr:colOff>823310</xdr:colOff>
      <xdr:row>57</xdr:row>
      <xdr:rowOff>26418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675492"/>
          <a:ext cx="5795360" cy="25997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242539</xdr:colOff>
      <xdr:row>49</xdr:row>
      <xdr:rowOff>8758</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5214588" cy="7962133"/>
        </a:xfrm>
        <a:prstGeom prst="rect">
          <a:avLst/>
        </a:prstGeom>
      </xdr:spPr>
    </xdr:pic>
    <xdr:clientData/>
  </xdr:twoCellAnchor>
  <xdr:twoCellAnchor editAs="oneCell">
    <xdr:from>
      <xdr:col>0</xdr:col>
      <xdr:colOff>0</xdr:colOff>
      <xdr:row>49</xdr:row>
      <xdr:rowOff>8752</xdr:rowOff>
    </xdr:from>
    <xdr:to>
      <xdr:col>6</xdr:col>
      <xdr:colOff>124655</xdr:colOff>
      <xdr:row>78</xdr:row>
      <xdr:rowOff>70069</xdr:rowOff>
    </xdr:to>
    <xdr:pic>
      <xdr:nvPicPr>
        <xdr:cNvPr id="3" name="Picture 4"/>
        <xdr:cNvPicPr>
          <a:picLocks noChangeAspect="1"/>
        </xdr:cNvPicPr>
      </xdr:nvPicPr>
      <xdr:blipFill>
        <a:blip xmlns:r="http://schemas.openxmlformats.org/officeDocument/2006/relationships" r:embed="rId2"/>
        <a:stretch>
          <a:fillRect/>
        </a:stretch>
      </xdr:blipFill>
      <xdr:spPr>
        <a:xfrm>
          <a:off x="0" y="7962127"/>
          <a:ext cx="5096705" cy="475714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S39"/>
  <sheetViews>
    <sheetView topLeftCell="G14" zoomScale="145" zoomScaleNormal="145" zoomScalePageLayoutView="145" workbookViewId="0">
      <selection activeCell="M33" sqref="M33"/>
    </sheetView>
  </sheetViews>
  <sheetFormatPr baseColWidth="10" defaultColWidth="10.83203125" defaultRowHeight="13" x14ac:dyDescent="0.15"/>
  <cols>
    <col min="1" max="8" width="10.83203125" style="1"/>
    <col min="9" max="9" width="16" style="1" bestFit="1" customWidth="1"/>
    <col min="10" max="16384" width="10.83203125" style="1"/>
  </cols>
  <sheetData>
    <row r="3" spans="9:19" x14ac:dyDescent="0.15">
      <c r="K3" s="2" t="s">
        <v>0</v>
      </c>
      <c r="L3" s="2" t="s">
        <v>1</v>
      </c>
      <c r="M3" s="2" t="s">
        <v>2</v>
      </c>
    </row>
    <row r="4" spans="9:19" x14ac:dyDescent="0.2">
      <c r="J4" s="1" t="s">
        <v>3</v>
      </c>
      <c r="K4" s="3">
        <v>40000</v>
      </c>
      <c r="L4" s="3">
        <v>42000</v>
      </c>
      <c r="M4" s="3">
        <f>+L4-K4</f>
        <v>2000</v>
      </c>
    </row>
    <row r="5" spans="9:19" x14ac:dyDescent="0.15">
      <c r="R5" s="2" t="s">
        <v>4</v>
      </c>
      <c r="S5" s="2" t="s">
        <v>5</v>
      </c>
    </row>
    <row r="6" spans="9:19" x14ac:dyDescent="0.2">
      <c r="I6" s="1" t="s">
        <v>6</v>
      </c>
      <c r="J6" s="1" t="s">
        <v>7</v>
      </c>
      <c r="K6" s="1">
        <v>70000</v>
      </c>
      <c r="L6" s="1">
        <v>71400</v>
      </c>
      <c r="M6" s="1">
        <f t="shared" ref="M6:M12" si="0">+L6-K6</f>
        <v>1400</v>
      </c>
      <c r="N6" s="4" t="str">
        <f>IF(M6&gt;0,"D",IF(M6=0,"-","F"))</f>
        <v>D</v>
      </c>
      <c r="Q6" s="1" t="s">
        <v>7</v>
      </c>
      <c r="S6" s="1">
        <f>K6/K4</f>
        <v>1.75</v>
      </c>
    </row>
    <row r="7" spans="9:19" x14ac:dyDescent="0.2">
      <c r="I7" s="1" t="s">
        <v>6</v>
      </c>
      <c r="J7" s="1" t="s">
        <v>8</v>
      </c>
      <c r="K7" s="1">
        <v>20000</v>
      </c>
      <c r="L7" s="1">
        <v>21300</v>
      </c>
      <c r="M7" s="1">
        <f t="shared" si="0"/>
        <v>1300</v>
      </c>
      <c r="N7" s="4" t="str">
        <f t="shared" ref="N7:N12" si="1">IF(M7&gt;0,"D",IF(M7=0,"-","F"))</f>
        <v>D</v>
      </c>
      <c r="Q7" s="1" t="s">
        <v>8</v>
      </c>
      <c r="S7" s="1">
        <f>K7/K4</f>
        <v>0.5</v>
      </c>
    </row>
    <row r="8" spans="9:19" x14ac:dyDescent="0.15">
      <c r="I8" s="1" t="s">
        <v>9</v>
      </c>
      <c r="J8" s="1" t="s">
        <v>10</v>
      </c>
      <c r="K8" s="1">
        <v>20100</v>
      </c>
      <c r="L8" s="1">
        <v>20100</v>
      </c>
      <c r="M8" s="1">
        <f t="shared" si="0"/>
        <v>0</v>
      </c>
      <c r="N8" s="4" t="str">
        <f t="shared" si="1"/>
        <v>-</v>
      </c>
      <c r="Q8" s="1" t="s">
        <v>10</v>
      </c>
      <c r="R8" s="1">
        <v>12100</v>
      </c>
      <c r="S8" s="1">
        <f>(K8-R8)/K4</f>
        <v>0.2</v>
      </c>
    </row>
    <row r="9" spans="9:19" x14ac:dyDescent="0.2">
      <c r="I9" s="1" t="s">
        <v>9</v>
      </c>
      <c r="J9" s="1" t="s">
        <v>11</v>
      </c>
      <c r="K9" s="1">
        <v>18800</v>
      </c>
      <c r="L9" s="1">
        <v>19000</v>
      </c>
      <c r="M9" s="1">
        <f t="shared" si="0"/>
        <v>200</v>
      </c>
      <c r="N9" s="4" t="str">
        <f t="shared" si="1"/>
        <v>D</v>
      </c>
      <c r="Q9" s="1" t="s">
        <v>11</v>
      </c>
      <c r="R9" s="1">
        <v>12800</v>
      </c>
      <c r="S9" s="1">
        <f>(K9-R9)/K4</f>
        <v>0.15</v>
      </c>
    </row>
    <row r="10" spans="9:19" x14ac:dyDescent="0.15">
      <c r="I10" s="1" t="s">
        <v>4</v>
      </c>
      <c r="J10" s="1" t="s">
        <v>12</v>
      </c>
      <c r="K10" s="1">
        <v>41000</v>
      </c>
      <c r="L10" s="1">
        <v>41000</v>
      </c>
      <c r="M10" s="1">
        <f t="shared" si="0"/>
        <v>0</v>
      </c>
      <c r="N10" s="4" t="str">
        <f t="shared" si="1"/>
        <v>-</v>
      </c>
      <c r="Q10" s="1" t="s">
        <v>12</v>
      </c>
      <c r="R10" s="1">
        <f>K10</f>
        <v>41000</v>
      </c>
    </row>
    <row r="11" spans="9:19" x14ac:dyDescent="0.15">
      <c r="I11" s="1" t="s">
        <v>4</v>
      </c>
      <c r="J11" s="1" t="s">
        <v>13</v>
      </c>
      <c r="K11" s="5">
        <v>67000</v>
      </c>
      <c r="L11" s="5">
        <v>67000</v>
      </c>
      <c r="M11" s="5">
        <f t="shared" si="0"/>
        <v>0</v>
      </c>
      <c r="N11" s="4" t="str">
        <f t="shared" si="1"/>
        <v>-</v>
      </c>
      <c r="Q11" s="1" t="s">
        <v>13</v>
      </c>
      <c r="R11" s="1">
        <f>K11</f>
        <v>67000</v>
      </c>
    </row>
    <row r="12" spans="9:19" x14ac:dyDescent="0.2">
      <c r="J12" s="1" t="s">
        <v>14</v>
      </c>
      <c r="K12" s="1">
        <f>SUM(K6:K11)</f>
        <v>236900</v>
      </c>
      <c r="L12" s="1">
        <f>SUM(L6:L11)</f>
        <v>239800</v>
      </c>
      <c r="M12" s="1">
        <f t="shared" si="0"/>
        <v>2900</v>
      </c>
      <c r="N12" s="4" t="str">
        <f t="shared" si="1"/>
        <v>D</v>
      </c>
    </row>
    <row r="18" spans="9:16" x14ac:dyDescent="0.15">
      <c r="I18" s="15" t="s">
        <v>63</v>
      </c>
      <c r="J18" s="15"/>
      <c r="K18" s="15"/>
      <c r="L18" s="15"/>
      <c r="M18" s="15"/>
      <c r="N18" s="15"/>
    </row>
    <row r="19" spans="9:16" x14ac:dyDescent="0.15">
      <c r="I19" s="15"/>
      <c r="J19" s="15"/>
      <c r="K19" s="15"/>
      <c r="L19" s="15"/>
      <c r="M19" s="15"/>
      <c r="N19" s="15"/>
    </row>
    <row r="20" spans="9:16" x14ac:dyDescent="0.15">
      <c r="I20" s="15"/>
      <c r="J20" s="15"/>
      <c r="K20" s="15"/>
      <c r="L20" s="15"/>
      <c r="M20" s="15"/>
      <c r="N20" s="15"/>
    </row>
    <row r="21" spans="9:16" x14ac:dyDescent="0.15">
      <c r="I21" s="15"/>
      <c r="J21" s="15"/>
      <c r="K21" s="15"/>
      <c r="L21" s="15"/>
      <c r="M21" s="15"/>
      <c r="N21" s="15"/>
    </row>
    <row r="22" spans="9:16" x14ac:dyDescent="0.15">
      <c r="I22" s="15"/>
      <c r="J22" s="15"/>
      <c r="K22" s="15"/>
      <c r="L22" s="15"/>
      <c r="M22" s="15"/>
      <c r="N22" s="15"/>
    </row>
    <row r="23" spans="9:16" x14ac:dyDescent="0.15">
      <c r="I23" s="15"/>
      <c r="J23" s="15"/>
      <c r="K23" s="15"/>
      <c r="L23" s="15"/>
      <c r="M23" s="15"/>
      <c r="N23" s="15"/>
    </row>
    <row r="24" spans="9:16" x14ac:dyDescent="0.15">
      <c r="I24" s="15"/>
      <c r="J24" s="15"/>
      <c r="K24" s="15"/>
      <c r="L24" s="15"/>
      <c r="M24" s="15"/>
      <c r="N24" s="15"/>
    </row>
    <row r="25" spans="9:16" x14ac:dyDescent="0.15">
      <c r="I25" s="15"/>
      <c r="J25" s="15"/>
      <c r="K25" s="15"/>
      <c r="L25" s="15"/>
      <c r="M25" s="15"/>
      <c r="N25" s="15"/>
    </row>
    <row r="26" spans="9:16" x14ac:dyDescent="0.15">
      <c r="I26" s="15"/>
      <c r="J26" s="15"/>
      <c r="K26" s="15"/>
      <c r="L26" s="15"/>
      <c r="M26" s="15"/>
      <c r="N26" s="15"/>
    </row>
    <row r="27" spans="9:16" x14ac:dyDescent="0.15">
      <c r="I27" s="15"/>
      <c r="J27" s="15"/>
      <c r="K27" s="15"/>
      <c r="L27" s="15"/>
      <c r="M27" s="15"/>
      <c r="N27" s="15"/>
    </row>
    <row r="28" spans="9:16" x14ac:dyDescent="0.15">
      <c r="I28" s="15"/>
      <c r="J28" s="15"/>
      <c r="K28" s="15"/>
      <c r="L28" s="15"/>
      <c r="M28" s="15"/>
      <c r="N28" s="15"/>
    </row>
    <row r="31" spans="9:16" x14ac:dyDescent="0.2">
      <c r="J31" s="2" t="s">
        <v>0</v>
      </c>
      <c r="K31" s="2"/>
      <c r="L31" s="2"/>
      <c r="M31" s="2" t="s">
        <v>15</v>
      </c>
      <c r="N31" s="2"/>
      <c r="O31" s="2"/>
      <c r="P31" s="2" t="s">
        <v>1</v>
      </c>
    </row>
    <row r="32" spans="9:16" x14ac:dyDescent="0.2">
      <c r="I32" s="1" t="s">
        <v>16</v>
      </c>
      <c r="J32" s="4"/>
      <c r="K32" s="6"/>
      <c r="L32" s="6"/>
      <c r="M32" s="4"/>
      <c r="N32" s="6"/>
      <c r="O32" s="6"/>
      <c r="P32" s="4"/>
    </row>
    <row r="33" spans="9:16" x14ac:dyDescent="0.2">
      <c r="I33" s="7" t="s">
        <v>7</v>
      </c>
      <c r="J33" s="4">
        <f>S6*K4</f>
        <v>70000</v>
      </c>
      <c r="K33" s="6">
        <f t="shared" ref="K33:K39" si="2">M33-J33</f>
        <v>3500</v>
      </c>
      <c r="L33" s="4" t="str">
        <f>IF(K33&gt;0,"D",IF(K33=0,"-","F"))</f>
        <v>D</v>
      </c>
      <c r="M33" s="4">
        <f>S6*L4</f>
        <v>73500</v>
      </c>
      <c r="N33" s="6">
        <f t="shared" ref="N33:N39" si="3">P33-M33</f>
        <v>-2100</v>
      </c>
      <c r="O33" s="4" t="str">
        <f>IF(N33&gt;0,"D",IF(N33=0,"-","F"))</f>
        <v>F</v>
      </c>
      <c r="P33" s="4">
        <f>L6</f>
        <v>71400</v>
      </c>
    </row>
    <row r="34" spans="9:16" x14ac:dyDescent="0.2">
      <c r="I34" s="7" t="s">
        <v>8</v>
      </c>
      <c r="J34" s="4">
        <f>S7*K4</f>
        <v>20000</v>
      </c>
      <c r="K34" s="6">
        <f t="shared" si="2"/>
        <v>1000</v>
      </c>
      <c r="L34" s="4" t="str">
        <f>IF(K34&gt;0,"D",IF(K34=0,"-","F"))</f>
        <v>D</v>
      </c>
      <c r="M34" s="4">
        <f>S7*L4</f>
        <v>21000</v>
      </c>
      <c r="N34" s="6">
        <f t="shared" si="3"/>
        <v>300</v>
      </c>
      <c r="O34" s="4" t="str">
        <f>IF(N34&gt;0,"D",IF(N34=0,"-","F"))</f>
        <v>D</v>
      </c>
      <c r="P34" s="4">
        <f t="shared" ref="P34:P38" si="4">L7</f>
        <v>21300</v>
      </c>
    </row>
    <row r="35" spans="9:16" x14ac:dyDescent="0.15">
      <c r="I35" s="7" t="s">
        <v>10</v>
      </c>
      <c r="J35" s="4">
        <f>R8+S8*K4</f>
        <v>20100</v>
      </c>
      <c r="K35" s="6">
        <f t="shared" si="2"/>
        <v>400</v>
      </c>
      <c r="L35" s="4" t="str">
        <f t="shared" ref="L35:L39" si="5">IF(K35&gt;0,"D",IF(K35=0,"-","F"))</f>
        <v>D</v>
      </c>
      <c r="M35" s="4">
        <f>R8+S8*L4</f>
        <v>20500</v>
      </c>
      <c r="N35" s="6">
        <f t="shared" si="3"/>
        <v>-400</v>
      </c>
      <c r="O35" s="4" t="str">
        <f t="shared" ref="O35:O39" si="6">IF(N35&gt;0,"D",IF(N35=0,"-","F"))</f>
        <v>F</v>
      </c>
      <c r="P35" s="4">
        <f t="shared" si="4"/>
        <v>20100</v>
      </c>
    </row>
    <row r="36" spans="9:16" x14ac:dyDescent="0.2">
      <c r="I36" s="7" t="s">
        <v>11</v>
      </c>
      <c r="J36" s="4">
        <f>R9+S9*K4</f>
        <v>18800</v>
      </c>
      <c r="K36" s="6">
        <f t="shared" si="2"/>
        <v>300</v>
      </c>
      <c r="L36" s="4" t="str">
        <f t="shared" si="5"/>
        <v>D</v>
      </c>
      <c r="M36" s="4">
        <f>R9+S9*L4</f>
        <v>19100</v>
      </c>
      <c r="N36" s="6">
        <f t="shared" si="3"/>
        <v>-100</v>
      </c>
      <c r="O36" s="4" t="str">
        <f t="shared" si="6"/>
        <v>F</v>
      </c>
      <c r="P36" s="4">
        <f t="shared" si="4"/>
        <v>19000</v>
      </c>
    </row>
    <row r="37" spans="9:16" x14ac:dyDescent="0.15">
      <c r="I37" s="7" t="s">
        <v>12</v>
      </c>
      <c r="J37" s="4">
        <f>R10</f>
        <v>41000</v>
      </c>
      <c r="K37" s="6">
        <f t="shared" si="2"/>
        <v>0</v>
      </c>
      <c r="L37" s="4" t="str">
        <f t="shared" si="5"/>
        <v>-</v>
      </c>
      <c r="M37" s="4">
        <f>R10</f>
        <v>41000</v>
      </c>
      <c r="N37" s="6">
        <f t="shared" si="3"/>
        <v>0</v>
      </c>
      <c r="O37" s="4" t="str">
        <f t="shared" si="6"/>
        <v>-</v>
      </c>
      <c r="P37" s="4">
        <f t="shared" si="4"/>
        <v>41000</v>
      </c>
    </row>
    <row r="38" spans="9:16" x14ac:dyDescent="0.15">
      <c r="I38" s="7" t="s">
        <v>13</v>
      </c>
      <c r="J38" s="4">
        <f>R11</f>
        <v>67000</v>
      </c>
      <c r="K38" s="6">
        <f t="shared" si="2"/>
        <v>0</v>
      </c>
      <c r="L38" s="4" t="str">
        <f t="shared" si="5"/>
        <v>-</v>
      </c>
      <c r="M38" s="4">
        <f>R11</f>
        <v>67000</v>
      </c>
      <c r="N38" s="6">
        <f t="shared" si="3"/>
        <v>0</v>
      </c>
      <c r="O38" s="4" t="str">
        <f t="shared" si="6"/>
        <v>-</v>
      </c>
      <c r="P38" s="4">
        <f t="shared" si="4"/>
        <v>67000</v>
      </c>
    </row>
    <row r="39" spans="9:16" x14ac:dyDescent="0.15">
      <c r="I39" s="8" t="s">
        <v>17</v>
      </c>
      <c r="J39" s="2">
        <f>SUM(J33:J38)</f>
        <v>236900</v>
      </c>
      <c r="K39" s="2">
        <f t="shared" si="2"/>
        <v>5200</v>
      </c>
      <c r="L39" s="2" t="str">
        <f t="shared" si="5"/>
        <v>D</v>
      </c>
      <c r="M39" s="2">
        <f>SUM(M33:M38)</f>
        <v>242100</v>
      </c>
      <c r="N39" s="2">
        <f t="shared" si="3"/>
        <v>-2300</v>
      </c>
      <c r="O39" s="2" t="str">
        <f t="shared" si="6"/>
        <v>F</v>
      </c>
      <c r="P39" s="2">
        <f>SUM(P33:P38)</f>
        <v>239800</v>
      </c>
    </row>
  </sheetData>
  <mergeCells count="1">
    <mergeCell ref="I18:N28"/>
  </mergeCells>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Q60"/>
  <sheetViews>
    <sheetView topLeftCell="F1" zoomScale="145" zoomScaleNormal="145" zoomScalePageLayoutView="145" workbookViewId="0">
      <selection activeCell="Q9" sqref="Q9"/>
    </sheetView>
  </sheetViews>
  <sheetFormatPr baseColWidth="10" defaultColWidth="10.83203125" defaultRowHeight="13" x14ac:dyDescent="0.15"/>
  <cols>
    <col min="1" max="8" width="10.83203125" style="1"/>
    <col min="9" max="10" width="22" style="1" bestFit="1" customWidth="1"/>
    <col min="11" max="16384" width="10.83203125" style="1"/>
  </cols>
  <sheetData>
    <row r="2" spans="9:17" x14ac:dyDescent="0.15">
      <c r="K2" s="2" t="s">
        <v>0</v>
      </c>
      <c r="L2" s="2" t="s">
        <v>1</v>
      </c>
      <c r="M2" s="2" t="s">
        <v>18</v>
      </c>
    </row>
    <row r="3" spans="9:17" x14ac:dyDescent="0.15">
      <c r="J3" s="1" t="s">
        <v>19</v>
      </c>
      <c r="K3" s="3">
        <v>20</v>
      </c>
      <c r="L3" s="3">
        <v>25</v>
      </c>
    </row>
    <row r="5" spans="9:17" x14ac:dyDescent="0.15">
      <c r="J5" s="1" t="s">
        <v>20</v>
      </c>
      <c r="K5" s="1">
        <v>550</v>
      </c>
      <c r="L5" s="1">
        <v>500</v>
      </c>
      <c r="M5" s="1">
        <f>+L5-K5</f>
        <v>-50</v>
      </c>
      <c r="N5" s="9" t="str">
        <f>IF(M5&gt;0,"F",IF(M5=0,"'-","D"))</f>
        <v>D</v>
      </c>
    </row>
    <row r="6" spans="9:17" x14ac:dyDescent="0.15">
      <c r="N6" s="6"/>
    </row>
    <row r="7" spans="9:17" x14ac:dyDescent="0.15">
      <c r="J7" s="1" t="s">
        <v>21</v>
      </c>
      <c r="N7" s="4"/>
    </row>
    <row r="8" spans="9:17" x14ac:dyDescent="0.15">
      <c r="I8" s="1" t="s">
        <v>5</v>
      </c>
      <c r="J8" s="10" t="s">
        <v>22</v>
      </c>
      <c r="K8" s="1">
        <v>155</v>
      </c>
      <c r="L8" s="1">
        <v>161</v>
      </c>
      <c r="M8" s="1">
        <f t="shared" ref="M8:M13" si="0">+L8-K8</f>
        <v>6</v>
      </c>
      <c r="N8" s="4" t="str">
        <f t="shared" ref="N8:N13" si="1">IF(M8&gt;0,"D",IF(M8=0,"-","F"))</f>
        <v>D</v>
      </c>
      <c r="P8" s="2" t="s">
        <v>4</v>
      </c>
      <c r="Q8" s="2" t="s">
        <v>5</v>
      </c>
    </row>
    <row r="9" spans="9:17" x14ac:dyDescent="0.15">
      <c r="I9" s="1" t="s">
        <v>23</v>
      </c>
      <c r="J9" s="10" t="s">
        <v>24</v>
      </c>
      <c r="K9" s="1">
        <v>209</v>
      </c>
      <c r="L9" s="1">
        <v>172</v>
      </c>
      <c r="M9" s="1">
        <f t="shared" si="0"/>
        <v>-37</v>
      </c>
      <c r="N9" s="4" t="str">
        <f t="shared" si="1"/>
        <v>F</v>
      </c>
      <c r="O9" s="4" t="s">
        <v>25</v>
      </c>
      <c r="P9" s="1">
        <v>4100</v>
      </c>
      <c r="Q9" s="1">
        <f>+((K9*K3)-P9)/K3</f>
        <v>4</v>
      </c>
    </row>
    <row r="10" spans="9:17" x14ac:dyDescent="0.15">
      <c r="I10" s="1" t="s">
        <v>4</v>
      </c>
      <c r="J10" s="10" t="s">
        <v>13</v>
      </c>
      <c r="K10" s="1">
        <v>30</v>
      </c>
      <c r="L10" s="1">
        <v>24</v>
      </c>
      <c r="M10" s="1">
        <f t="shared" si="0"/>
        <v>-6</v>
      </c>
      <c r="N10" s="4" t="str">
        <f t="shared" si="1"/>
        <v>F</v>
      </c>
    </row>
    <row r="11" spans="9:17" x14ac:dyDescent="0.15">
      <c r="I11" s="1" t="s">
        <v>4</v>
      </c>
      <c r="J11" s="10" t="s">
        <v>26</v>
      </c>
      <c r="K11" s="1">
        <v>75</v>
      </c>
      <c r="L11" s="1">
        <v>60</v>
      </c>
      <c r="M11" s="1">
        <f t="shared" si="0"/>
        <v>-15</v>
      </c>
      <c r="N11" s="4" t="str">
        <f t="shared" si="1"/>
        <v>F</v>
      </c>
    </row>
    <row r="12" spans="9:17" x14ac:dyDescent="0.15">
      <c r="I12" s="1" t="s">
        <v>4</v>
      </c>
      <c r="J12" s="10" t="s">
        <v>27</v>
      </c>
      <c r="K12" s="5">
        <v>15</v>
      </c>
      <c r="L12" s="5">
        <v>12</v>
      </c>
      <c r="M12" s="1">
        <f t="shared" si="0"/>
        <v>-3</v>
      </c>
      <c r="N12" s="4" t="str">
        <f t="shared" si="1"/>
        <v>F</v>
      </c>
    </row>
    <row r="13" spans="9:17" x14ac:dyDescent="0.15">
      <c r="J13" s="1" t="s">
        <v>14</v>
      </c>
      <c r="K13" s="1">
        <f>SUM(K8:K12)</f>
        <v>484</v>
      </c>
      <c r="L13" s="1">
        <f>SUM(L8:L12)</f>
        <v>429</v>
      </c>
      <c r="M13" s="1">
        <f t="shared" si="0"/>
        <v>-55</v>
      </c>
      <c r="N13" s="4" t="str">
        <f t="shared" si="1"/>
        <v>F</v>
      </c>
    </row>
    <row r="15" spans="9:17" x14ac:dyDescent="0.15">
      <c r="J15" s="1" t="s">
        <v>28</v>
      </c>
      <c r="K15" s="1">
        <f>+K5-K13</f>
        <v>66</v>
      </c>
      <c r="L15" s="1">
        <f>+L5-L13</f>
        <v>71</v>
      </c>
      <c r="M15" s="1">
        <f>+L15-K15</f>
        <v>5</v>
      </c>
      <c r="N15" s="9" t="str">
        <f>IF(M15&gt;0,"F",IF(M15=0,"'-","D"))</f>
        <v>F</v>
      </c>
    </row>
    <row r="18" spans="9:14" x14ac:dyDescent="0.15">
      <c r="I18" s="15" t="s">
        <v>64</v>
      </c>
      <c r="J18" s="15"/>
      <c r="K18" s="15"/>
      <c r="L18" s="15"/>
      <c r="M18" s="15"/>
      <c r="N18" s="15"/>
    </row>
    <row r="19" spans="9:14" x14ac:dyDescent="0.15">
      <c r="I19" s="15"/>
      <c r="J19" s="15"/>
      <c r="K19" s="15"/>
      <c r="L19" s="15"/>
      <c r="M19" s="15"/>
      <c r="N19" s="15"/>
    </row>
    <row r="20" spans="9:14" x14ac:dyDescent="0.15">
      <c r="I20" s="15"/>
      <c r="J20" s="15"/>
      <c r="K20" s="15"/>
      <c r="L20" s="15"/>
      <c r="M20" s="15"/>
      <c r="N20" s="15"/>
    </row>
    <row r="21" spans="9:14" x14ac:dyDescent="0.15">
      <c r="I21" s="15"/>
      <c r="J21" s="15"/>
      <c r="K21" s="15"/>
      <c r="L21" s="15"/>
      <c r="M21" s="15"/>
      <c r="N21" s="15"/>
    </row>
    <row r="22" spans="9:14" x14ac:dyDescent="0.15">
      <c r="I22" s="15"/>
      <c r="J22" s="15"/>
      <c r="K22" s="15"/>
      <c r="L22" s="15"/>
      <c r="M22" s="15"/>
      <c r="N22" s="15"/>
    </row>
    <row r="23" spans="9:14" x14ac:dyDescent="0.15">
      <c r="I23" s="15"/>
      <c r="J23" s="15"/>
      <c r="K23" s="15"/>
      <c r="L23" s="15"/>
      <c r="M23" s="15"/>
      <c r="N23" s="15"/>
    </row>
    <row r="24" spans="9:14" x14ac:dyDescent="0.15">
      <c r="I24" s="15"/>
      <c r="J24" s="15"/>
      <c r="K24" s="15"/>
      <c r="L24" s="15"/>
      <c r="M24" s="15"/>
      <c r="N24" s="15"/>
    </row>
    <row r="25" spans="9:14" x14ac:dyDescent="0.15">
      <c r="I25" s="15"/>
      <c r="J25" s="15"/>
      <c r="K25" s="15"/>
      <c r="L25" s="15"/>
      <c r="M25" s="15"/>
      <c r="N25" s="15"/>
    </row>
    <row r="26" spans="9:14" x14ac:dyDescent="0.15">
      <c r="I26" s="15"/>
      <c r="J26" s="15"/>
      <c r="K26" s="15"/>
      <c r="L26" s="15"/>
      <c r="M26" s="15"/>
      <c r="N26" s="15"/>
    </row>
    <row r="27" spans="9:14" x14ac:dyDescent="0.15">
      <c r="I27" s="15"/>
      <c r="J27" s="15"/>
      <c r="K27" s="15"/>
      <c r="L27" s="15"/>
      <c r="M27" s="15"/>
      <c r="N27" s="15"/>
    </row>
    <row r="28" spans="9:14" x14ac:dyDescent="0.15">
      <c r="I28" s="15"/>
      <c r="J28" s="15"/>
      <c r="K28" s="15"/>
      <c r="L28" s="15"/>
      <c r="M28" s="15"/>
      <c r="N28" s="15"/>
    </row>
    <row r="29" spans="9:14" x14ac:dyDescent="0.15">
      <c r="I29" s="15"/>
      <c r="J29" s="15"/>
      <c r="K29" s="15"/>
      <c r="L29" s="15"/>
      <c r="M29" s="15"/>
      <c r="N29" s="15"/>
    </row>
    <row r="30" spans="9:14" x14ac:dyDescent="0.15">
      <c r="I30" s="15"/>
      <c r="J30" s="15"/>
      <c r="K30" s="15"/>
      <c r="L30" s="15"/>
      <c r="M30" s="15"/>
      <c r="N30" s="15"/>
    </row>
    <row r="34" spans="9:16" x14ac:dyDescent="0.15">
      <c r="J34" s="2" t="s">
        <v>0</v>
      </c>
      <c r="K34" s="2"/>
      <c r="L34" s="2"/>
      <c r="M34" s="2" t="s">
        <v>15</v>
      </c>
      <c r="N34" s="2"/>
      <c r="O34" s="2"/>
      <c r="P34" s="2" t="s">
        <v>1</v>
      </c>
    </row>
    <row r="35" spans="9:16" x14ac:dyDescent="0.15">
      <c r="I35" s="1" t="s">
        <v>29</v>
      </c>
      <c r="J35" s="11">
        <f>K3*K5</f>
        <v>11000</v>
      </c>
      <c r="K35" s="11">
        <f>M35-J35</f>
        <v>2750</v>
      </c>
      <c r="L35" s="11" t="str">
        <f>IF(K35&gt;0,"F",IF(K35=0,"'-","D"))</f>
        <v>F</v>
      </c>
      <c r="M35" s="11">
        <f>+K5*L3</f>
        <v>13750</v>
      </c>
      <c r="N35" s="11">
        <f>P35-M35</f>
        <v>-1250</v>
      </c>
      <c r="O35" s="11" t="str">
        <f>IF(N35&gt;0,"F",IF(N35=0,"'-","D"))</f>
        <v>D</v>
      </c>
      <c r="P35" s="11">
        <f>L5*L3</f>
        <v>12500</v>
      </c>
    </row>
    <row r="36" spans="9:16" x14ac:dyDescent="0.15">
      <c r="I36" s="1" t="s">
        <v>16</v>
      </c>
      <c r="J36" s="4"/>
      <c r="K36" s="6"/>
      <c r="L36" s="6"/>
      <c r="M36" s="4"/>
      <c r="N36" s="6"/>
      <c r="O36" s="6"/>
      <c r="P36" s="4"/>
    </row>
    <row r="37" spans="9:16" x14ac:dyDescent="0.15">
      <c r="I37" s="10" t="s">
        <v>22</v>
      </c>
      <c r="J37" s="4">
        <f>K8*K3</f>
        <v>3100</v>
      </c>
      <c r="K37" s="6">
        <f t="shared" ref="K37:K42" si="2">M37-J37</f>
        <v>775</v>
      </c>
      <c r="L37" s="4" t="str">
        <f>IF(K37&gt;0,"D",IF(K37=0,"-","F"))</f>
        <v>D</v>
      </c>
      <c r="M37" s="4">
        <f>+K8*L3</f>
        <v>3875</v>
      </c>
      <c r="N37" s="6">
        <f t="shared" ref="N37:N42" si="3">P37-M37</f>
        <v>150</v>
      </c>
      <c r="O37" s="4" t="str">
        <f>IF(N37&gt;0,"D",IF(N37=0,"-","F"))</f>
        <v>D</v>
      </c>
      <c r="P37" s="4">
        <f>+L8*$L$3</f>
        <v>4025</v>
      </c>
    </row>
    <row r="38" spans="9:16" x14ac:dyDescent="0.15">
      <c r="I38" s="10" t="s">
        <v>24</v>
      </c>
      <c r="J38" s="4">
        <f>+P9+Q9*K3</f>
        <v>4180</v>
      </c>
      <c r="K38" s="6">
        <f t="shared" si="2"/>
        <v>20</v>
      </c>
      <c r="L38" s="4" t="str">
        <f>IF(K38&gt;0,"D",IF(K38=0,"-","F"))</f>
        <v>D</v>
      </c>
      <c r="M38" s="4">
        <f>+P9+Q9*L3</f>
        <v>4200</v>
      </c>
      <c r="N38" s="6">
        <f t="shared" si="3"/>
        <v>100</v>
      </c>
      <c r="O38" s="4" t="str">
        <f>IF(N38&gt;0,"D",IF(N38=0,"-","F"))</f>
        <v>D</v>
      </c>
      <c r="P38" s="4">
        <f t="shared" ref="P38:P41" si="4">+L9*$L$3</f>
        <v>4300</v>
      </c>
    </row>
    <row r="39" spans="9:16" x14ac:dyDescent="0.15">
      <c r="I39" s="10" t="s">
        <v>13</v>
      </c>
      <c r="J39" s="4">
        <f>+K10*K3</f>
        <v>600</v>
      </c>
      <c r="K39" s="6">
        <f t="shared" si="2"/>
        <v>0</v>
      </c>
      <c r="L39" s="4" t="str">
        <f t="shared" ref="L39:L42" si="5">IF(K39&gt;0,"D",IF(K39=0,"-","F"))</f>
        <v>-</v>
      </c>
      <c r="M39" s="4">
        <f>+J39</f>
        <v>600</v>
      </c>
      <c r="N39" s="6">
        <f>P38-M39</f>
        <v>3700</v>
      </c>
      <c r="O39" s="4" t="str">
        <f t="shared" ref="O39:O42" si="6">IF(N39&gt;0,"D",IF(N39=0,"-","F"))</f>
        <v>D</v>
      </c>
      <c r="P39" s="4">
        <f t="shared" si="4"/>
        <v>600</v>
      </c>
    </row>
    <row r="40" spans="9:16" x14ac:dyDescent="0.15">
      <c r="I40" s="10" t="s">
        <v>26</v>
      </c>
      <c r="J40" s="4">
        <f>+K11*K3</f>
        <v>1500</v>
      </c>
      <c r="K40" s="6">
        <f t="shared" si="2"/>
        <v>0</v>
      </c>
      <c r="L40" s="4" t="str">
        <f t="shared" si="5"/>
        <v>-</v>
      </c>
      <c r="M40" s="4">
        <f t="shared" ref="M40:M41" si="7">+J40</f>
        <v>1500</v>
      </c>
      <c r="N40" s="6">
        <f>P39-M40</f>
        <v>-900</v>
      </c>
      <c r="O40" s="4" t="str">
        <f t="shared" si="6"/>
        <v>F</v>
      </c>
      <c r="P40" s="4">
        <f t="shared" si="4"/>
        <v>1500</v>
      </c>
    </row>
    <row r="41" spans="9:16" x14ac:dyDescent="0.15">
      <c r="I41" s="10" t="s">
        <v>27</v>
      </c>
      <c r="J41" s="4">
        <f>+K12*K3</f>
        <v>300</v>
      </c>
      <c r="K41" s="6"/>
      <c r="L41" s="4"/>
      <c r="M41" s="4">
        <f t="shared" si="7"/>
        <v>300</v>
      </c>
      <c r="N41" s="6"/>
      <c r="O41" s="4"/>
      <c r="P41" s="4">
        <f t="shared" si="4"/>
        <v>300</v>
      </c>
    </row>
    <row r="42" spans="9:16" x14ac:dyDescent="0.15">
      <c r="I42" s="8" t="s">
        <v>17</v>
      </c>
      <c r="J42" s="2">
        <f>SUM(J37:J41)</f>
        <v>9680</v>
      </c>
      <c r="K42" s="2">
        <f t="shared" si="2"/>
        <v>795</v>
      </c>
      <c r="L42" s="2" t="str">
        <f t="shared" si="5"/>
        <v>D</v>
      </c>
      <c r="M42" s="2">
        <f>SUM(M37:M41)</f>
        <v>10475</v>
      </c>
      <c r="N42" s="2">
        <f t="shared" si="3"/>
        <v>250</v>
      </c>
      <c r="O42" s="2" t="str">
        <f t="shared" si="6"/>
        <v>D</v>
      </c>
      <c r="P42" s="2">
        <f>SUM(P37:P41)</f>
        <v>10725</v>
      </c>
    </row>
    <row r="43" spans="9:16" x14ac:dyDescent="0.15">
      <c r="J43" s="4"/>
      <c r="K43" s="12"/>
      <c r="L43" s="4"/>
      <c r="M43" s="4"/>
      <c r="N43" s="12"/>
      <c r="O43" s="4"/>
      <c r="P43" s="4"/>
    </row>
    <row r="44" spans="9:16" ht="14" thickBot="1" x14ac:dyDescent="0.2">
      <c r="I44" s="8" t="s">
        <v>28</v>
      </c>
      <c r="J44" s="13">
        <f>J35-J42</f>
        <v>1320</v>
      </c>
      <c r="K44" s="13">
        <f>+M44-J44</f>
        <v>1955</v>
      </c>
      <c r="L44" s="13" t="str">
        <f>IF(K44&gt;0,"F",IF(K44=0,"'-","D"))</f>
        <v>F</v>
      </c>
      <c r="M44" s="13">
        <f>M35-M42</f>
        <v>3275</v>
      </c>
      <c r="N44" s="13">
        <f>+P44-M44</f>
        <v>-1500</v>
      </c>
      <c r="O44" s="13" t="str">
        <f>IF(N44&gt;0,"F",IF(N44=0,"'-","D"))</f>
        <v>D</v>
      </c>
      <c r="P44" s="13">
        <f>P35-P42</f>
        <v>1775</v>
      </c>
    </row>
    <row r="45" spans="9:16" ht="14" thickTop="1" x14ac:dyDescent="0.15"/>
    <row r="48" spans="9:16" x14ac:dyDescent="0.15">
      <c r="I48" s="15" t="s">
        <v>30</v>
      </c>
      <c r="J48" s="15"/>
      <c r="K48" s="15"/>
      <c r="L48" s="15"/>
      <c r="M48" s="15"/>
      <c r="N48" s="15"/>
    </row>
    <row r="49" spans="9:14" x14ac:dyDescent="0.15">
      <c r="I49" s="15"/>
      <c r="J49" s="15"/>
      <c r="K49" s="15"/>
      <c r="L49" s="15"/>
      <c r="M49" s="15"/>
      <c r="N49" s="15"/>
    </row>
    <row r="50" spans="9:14" x14ac:dyDescent="0.15">
      <c r="I50" s="15"/>
      <c r="J50" s="15"/>
      <c r="K50" s="15"/>
      <c r="L50" s="15"/>
      <c r="M50" s="15"/>
      <c r="N50" s="15"/>
    </row>
    <row r="51" spans="9:14" x14ac:dyDescent="0.15">
      <c r="I51" s="15"/>
      <c r="J51" s="15"/>
      <c r="K51" s="15"/>
      <c r="L51" s="15"/>
      <c r="M51" s="15"/>
      <c r="N51" s="15"/>
    </row>
    <row r="52" spans="9:14" x14ac:dyDescent="0.15">
      <c r="I52" s="15"/>
      <c r="J52" s="15"/>
      <c r="K52" s="15"/>
      <c r="L52" s="15"/>
      <c r="M52" s="15"/>
      <c r="N52" s="15"/>
    </row>
    <row r="53" spans="9:14" x14ac:dyDescent="0.15">
      <c r="I53" s="15"/>
      <c r="J53" s="15"/>
      <c r="K53" s="15"/>
      <c r="L53" s="15"/>
      <c r="M53" s="15"/>
      <c r="N53" s="15"/>
    </row>
    <row r="54" spans="9:14" x14ac:dyDescent="0.15">
      <c r="I54" s="15"/>
      <c r="J54" s="15"/>
      <c r="K54" s="15"/>
      <c r="L54" s="15"/>
      <c r="M54" s="15"/>
      <c r="N54" s="15"/>
    </row>
    <row r="55" spans="9:14" x14ac:dyDescent="0.15">
      <c r="I55" s="15"/>
      <c r="J55" s="15"/>
      <c r="K55" s="15"/>
      <c r="L55" s="15"/>
      <c r="M55" s="15"/>
      <c r="N55" s="15"/>
    </row>
    <row r="56" spans="9:14" x14ac:dyDescent="0.15">
      <c r="I56" s="15"/>
      <c r="J56" s="15"/>
      <c r="K56" s="15"/>
      <c r="L56" s="15"/>
      <c r="M56" s="15"/>
      <c r="N56" s="15"/>
    </row>
    <row r="57" spans="9:14" x14ac:dyDescent="0.15">
      <c r="I57" s="15"/>
      <c r="J57" s="15"/>
      <c r="K57" s="15"/>
      <c r="L57" s="15"/>
      <c r="M57" s="15"/>
      <c r="N57" s="15"/>
    </row>
    <row r="58" spans="9:14" x14ac:dyDescent="0.15">
      <c r="I58" s="15"/>
      <c r="J58" s="15"/>
      <c r="K58" s="15"/>
      <c r="L58" s="15"/>
      <c r="M58" s="15"/>
      <c r="N58" s="15"/>
    </row>
    <row r="59" spans="9:14" x14ac:dyDescent="0.15">
      <c r="I59" s="15"/>
      <c r="J59" s="15"/>
      <c r="K59" s="15"/>
      <c r="L59" s="15"/>
      <c r="M59" s="15"/>
      <c r="N59" s="15"/>
    </row>
    <row r="60" spans="9:14" x14ac:dyDescent="0.15">
      <c r="I60" s="15"/>
      <c r="J60" s="15"/>
      <c r="K60" s="15"/>
      <c r="L60" s="15"/>
      <c r="M60" s="15"/>
      <c r="N60" s="15"/>
    </row>
  </sheetData>
  <mergeCells count="2">
    <mergeCell ref="I18:N30"/>
    <mergeCell ref="I48:N60"/>
  </mergeCells>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P45"/>
  <sheetViews>
    <sheetView tabSelected="1" zoomScale="145" zoomScaleNormal="145" zoomScalePageLayoutView="145" workbookViewId="0">
      <selection activeCell="K18" sqref="K18"/>
    </sheetView>
  </sheetViews>
  <sheetFormatPr baseColWidth="10" defaultColWidth="10.83203125" defaultRowHeight="13" x14ac:dyDescent="0.15"/>
  <cols>
    <col min="1" max="8" width="10.83203125" style="1"/>
    <col min="9" max="9" width="23.5" style="1" bestFit="1" customWidth="1"/>
    <col min="10" max="10" width="16.33203125" style="1" customWidth="1"/>
    <col min="11" max="11" width="19.5" style="1" bestFit="1" customWidth="1"/>
    <col min="12" max="13" width="16.33203125" style="1" customWidth="1"/>
    <col min="14" max="16384" width="10.83203125" style="1"/>
  </cols>
  <sheetData>
    <row r="2" spans="9:14" x14ac:dyDescent="0.15">
      <c r="J2" s="2" t="s">
        <v>31</v>
      </c>
      <c r="K2" s="2" t="s">
        <v>32</v>
      </c>
      <c r="L2" s="2" t="s">
        <v>33</v>
      </c>
      <c r="M2" s="2" t="s">
        <v>34</v>
      </c>
    </row>
    <row r="3" spans="9:14" x14ac:dyDescent="0.15">
      <c r="I3" s="1" t="s">
        <v>35</v>
      </c>
      <c r="J3" s="3">
        <v>600000</v>
      </c>
      <c r="K3" s="3">
        <f>+J3/12</f>
        <v>50000</v>
      </c>
      <c r="L3" s="3">
        <v>58000</v>
      </c>
    </row>
    <row r="4" spans="9:14" x14ac:dyDescent="0.15">
      <c r="I4" s="1" t="s">
        <v>36</v>
      </c>
      <c r="J4" s="3">
        <v>20</v>
      </c>
      <c r="K4" s="3">
        <v>20</v>
      </c>
      <c r="L4" s="3">
        <v>21</v>
      </c>
    </row>
    <row r="6" spans="9:14" x14ac:dyDescent="0.15">
      <c r="I6" s="1" t="s">
        <v>37</v>
      </c>
      <c r="J6" s="1">
        <v>96000</v>
      </c>
      <c r="K6" s="1">
        <f>+J6/12</f>
        <v>8000</v>
      </c>
      <c r="L6" s="1">
        <v>8970</v>
      </c>
      <c r="M6" s="1">
        <f>+L6-K6</f>
        <v>970</v>
      </c>
      <c r="N6" s="4" t="str">
        <f>IF(M6&gt;0,"D",IF(M6=0,"-","F"))</f>
        <v>D</v>
      </c>
    </row>
    <row r="7" spans="9:14" x14ac:dyDescent="0.15">
      <c r="I7" s="1" t="s">
        <v>38</v>
      </c>
      <c r="J7" s="1">
        <v>30000</v>
      </c>
      <c r="K7" s="1">
        <f t="shared" ref="K7:K11" si="0">+J7/12</f>
        <v>2500</v>
      </c>
      <c r="L7" s="1">
        <v>2840</v>
      </c>
      <c r="M7" s="1">
        <f t="shared" ref="M7:M12" si="1">+L7-K7</f>
        <v>340</v>
      </c>
      <c r="N7" s="4" t="str">
        <f t="shared" ref="N7:N12" si="2">IF(M7&gt;0,"D",IF(M7=0,"-","F"))</f>
        <v>D</v>
      </c>
    </row>
    <row r="8" spans="9:14" x14ac:dyDescent="0.15">
      <c r="I8" s="1" t="s">
        <v>39</v>
      </c>
      <c r="J8" s="1">
        <v>9600</v>
      </c>
      <c r="K8" s="1">
        <f t="shared" si="0"/>
        <v>800</v>
      </c>
      <c r="L8" s="1">
        <v>980</v>
      </c>
      <c r="M8" s="1">
        <f t="shared" si="1"/>
        <v>180</v>
      </c>
      <c r="N8" s="4" t="str">
        <f t="shared" si="2"/>
        <v>D</v>
      </c>
    </row>
    <row r="9" spans="9:14" x14ac:dyDescent="0.15">
      <c r="I9" s="1" t="s">
        <v>27</v>
      </c>
      <c r="J9" s="1">
        <v>18000</v>
      </c>
      <c r="K9" s="1">
        <f t="shared" si="0"/>
        <v>1500</v>
      </c>
      <c r="L9" s="1">
        <v>1625</v>
      </c>
      <c r="M9" s="1">
        <f t="shared" si="1"/>
        <v>125</v>
      </c>
      <c r="N9" s="4" t="str">
        <f t="shared" si="2"/>
        <v>D</v>
      </c>
    </row>
    <row r="10" spans="9:14" x14ac:dyDescent="0.15">
      <c r="I10" s="1" t="s">
        <v>40</v>
      </c>
      <c r="J10" s="1">
        <v>103320</v>
      </c>
      <c r="K10" s="1">
        <f t="shared" si="0"/>
        <v>8610</v>
      </c>
      <c r="L10" s="1">
        <v>8610</v>
      </c>
      <c r="M10" s="1">
        <f t="shared" si="1"/>
        <v>0</v>
      </c>
      <c r="N10" s="4" t="str">
        <f t="shared" si="2"/>
        <v>-</v>
      </c>
    </row>
    <row r="11" spans="9:14" x14ac:dyDescent="0.15">
      <c r="I11" s="1" t="s">
        <v>41</v>
      </c>
      <c r="J11" s="5">
        <v>48000</v>
      </c>
      <c r="K11" s="5">
        <f t="shared" si="0"/>
        <v>4000</v>
      </c>
      <c r="L11" s="5">
        <v>4200</v>
      </c>
      <c r="M11" s="1">
        <f t="shared" si="1"/>
        <v>200</v>
      </c>
      <c r="N11" s="4" t="str">
        <f t="shared" si="2"/>
        <v>D</v>
      </c>
    </row>
    <row r="12" spans="9:14" x14ac:dyDescent="0.15">
      <c r="I12" s="1" t="s">
        <v>14</v>
      </c>
      <c r="J12" s="1">
        <f>SUM(J6:J11)</f>
        <v>304920</v>
      </c>
      <c r="K12" s="1">
        <f>SUM(K6:K11)</f>
        <v>25410</v>
      </c>
      <c r="L12" s="1">
        <f>SUM(L6:L11)</f>
        <v>27225</v>
      </c>
      <c r="M12" s="1">
        <f t="shared" si="1"/>
        <v>1815</v>
      </c>
      <c r="N12" s="4" t="str">
        <f t="shared" si="2"/>
        <v>D</v>
      </c>
    </row>
    <row r="15" spans="9:14" x14ac:dyDescent="0.15">
      <c r="J15" s="2" t="s">
        <v>42</v>
      </c>
      <c r="K15" s="2" t="s">
        <v>43</v>
      </c>
      <c r="L15" s="2" t="s">
        <v>44</v>
      </c>
    </row>
    <row r="16" spans="9:14" x14ac:dyDescent="0.15">
      <c r="I16" s="1" t="s">
        <v>37</v>
      </c>
      <c r="K16" s="1">
        <v>0.16</v>
      </c>
    </row>
    <row r="17" spans="9:16" x14ac:dyDescent="0.15">
      <c r="I17" s="1" t="s">
        <v>38</v>
      </c>
      <c r="K17" s="1">
        <v>0.05</v>
      </c>
    </row>
    <row r="18" spans="9:16" x14ac:dyDescent="0.15">
      <c r="I18" s="1" t="s">
        <v>39</v>
      </c>
      <c r="L18" s="1">
        <v>480</v>
      </c>
    </row>
    <row r="19" spans="9:16" x14ac:dyDescent="0.15">
      <c r="I19" s="1" t="s">
        <v>27</v>
      </c>
      <c r="L19" s="1">
        <v>900</v>
      </c>
    </row>
    <row r="20" spans="9:16" x14ac:dyDescent="0.15">
      <c r="I20" s="1" t="s">
        <v>40</v>
      </c>
      <c r="J20" s="1">
        <v>8610</v>
      </c>
    </row>
    <row r="21" spans="9:16" x14ac:dyDescent="0.15">
      <c r="I21" s="1" t="s">
        <v>41</v>
      </c>
      <c r="L21" s="1">
        <v>2400</v>
      </c>
    </row>
    <row r="24" spans="9:16" x14ac:dyDescent="0.15">
      <c r="J24" s="2" t="s">
        <v>0</v>
      </c>
      <c r="K24" s="2"/>
      <c r="L24" s="2"/>
      <c r="M24" s="2" t="s">
        <v>15</v>
      </c>
      <c r="N24" s="2"/>
      <c r="O24" s="2"/>
      <c r="P24" s="2" t="s">
        <v>1</v>
      </c>
    </row>
    <row r="25" spans="9:16" x14ac:dyDescent="0.15">
      <c r="I25" s="1" t="s">
        <v>16</v>
      </c>
      <c r="J25" s="4"/>
      <c r="K25" s="6"/>
      <c r="L25" s="6"/>
      <c r="M25" s="4"/>
      <c r="N25" s="6"/>
      <c r="O25" s="6"/>
      <c r="P25" s="4"/>
    </row>
    <row r="26" spans="9:16" x14ac:dyDescent="0.15">
      <c r="I26" s="1" t="s">
        <v>37</v>
      </c>
      <c r="J26" s="4">
        <f>K16*K3</f>
        <v>8000</v>
      </c>
      <c r="K26" s="6">
        <f t="shared" ref="K26:K32" si="3">M26-J26</f>
        <v>1280</v>
      </c>
      <c r="L26" s="4" t="str">
        <f>IF(K26&gt;0,"D",IF(K26=0,"-","F"))</f>
        <v>D</v>
      </c>
      <c r="M26" s="4">
        <f>K16*L3</f>
        <v>9280</v>
      </c>
      <c r="N26" s="6">
        <f t="shared" ref="N26:N32" si="4">P26-M26</f>
        <v>-310</v>
      </c>
      <c r="O26" s="4" t="str">
        <f>IF(N26&gt;0,"D",IF(N26=0,"-","F"))</f>
        <v>F</v>
      </c>
      <c r="P26" s="4">
        <f>L6</f>
        <v>8970</v>
      </c>
    </row>
    <row r="27" spans="9:16" x14ac:dyDescent="0.15">
      <c r="I27" s="1" t="s">
        <v>38</v>
      </c>
      <c r="J27" s="4">
        <f>K17*K3</f>
        <v>2500</v>
      </c>
      <c r="K27" s="6">
        <f t="shared" si="3"/>
        <v>400</v>
      </c>
      <c r="L27" s="4" t="str">
        <f>IF(K27&gt;0,"D",IF(K27=0,"-","F"))</f>
        <v>D</v>
      </c>
      <c r="M27" s="4">
        <f>K17*L3</f>
        <v>2900</v>
      </c>
      <c r="N27" s="6">
        <f t="shared" si="4"/>
        <v>-60</v>
      </c>
      <c r="O27" s="4" t="str">
        <f>IF(N27&gt;0,"D",IF(N27=0,"-","F"))</f>
        <v>F</v>
      </c>
      <c r="P27" s="4">
        <f t="shared" ref="P27:P31" si="5">L7</f>
        <v>2840</v>
      </c>
    </row>
    <row r="28" spans="9:16" x14ac:dyDescent="0.15">
      <c r="I28" s="1" t="s">
        <v>39</v>
      </c>
      <c r="J28" s="4">
        <f>+L18*K4/12</f>
        <v>800</v>
      </c>
      <c r="K28" s="6">
        <f t="shared" si="3"/>
        <v>40</v>
      </c>
      <c r="L28" s="4" t="str">
        <f t="shared" ref="L28:L32" si="6">IF(K28&gt;0,"D",IF(K28=0,"-","F"))</f>
        <v>D</v>
      </c>
      <c r="M28" s="4">
        <f>+L18*L4/12</f>
        <v>840</v>
      </c>
      <c r="N28" s="6">
        <f t="shared" si="4"/>
        <v>140</v>
      </c>
      <c r="O28" s="4" t="str">
        <f t="shared" ref="O28:O32" si="7">IF(N28&gt;0,"D",IF(N28=0,"-","F"))</f>
        <v>D</v>
      </c>
      <c r="P28" s="4">
        <f t="shared" si="5"/>
        <v>980</v>
      </c>
    </row>
    <row r="29" spans="9:16" x14ac:dyDescent="0.15">
      <c r="I29" s="1" t="s">
        <v>27</v>
      </c>
      <c r="J29" s="4">
        <f>+L19*K4/12</f>
        <v>1500</v>
      </c>
      <c r="K29" s="6">
        <f t="shared" si="3"/>
        <v>75</v>
      </c>
      <c r="L29" s="4" t="str">
        <f t="shared" si="6"/>
        <v>D</v>
      </c>
      <c r="M29" s="4">
        <f>+L19*L4/12</f>
        <v>1575</v>
      </c>
      <c r="N29" s="6">
        <f t="shared" si="4"/>
        <v>50</v>
      </c>
      <c r="O29" s="4" t="str">
        <f t="shared" si="7"/>
        <v>D</v>
      </c>
      <c r="P29" s="4">
        <f t="shared" si="5"/>
        <v>1625</v>
      </c>
    </row>
    <row r="30" spans="9:16" x14ac:dyDescent="0.15">
      <c r="I30" s="1" t="s">
        <v>40</v>
      </c>
      <c r="J30" s="4">
        <f>+J20</f>
        <v>8610</v>
      </c>
      <c r="K30" s="6">
        <f t="shared" si="3"/>
        <v>0</v>
      </c>
      <c r="L30" s="4" t="str">
        <f t="shared" si="6"/>
        <v>-</v>
      </c>
      <c r="M30" s="4">
        <f>J20</f>
        <v>8610</v>
      </c>
      <c r="N30" s="6">
        <f t="shared" si="4"/>
        <v>0</v>
      </c>
      <c r="O30" s="4" t="str">
        <f t="shared" si="7"/>
        <v>-</v>
      </c>
      <c r="P30" s="4">
        <f t="shared" si="5"/>
        <v>8610</v>
      </c>
    </row>
    <row r="31" spans="9:16" x14ac:dyDescent="0.15">
      <c r="I31" s="1" t="s">
        <v>41</v>
      </c>
      <c r="J31" s="4">
        <f>+L21*K4/12</f>
        <v>4000</v>
      </c>
      <c r="K31" s="6">
        <f t="shared" si="3"/>
        <v>200</v>
      </c>
      <c r="L31" s="4" t="str">
        <f t="shared" si="6"/>
        <v>D</v>
      </c>
      <c r="M31" s="4">
        <f>+L21*L4/12</f>
        <v>4200</v>
      </c>
      <c r="N31" s="6">
        <f t="shared" si="4"/>
        <v>0</v>
      </c>
      <c r="O31" s="4" t="str">
        <f t="shared" si="7"/>
        <v>-</v>
      </c>
      <c r="P31" s="4">
        <f t="shared" si="5"/>
        <v>4200</v>
      </c>
    </row>
    <row r="32" spans="9:16" ht="14" thickBot="1" x14ac:dyDescent="0.2">
      <c r="I32" s="14" t="s">
        <v>17</v>
      </c>
      <c r="J32" s="13">
        <f>SUM(J26:J31)</f>
        <v>25410</v>
      </c>
      <c r="K32" s="13">
        <f t="shared" si="3"/>
        <v>1995</v>
      </c>
      <c r="L32" s="13" t="str">
        <f t="shared" si="6"/>
        <v>D</v>
      </c>
      <c r="M32" s="13">
        <f>SUM(M26:M31)</f>
        <v>27405</v>
      </c>
      <c r="N32" s="13">
        <f t="shared" si="4"/>
        <v>-180</v>
      </c>
      <c r="O32" s="13" t="str">
        <f t="shared" si="7"/>
        <v>F</v>
      </c>
      <c r="P32" s="13">
        <f>SUM(P26:P31)</f>
        <v>27225</v>
      </c>
    </row>
    <row r="33" spans="9:16" ht="14" thickTop="1" x14ac:dyDescent="0.15"/>
    <row r="36" spans="9:16" x14ac:dyDescent="0.15">
      <c r="I36" s="15" t="s">
        <v>45</v>
      </c>
      <c r="J36" s="15"/>
      <c r="K36" s="15"/>
      <c r="L36" s="15"/>
      <c r="M36" s="15"/>
      <c r="N36" s="15"/>
      <c r="O36" s="15"/>
      <c r="P36" s="15"/>
    </row>
    <row r="37" spans="9:16" x14ac:dyDescent="0.15">
      <c r="I37" s="15"/>
      <c r="J37" s="15"/>
      <c r="K37" s="15"/>
      <c r="L37" s="15"/>
      <c r="M37" s="15"/>
      <c r="N37" s="15"/>
      <c r="O37" s="15"/>
      <c r="P37" s="15"/>
    </row>
    <row r="38" spans="9:16" x14ac:dyDescent="0.15">
      <c r="I38" s="15"/>
      <c r="J38" s="15"/>
      <c r="K38" s="15"/>
      <c r="L38" s="15"/>
      <c r="M38" s="15"/>
      <c r="N38" s="15"/>
      <c r="O38" s="15"/>
      <c r="P38" s="15"/>
    </row>
    <row r="39" spans="9:16" x14ac:dyDescent="0.15">
      <c r="I39" s="15"/>
      <c r="J39" s="15"/>
      <c r="K39" s="15"/>
      <c r="L39" s="15"/>
      <c r="M39" s="15"/>
      <c r="N39" s="15"/>
      <c r="O39" s="15"/>
      <c r="P39" s="15"/>
    </row>
    <row r="40" spans="9:16" x14ac:dyDescent="0.15">
      <c r="I40" s="15"/>
      <c r="J40" s="15"/>
      <c r="K40" s="15"/>
      <c r="L40" s="15"/>
      <c r="M40" s="15"/>
      <c r="N40" s="15"/>
      <c r="O40" s="15"/>
      <c r="P40" s="15"/>
    </row>
    <row r="41" spans="9:16" x14ac:dyDescent="0.15">
      <c r="I41" s="15"/>
      <c r="J41" s="15"/>
      <c r="K41" s="15"/>
      <c r="L41" s="15"/>
      <c r="M41" s="15"/>
      <c r="N41" s="15"/>
      <c r="O41" s="15"/>
      <c r="P41" s="15"/>
    </row>
    <row r="42" spans="9:16" x14ac:dyDescent="0.15">
      <c r="I42" s="15"/>
      <c r="J42" s="15"/>
      <c r="K42" s="15"/>
      <c r="L42" s="15"/>
      <c r="M42" s="15"/>
      <c r="N42" s="15"/>
      <c r="O42" s="15"/>
      <c r="P42" s="15"/>
    </row>
    <row r="43" spans="9:16" x14ac:dyDescent="0.15">
      <c r="I43" s="15"/>
      <c r="J43" s="15"/>
      <c r="K43" s="15"/>
      <c r="L43" s="15"/>
      <c r="M43" s="15"/>
      <c r="N43" s="15"/>
      <c r="O43" s="15"/>
      <c r="P43" s="15"/>
    </row>
    <row r="44" spans="9:16" x14ac:dyDescent="0.15">
      <c r="I44" s="15"/>
      <c r="J44" s="15"/>
      <c r="K44" s="15"/>
      <c r="L44" s="15"/>
      <c r="M44" s="15"/>
      <c r="N44" s="15"/>
      <c r="O44" s="15"/>
      <c r="P44" s="15"/>
    </row>
    <row r="45" spans="9:16" x14ac:dyDescent="0.15">
      <c r="I45" s="15"/>
      <c r="J45" s="15"/>
      <c r="K45" s="15"/>
      <c r="L45" s="15"/>
      <c r="M45" s="15"/>
      <c r="N45" s="15"/>
      <c r="O45" s="15"/>
      <c r="P45" s="15"/>
    </row>
  </sheetData>
  <mergeCells count="1">
    <mergeCell ref="I36:P45"/>
  </mergeCells>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O62"/>
  <sheetViews>
    <sheetView topLeftCell="F30" zoomScale="145" zoomScaleNormal="145" zoomScalePageLayoutView="145" workbookViewId="0">
      <selection activeCell="K21" sqref="K21"/>
    </sheetView>
  </sheetViews>
  <sheetFormatPr baseColWidth="10" defaultColWidth="10.83203125" defaultRowHeight="13" x14ac:dyDescent="0.15"/>
  <cols>
    <col min="1" max="7" width="10.83203125" style="1"/>
    <col min="8" max="8" width="18.1640625" style="1" bestFit="1" customWidth="1"/>
    <col min="9" max="9" width="10.83203125" style="1"/>
    <col min="10" max="10" width="35.5" style="1" bestFit="1" customWidth="1"/>
    <col min="11" max="11" width="23.1640625" style="1" customWidth="1"/>
    <col min="12" max="16384" width="10.83203125" style="1"/>
  </cols>
  <sheetData>
    <row r="2" spans="8:11" x14ac:dyDescent="0.15">
      <c r="I2" s="2" t="s">
        <v>0</v>
      </c>
      <c r="J2" s="2" t="s">
        <v>46</v>
      </c>
      <c r="K2" s="2" t="s">
        <v>0</v>
      </c>
    </row>
    <row r="3" spans="8:11" x14ac:dyDescent="0.15">
      <c r="H3" s="1" t="s">
        <v>47</v>
      </c>
      <c r="I3" s="3">
        <v>5</v>
      </c>
      <c r="K3" s="3">
        <v>4</v>
      </c>
    </row>
    <row r="4" spans="8:11" x14ac:dyDescent="0.15">
      <c r="H4" s="1" t="s">
        <v>48</v>
      </c>
      <c r="I4" s="3">
        <v>60</v>
      </c>
      <c r="K4" s="3">
        <v>64</v>
      </c>
    </row>
    <row r="6" spans="8:11" x14ac:dyDescent="0.15">
      <c r="H6" s="1" t="s">
        <v>49</v>
      </c>
      <c r="I6" s="1">
        <v>144000</v>
      </c>
      <c r="J6" s="4" t="s">
        <v>50</v>
      </c>
      <c r="K6" s="1">
        <v>148000</v>
      </c>
    </row>
    <row r="7" spans="8:11" x14ac:dyDescent="0.15">
      <c r="H7" s="1" t="s">
        <v>51</v>
      </c>
      <c r="I7" s="1">
        <v>27000</v>
      </c>
      <c r="J7" s="4" t="s">
        <v>50</v>
      </c>
      <c r="K7" s="1">
        <v>28600</v>
      </c>
    </row>
    <row r="8" spans="8:11" x14ac:dyDescent="0.15">
      <c r="H8" s="1" t="s">
        <v>52</v>
      </c>
      <c r="I8" s="1">
        <v>10800</v>
      </c>
      <c r="J8" s="4" t="s">
        <v>50</v>
      </c>
      <c r="K8" s="1">
        <v>12300</v>
      </c>
    </row>
    <row r="9" spans="8:11" x14ac:dyDescent="0.15">
      <c r="H9" s="1" t="s">
        <v>53</v>
      </c>
      <c r="I9" s="1">
        <v>43000</v>
      </c>
      <c r="J9" s="4" t="s">
        <v>54</v>
      </c>
      <c r="K9" s="1">
        <v>39300</v>
      </c>
    </row>
    <row r="10" spans="8:11" x14ac:dyDescent="0.15">
      <c r="H10" s="1" t="s">
        <v>55</v>
      </c>
      <c r="I10" s="1">
        <v>45000</v>
      </c>
      <c r="J10" s="4" t="s">
        <v>50</v>
      </c>
      <c r="K10" s="1">
        <v>49600</v>
      </c>
    </row>
    <row r="11" spans="8:11" x14ac:dyDescent="0.15">
      <c r="H11" s="1" t="s">
        <v>56</v>
      </c>
      <c r="I11" s="1">
        <v>10500</v>
      </c>
      <c r="J11" s="4" t="s">
        <v>50</v>
      </c>
      <c r="K11" s="1">
        <v>10950</v>
      </c>
    </row>
    <row r="12" spans="8:11" x14ac:dyDescent="0.15">
      <c r="H12" s="1" t="s">
        <v>57</v>
      </c>
      <c r="I12" s="1">
        <v>13000</v>
      </c>
      <c r="J12" s="4" t="s">
        <v>54</v>
      </c>
      <c r="K12" s="1">
        <v>12000</v>
      </c>
    </row>
    <row r="13" spans="8:11" x14ac:dyDescent="0.15">
      <c r="H13" s="1" t="s">
        <v>58</v>
      </c>
      <c r="I13" s="5">
        <v>43200</v>
      </c>
      <c r="J13" s="4" t="s">
        <v>59</v>
      </c>
      <c r="K13" s="5">
        <v>41650</v>
      </c>
    </row>
    <row r="14" spans="8:11" x14ac:dyDescent="0.15">
      <c r="H14" s="1" t="s">
        <v>14</v>
      </c>
      <c r="I14" s="1">
        <f>SUM(I6:I13)</f>
        <v>336500</v>
      </c>
      <c r="K14" s="1">
        <f>SUM(K6:K13)</f>
        <v>342400</v>
      </c>
    </row>
    <row r="17" spans="8:15" x14ac:dyDescent="0.15">
      <c r="I17" s="2" t="s">
        <v>42</v>
      </c>
      <c r="J17" s="2" t="s">
        <v>60</v>
      </c>
      <c r="K17" s="2" t="s">
        <v>61</v>
      </c>
    </row>
    <row r="18" spans="8:15" x14ac:dyDescent="0.15">
      <c r="H18" s="1" t="s">
        <v>49</v>
      </c>
      <c r="I18" s="4"/>
      <c r="J18" s="4">
        <f>I6/I4</f>
        <v>2400</v>
      </c>
      <c r="K18" s="4"/>
    </row>
    <row r="19" spans="8:15" x14ac:dyDescent="0.15">
      <c r="H19" s="1" t="s">
        <v>51</v>
      </c>
      <c r="I19" s="4"/>
      <c r="J19" s="4">
        <f>I7/I4</f>
        <v>450</v>
      </c>
      <c r="K19" s="4"/>
    </row>
    <row r="20" spans="8:15" x14ac:dyDescent="0.15">
      <c r="H20" s="1" t="s">
        <v>52</v>
      </c>
      <c r="I20" s="4"/>
      <c r="J20" s="4">
        <f>I8/I4</f>
        <v>180</v>
      </c>
      <c r="K20" s="4"/>
    </row>
    <row r="21" spans="8:15" x14ac:dyDescent="0.15">
      <c r="H21" s="1" t="s">
        <v>53</v>
      </c>
      <c r="I21" s="4"/>
      <c r="J21" s="4"/>
      <c r="K21" s="4">
        <f>I9/I3</f>
        <v>8600</v>
      </c>
    </row>
    <row r="22" spans="8:15" x14ac:dyDescent="0.15">
      <c r="H22" s="1" t="s">
        <v>55</v>
      </c>
      <c r="I22" s="4"/>
      <c r="J22" s="4">
        <f>I10/I4</f>
        <v>750</v>
      </c>
      <c r="K22" s="4"/>
    </row>
    <row r="23" spans="8:15" x14ac:dyDescent="0.15">
      <c r="H23" s="1" t="s">
        <v>56</v>
      </c>
      <c r="I23" s="4"/>
      <c r="J23" s="4">
        <f>I11/I4</f>
        <v>175</v>
      </c>
      <c r="K23" s="4"/>
    </row>
    <row r="24" spans="8:15" x14ac:dyDescent="0.15">
      <c r="H24" s="1" t="s">
        <v>57</v>
      </c>
      <c r="I24" s="4"/>
      <c r="J24" s="4"/>
      <c r="K24" s="4">
        <f>I12/I3</f>
        <v>2600</v>
      </c>
    </row>
    <row r="25" spans="8:15" x14ac:dyDescent="0.15">
      <c r="H25" s="1" t="s">
        <v>58</v>
      </c>
      <c r="I25" s="4">
        <f>I13*0.75</f>
        <v>32400</v>
      </c>
      <c r="J25" s="4">
        <f>I13*0.1/I4</f>
        <v>72</v>
      </c>
      <c r="K25" s="4">
        <f>I13*0.15/I3</f>
        <v>1296</v>
      </c>
    </row>
    <row r="30" spans="8:15" x14ac:dyDescent="0.15">
      <c r="I30" s="2" t="s">
        <v>0</v>
      </c>
      <c r="J30" s="2"/>
      <c r="K30" s="2"/>
      <c r="L30" s="2" t="s">
        <v>15</v>
      </c>
      <c r="M30" s="2"/>
      <c r="N30" s="2"/>
      <c r="O30" s="2" t="s">
        <v>1</v>
      </c>
    </row>
    <row r="31" spans="8:15" x14ac:dyDescent="0.15">
      <c r="H31" s="1" t="s">
        <v>16</v>
      </c>
      <c r="I31" s="4"/>
      <c r="J31" s="6"/>
      <c r="K31" s="6"/>
      <c r="L31" s="4"/>
      <c r="M31" s="6"/>
      <c r="N31" s="6"/>
      <c r="O31" s="4"/>
    </row>
    <row r="32" spans="8:15" x14ac:dyDescent="0.15">
      <c r="H32" s="1" t="s">
        <v>49</v>
      </c>
      <c r="I32" s="4">
        <f>J18*I4</f>
        <v>144000</v>
      </c>
      <c r="J32" s="6">
        <f t="shared" ref="J32:J40" si="0">L32-I32</f>
        <v>9600</v>
      </c>
      <c r="K32" s="4">
        <f>J18*I4</f>
        <v>144000</v>
      </c>
      <c r="L32" s="4">
        <f>J18*K4</f>
        <v>153600</v>
      </c>
      <c r="M32" s="6">
        <f t="shared" ref="M32:M40" si="1">O32-L32</f>
        <v>-5600</v>
      </c>
      <c r="N32" s="4" t="str">
        <f>IF(M32&gt;0,"D",IF(M32=0,"-","F"))</f>
        <v>F</v>
      </c>
      <c r="O32" s="4">
        <f>K6</f>
        <v>148000</v>
      </c>
    </row>
    <row r="33" spans="8:15" x14ac:dyDescent="0.15">
      <c r="H33" s="1" t="s">
        <v>51</v>
      </c>
      <c r="I33" s="4">
        <f>J19*I4</f>
        <v>27000</v>
      </c>
      <c r="J33" s="6">
        <f t="shared" si="0"/>
        <v>1800</v>
      </c>
      <c r="K33" s="4" t="str">
        <f>IF(J33&gt;0,"D",IF(J33=0,"-","F"))</f>
        <v>D</v>
      </c>
      <c r="L33" s="4">
        <f>J19*K4</f>
        <v>28800</v>
      </c>
      <c r="M33" s="6">
        <f t="shared" si="1"/>
        <v>-200</v>
      </c>
      <c r="N33" s="4" t="str">
        <f>IF(M33&gt;0,"D",IF(M33=0,"-","F"))</f>
        <v>F</v>
      </c>
      <c r="O33" s="4">
        <f t="shared" ref="O33:O39" si="2">K7</f>
        <v>28600</v>
      </c>
    </row>
    <row r="34" spans="8:15" x14ac:dyDescent="0.15">
      <c r="H34" s="1" t="s">
        <v>52</v>
      </c>
      <c r="I34" s="4">
        <f>J20*I4</f>
        <v>10800</v>
      </c>
      <c r="J34" s="6">
        <f t="shared" si="0"/>
        <v>720</v>
      </c>
      <c r="K34" s="4" t="str">
        <f t="shared" ref="K34:K40" si="3">IF(J34&gt;0,"D",IF(J34=0,"-","F"))</f>
        <v>D</v>
      </c>
      <c r="L34" s="4">
        <f>J20*K4</f>
        <v>11520</v>
      </c>
      <c r="M34" s="6">
        <f t="shared" si="1"/>
        <v>780</v>
      </c>
      <c r="N34" s="4" t="str">
        <f t="shared" ref="N34:N40" si="4">IF(M34&gt;0,"D",IF(M34=0,"-","F"))</f>
        <v>D</v>
      </c>
      <c r="O34" s="4">
        <f t="shared" si="2"/>
        <v>12300</v>
      </c>
    </row>
    <row r="35" spans="8:15" x14ac:dyDescent="0.15">
      <c r="H35" s="1" t="s">
        <v>53</v>
      </c>
      <c r="I35" s="4">
        <f>+K21*I3</f>
        <v>43000</v>
      </c>
      <c r="J35" s="6">
        <f t="shared" si="0"/>
        <v>-8600</v>
      </c>
      <c r="K35" s="4" t="str">
        <f t="shared" si="3"/>
        <v>F</v>
      </c>
      <c r="L35" s="4">
        <f>+K21*K3</f>
        <v>34400</v>
      </c>
      <c r="M35" s="6">
        <f t="shared" si="1"/>
        <v>4900</v>
      </c>
      <c r="N35" s="4" t="str">
        <f t="shared" si="4"/>
        <v>D</v>
      </c>
      <c r="O35" s="4">
        <f t="shared" si="2"/>
        <v>39300</v>
      </c>
    </row>
    <row r="36" spans="8:15" x14ac:dyDescent="0.15">
      <c r="H36" s="1" t="s">
        <v>55</v>
      </c>
      <c r="I36" s="4">
        <f>J22*I4</f>
        <v>45000</v>
      </c>
      <c r="J36" s="6">
        <f t="shared" si="0"/>
        <v>3000</v>
      </c>
      <c r="K36" s="4" t="str">
        <f t="shared" si="3"/>
        <v>D</v>
      </c>
      <c r="L36" s="4">
        <f>J22*K4</f>
        <v>48000</v>
      </c>
      <c r="M36" s="6">
        <f t="shared" si="1"/>
        <v>1600</v>
      </c>
      <c r="N36" s="4" t="str">
        <f t="shared" si="4"/>
        <v>D</v>
      </c>
      <c r="O36" s="4">
        <f t="shared" si="2"/>
        <v>49600</v>
      </c>
    </row>
    <row r="37" spans="8:15" x14ac:dyDescent="0.15">
      <c r="H37" s="1" t="s">
        <v>56</v>
      </c>
      <c r="I37" s="4">
        <f>J23*I4</f>
        <v>10500</v>
      </c>
      <c r="J37" s="6">
        <f t="shared" si="0"/>
        <v>700</v>
      </c>
      <c r="K37" s="4" t="str">
        <f t="shared" si="3"/>
        <v>D</v>
      </c>
      <c r="L37" s="4">
        <f>J23*K4</f>
        <v>11200</v>
      </c>
      <c r="M37" s="6">
        <f t="shared" si="1"/>
        <v>-250</v>
      </c>
      <c r="N37" s="4" t="str">
        <f t="shared" si="4"/>
        <v>F</v>
      </c>
      <c r="O37" s="4">
        <f t="shared" si="2"/>
        <v>10950</v>
      </c>
    </row>
    <row r="38" spans="8:15" x14ac:dyDescent="0.15">
      <c r="H38" s="1" t="s">
        <v>57</v>
      </c>
      <c r="I38" s="4">
        <f>K24*I3</f>
        <v>13000</v>
      </c>
      <c r="J38" s="6">
        <f t="shared" si="0"/>
        <v>-2600</v>
      </c>
      <c r="K38" s="4" t="str">
        <f t="shared" si="3"/>
        <v>F</v>
      </c>
      <c r="L38" s="4">
        <f>+K24*K3</f>
        <v>10400</v>
      </c>
      <c r="M38" s="6">
        <f t="shared" si="1"/>
        <v>1600</v>
      </c>
      <c r="N38" s="4" t="str">
        <f t="shared" si="4"/>
        <v>D</v>
      </c>
      <c r="O38" s="4">
        <f t="shared" si="2"/>
        <v>12000</v>
      </c>
    </row>
    <row r="39" spans="8:15" x14ac:dyDescent="0.15">
      <c r="H39" s="1" t="s">
        <v>58</v>
      </c>
      <c r="I39" s="4">
        <f>+I25+(J25*I4)+(K25*I3)</f>
        <v>43200</v>
      </c>
      <c r="J39" s="6">
        <f t="shared" si="0"/>
        <v>-1008</v>
      </c>
      <c r="K39" s="4" t="str">
        <f t="shared" si="3"/>
        <v>F</v>
      </c>
      <c r="L39" s="4">
        <f>+I25+(J25*K4)+(K25*K3)</f>
        <v>42192</v>
      </c>
      <c r="M39" s="6">
        <f t="shared" si="1"/>
        <v>-542</v>
      </c>
      <c r="N39" s="4" t="str">
        <f t="shared" si="4"/>
        <v>F</v>
      </c>
      <c r="O39" s="4">
        <f t="shared" si="2"/>
        <v>41650</v>
      </c>
    </row>
    <row r="40" spans="8:15" ht="14" thickBot="1" x14ac:dyDescent="0.2">
      <c r="H40" s="14" t="s">
        <v>17</v>
      </c>
      <c r="I40" s="13">
        <f>SUM(I32:I39)</f>
        <v>336500</v>
      </c>
      <c r="J40" s="13">
        <f t="shared" si="0"/>
        <v>3612</v>
      </c>
      <c r="K40" s="13" t="str">
        <f t="shared" si="3"/>
        <v>D</v>
      </c>
      <c r="L40" s="13">
        <f>SUM(L32:L39)</f>
        <v>340112</v>
      </c>
      <c r="M40" s="13">
        <f t="shared" si="1"/>
        <v>2288</v>
      </c>
      <c r="N40" s="13" t="str">
        <f t="shared" si="4"/>
        <v>D</v>
      </c>
      <c r="O40" s="13">
        <f>SUM(O32:O39)</f>
        <v>342400</v>
      </c>
    </row>
    <row r="41" spans="8:15" ht="14" thickTop="1" x14ac:dyDescent="0.15"/>
    <row r="43" spans="8:15" x14ac:dyDescent="0.15">
      <c r="H43" s="15" t="s">
        <v>62</v>
      </c>
      <c r="I43" s="15"/>
      <c r="J43" s="15"/>
      <c r="K43" s="15"/>
      <c r="L43" s="15"/>
      <c r="M43" s="15"/>
      <c r="N43" s="15"/>
      <c r="O43" s="15"/>
    </row>
    <row r="44" spans="8:15" x14ac:dyDescent="0.15">
      <c r="H44" s="15"/>
      <c r="I44" s="15"/>
      <c r="J44" s="15"/>
      <c r="K44" s="15"/>
      <c r="L44" s="15"/>
      <c r="M44" s="15"/>
      <c r="N44" s="15"/>
      <c r="O44" s="15"/>
    </row>
    <row r="45" spans="8:15" x14ac:dyDescent="0.15">
      <c r="H45" s="15"/>
      <c r="I45" s="15"/>
      <c r="J45" s="15"/>
      <c r="K45" s="15"/>
      <c r="L45" s="15"/>
      <c r="M45" s="15"/>
      <c r="N45" s="15"/>
      <c r="O45" s="15"/>
    </row>
    <row r="46" spans="8:15" x14ac:dyDescent="0.15">
      <c r="H46" s="15"/>
      <c r="I46" s="15"/>
      <c r="J46" s="15"/>
      <c r="K46" s="15"/>
      <c r="L46" s="15"/>
      <c r="M46" s="15"/>
      <c r="N46" s="15"/>
      <c r="O46" s="15"/>
    </row>
    <row r="47" spans="8:15" x14ac:dyDescent="0.15">
      <c r="H47" s="15"/>
      <c r="I47" s="15"/>
      <c r="J47" s="15"/>
      <c r="K47" s="15"/>
      <c r="L47" s="15"/>
      <c r="M47" s="15"/>
      <c r="N47" s="15"/>
      <c r="O47" s="15"/>
    </row>
    <row r="48" spans="8:15" x14ac:dyDescent="0.15">
      <c r="H48" s="15"/>
      <c r="I48" s="15"/>
      <c r="J48" s="15"/>
      <c r="K48" s="15"/>
      <c r="L48" s="15"/>
      <c r="M48" s="15"/>
      <c r="N48" s="15"/>
      <c r="O48" s="15"/>
    </row>
    <row r="49" spans="8:15" x14ac:dyDescent="0.15">
      <c r="H49" s="15"/>
      <c r="I49" s="15"/>
      <c r="J49" s="15"/>
      <c r="K49" s="15"/>
      <c r="L49" s="15"/>
      <c r="M49" s="15"/>
      <c r="N49" s="15"/>
      <c r="O49" s="15"/>
    </row>
    <row r="50" spans="8:15" x14ac:dyDescent="0.15">
      <c r="H50" s="15"/>
      <c r="I50" s="15"/>
      <c r="J50" s="15"/>
      <c r="K50" s="15"/>
      <c r="L50" s="15"/>
      <c r="M50" s="15"/>
      <c r="N50" s="15"/>
      <c r="O50" s="15"/>
    </row>
    <row r="51" spans="8:15" x14ac:dyDescent="0.15">
      <c r="H51" s="15"/>
      <c r="I51" s="15"/>
      <c r="J51" s="15"/>
      <c r="K51" s="15"/>
      <c r="L51" s="15"/>
      <c r="M51" s="15"/>
      <c r="N51" s="15"/>
      <c r="O51" s="15"/>
    </row>
    <row r="52" spans="8:15" x14ac:dyDescent="0.15">
      <c r="H52" s="15"/>
      <c r="I52" s="15"/>
      <c r="J52" s="15"/>
      <c r="K52" s="15"/>
      <c r="L52" s="15"/>
      <c r="M52" s="15"/>
      <c r="N52" s="15"/>
      <c r="O52" s="15"/>
    </row>
    <row r="53" spans="8:15" x14ac:dyDescent="0.15">
      <c r="H53" s="15"/>
      <c r="I53" s="15"/>
      <c r="J53" s="15"/>
      <c r="K53" s="15"/>
      <c r="L53" s="15"/>
      <c r="M53" s="15"/>
      <c r="N53" s="15"/>
      <c r="O53" s="15"/>
    </row>
    <row r="54" spans="8:15" x14ac:dyDescent="0.15">
      <c r="H54" s="15"/>
      <c r="I54" s="15"/>
      <c r="J54" s="15"/>
      <c r="K54" s="15"/>
      <c r="L54" s="15"/>
      <c r="M54" s="15"/>
      <c r="N54" s="15"/>
      <c r="O54" s="15"/>
    </row>
    <row r="55" spans="8:15" x14ac:dyDescent="0.15">
      <c r="H55" s="15"/>
      <c r="I55" s="15"/>
      <c r="J55" s="15"/>
      <c r="K55" s="15"/>
      <c r="L55" s="15"/>
      <c r="M55" s="15"/>
      <c r="N55" s="15"/>
      <c r="O55" s="15"/>
    </row>
    <row r="56" spans="8:15" x14ac:dyDescent="0.15">
      <c r="H56" s="15"/>
      <c r="I56" s="15"/>
      <c r="J56" s="15"/>
      <c r="K56" s="15"/>
      <c r="L56" s="15"/>
      <c r="M56" s="15"/>
      <c r="N56" s="15"/>
      <c r="O56" s="15"/>
    </row>
    <row r="57" spans="8:15" x14ac:dyDescent="0.15">
      <c r="H57" s="15"/>
      <c r="I57" s="15"/>
      <c r="J57" s="15"/>
      <c r="K57" s="15"/>
      <c r="L57" s="15"/>
      <c r="M57" s="15"/>
      <c r="N57" s="15"/>
      <c r="O57" s="15"/>
    </row>
    <row r="58" spans="8:15" x14ac:dyDescent="0.15">
      <c r="H58" s="15"/>
      <c r="I58" s="15"/>
      <c r="J58" s="15"/>
      <c r="K58" s="15"/>
      <c r="L58" s="15"/>
      <c r="M58" s="15"/>
      <c r="N58" s="15"/>
      <c r="O58" s="15"/>
    </row>
    <row r="59" spans="8:15" x14ac:dyDescent="0.15">
      <c r="H59" s="15"/>
      <c r="I59" s="15"/>
      <c r="J59" s="15"/>
      <c r="K59" s="15"/>
      <c r="L59" s="15"/>
      <c r="M59" s="15"/>
      <c r="N59" s="15"/>
      <c r="O59" s="15"/>
    </row>
    <row r="60" spans="8:15" x14ac:dyDescent="0.15">
      <c r="H60" s="15"/>
      <c r="I60" s="15"/>
      <c r="J60" s="15"/>
      <c r="K60" s="15"/>
      <c r="L60" s="15"/>
      <c r="M60" s="15"/>
      <c r="N60" s="15"/>
      <c r="O60" s="15"/>
    </row>
    <row r="61" spans="8:15" x14ac:dyDescent="0.15">
      <c r="H61" s="15"/>
      <c r="I61" s="15"/>
      <c r="J61" s="15"/>
      <c r="K61" s="15"/>
      <c r="L61" s="15"/>
      <c r="M61" s="15"/>
      <c r="N61" s="15"/>
      <c r="O61" s="15"/>
    </row>
    <row r="62" spans="8:15" x14ac:dyDescent="0.15">
      <c r="H62" s="15"/>
      <c r="I62" s="15"/>
      <c r="J62" s="15"/>
      <c r="K62" s="15"/>
      <c r="L62" s="15"/>
      <c r="M62" s="15"/>
      <c r="N62" s="15"/>
      <c r="O62" s="15"/>
    </row>
  </sheetData>
  <mergeCells count="1">
    <mergeCell ref="H43:O62"/>
  </mergeCell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4</vt:i4>
      </vt:variant>
    </vt:vector>
  </HeadingPairs>
  <TitlesOfParts>
    <vt:vector size="4" baseType="lpstr">
      <vt:lpstr>9,24</vt:lpstr>
      <vt:lpstr>9,25</vt:lpstr>
      <vt:lpstr>9,27</vt:lpstr>
      <vt:lpstr>9,28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Eugenio Jose Silva Bitti</dc:creator>
  <cp:lastModifiedBy>Usuário do Microsoft Office</cp:lastModifiedBy>
  <dcterms:created xsi:type="dcterms:W3CDTF">2016-03-31T19:38:11Z</dcterms:created>
  <dcterms:modified xsi:type="dcterms:W3CDTF">2016-03-31T23:15:08Z</dcterms:modified>
</cp:coreProperties>
</file>