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pcosta/Library/Mobile Documents/com~apple~CloudDocs/arquivo 2021 20240215/PRO 3826/2024/"/>
    </mc:Choice>
  </mc:AlternateContent>
  <xr:revisionPtr revIDLastSave="0" documentId="8_{0AF6A8E5-65DE-514B-994D-773D1FBE896F}" xr6:coauthVersionLast="45" xr6:coauthVersionMax="45" xr10:uidLastSave="{00000000-0000-0000-0000-000000000000}"/>
  <bookViews>
    <workbookView xWindow="0" yWindow="460" windowWidth="28760" windowHeight="11320" xr2:uid="{00000000-000D-0000-FFFF-FFFF00000000}"/>
  </bookViews>
  <sheets>
    <sheet name="iraq iranj 8 8 4 4 " sheetId="1" r:id="rId1"/>
    <sheet name="ing portugal" sheetId="2" r:id="rId2"/>
    <sheet name="robinson e sexta" sheetId="3" r:id="rId3"/>
  </sheets>
  <externalReferences>
    <externalReference r:id="rId4"/>
    <externalReference r:id="rId5"/>
  </externalReferences>
  <definedNames>
    <definedName name="solver_adj" localSheetId="1" hidden="1">'ing portugal'!$G$55:$G$58</definedName>
    <definedName name="solver_adj" localSheetId="0" hidden="1">'iraq iranj 8 8 4 4 '!$I$66:$I$69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hs1" localSheetId="1" hidden="1">'ing portugal'!$I$48</definedName>
    <definedName name="solver_lhs1" localSheetId="0" hidden="1">'iraq iranj 8 8 4 4 '!$K$59:$K$60</definedName>
    <definedName name="solver_lhs2" localSheetId="1" hidden="1">'ing portugal'!$I$49</definedName>
    <definedName name="solver_lhs2" localSheetId="0" hidden="1">'iraq iranj 8 8 4 4 '!$K$61:$K$62</definedName>
    <definedName name="solver_lhs3" localSheetId="1" hidden="1">'ing portugal'!$I$50</definedName>
    <definedName name="solver_lhs3" localSheetId="0" hidden="1">'iraq iranj 8 8 4 4 '!$I$66:$I$69</definedName>
    <definedName name="solver_lhs4" localSheetId="1" hidden="1">'ing portugal'!$I$51</definedName>
    <definedName name="solver_lhs5" localSheetId="1" hidden="1">'ing portugal'!$G$55:$G$58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5</definedName>
    <definedName name="solver_num" localSheetId="0" hidden="1">3</definedName>
    <definedName name="solver_nwt" localSheetId="1" hidden="1">1</definedName>
    <definedName name="solver_nwt" localSheetId="0" hidden="1">1</definedName>
    <definedName name="solver_opt" localSheetId="1" hidden="1">'ing portugal'!$I$46</definedName>
    <definedName name="solver_opt" localSheetId="0" hidden="1">'iraq iranj 8 8 4 4 '!$K$57</definedName>
    <definedName name="solver_pre" localSheetId="1" hidden="1">0.000001</definedName>
    <definedName name="solver_pre" localSheetId="0" hidden="1">0.000001</definedName>
    <definedName name="solver_rel1" localSheetId="1" hidden="1">1</definedName>
    <definedName name="solver_rel1" localSheetId="0" hidden="1">1</definedName>
    <definedName name="solver_rel2" localSheetId="1" hidden="1">1</definedName>
    <definedName name="solver_rel2" localSheetId="0" hidden="1">3</definedName>
    <definedName name="solver_rel3" localSheetId="1" hidden="1">3</definedName>
    <definedName name="solver_rel3" localSheetId="0" hidden="1">3</definedName>
    <definedName name="solver_rel4" localSheetId="1" hidden="1">3</definedName>
    <definedName name="solver_rel5" localSheetId="1" hidden="1">3</definedName>
    <definedName name="solver_rhs1" localSheetId="1" hidden="1">'ing portugal'!$J$48</definedName>
    <definedName name="solver_rhs1" localSheetId="0" hidden="1">'iraq iranj 8 8 4 4 '!$L$59:$L$60</definedName>
    <definedName name="solver_rhs2" localSheetId="1" hidden="1">'ing portugal'!$J$49</definedName>
    <definedName name="solver_rhs2" localSheetId="0" hidden="1">'iraq iranj 8 8 4 4 '!$L$61:$L$62</definedName>
    <definedName name="solver_rhs3" localSheetId="1" hidden="1">'ing portugal'!$J$50</definedName>
    <definedName name="solver_rhs3" localSheetId="0" hidden="1">0</definedName>
    <definedName name="solver_rhs4" localSheetId="1" hidden="1">'ing portugal'!$J$51</definedName>
    <definedName name="solver_rhs5" localSheetId="1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C8" i="3"/>
  <c r="D7" i="3"/>
  <c r="C7" i="3"/>
  <c r="H18" i="3"/>
  <c r="N26" i="3" s="1"/>
  <c r="G19" i="3"/>
  <c r="J61" i="3"/>
  <c r="G61" i="3"/>
  <c r="I56" i="3"/>
  <c r="H55" i="3"/>
  <c r="O51" i="3"/>
  <c r="I51" i="3"/>
  <c r="I50" i="3"/>
  <c r="I49" i="3"/>
  <c r="I48" i="3"/>
  <c r="I46" i="3"/>
  <c r="N42" i="3"/>
  <c r="N43" i="3" s="1"/>
  <c r="N39" i="3"/>
  <c r="N40" i="3" s="1"/>
  <c r="O40" i="3" s="1"/>
  <c r="O37" i="3"/>
  <c r="N37" i="3"/>
  <c r="H28" i="3"/>
  <c r="J27" i="3" s="1"/>
  <c r="G28" i="3"/>
  <c r="H29" i="3" s="1"/>
  <c r="K27" i="3"/>
  <c r="K28" i="3" s="1"/>
  <c r="F27" i="3"/>
  <c r="E49" i="3" s="1"/>
  <c r="F26" i="3"/>
  <c r="E48" i="3" s="1"/>
  <c r="H19" i="3"/>
  <c r="O41" i="3"/>
  <c r="F19" i="3"/>
  <c r="G18" i="3"/>
  <c r="L38" i="3" s="1"/>
  <c r="L49" i="3" s="1"/>
  <c r="F18" i="3"/>
  <c r="N17" i="3"/>
  <c r="L12" i="3"/>
  <c r="L13" i="3" s="1"/>
  <c r="J8" i="3"/>
  <c r="I8" i="3"/>
  <c r="J7" i="3"/>
  <c r="I7" i="3"/>
  <c r="B26" i="2"/>
  <c r="B27" i="2" s="1"/>
  <c r="I26" i="2" s="1"/>
  <c r="I49" i="2"/>
  <c r="I48" i="2"/>
  <c r="I50" i="2"/>
  <c r="I46" i="2"/>
  <c r="N38" i="2"/>
  <c r="N39" i="2" s="1"/>
  <c r="N40" i="2" s="1"/>
  <c r="N41" i="2" s="1"/>
  <c r="N42" i="2" s="1"/>
  <c r="N43" i="2" s="1"/>
  <c r="N44" i="2" s="1"/>
  <c r="N45" i="2" s="1"/>
  <c r="N46" i="2" s="1"/>
  <c r="N49" i="2"/>
  <c r="M38" i="2"/>
  <c r="L49" i="2"/>
  <c r="L38" i="2"/>
  <c r="L39" i="2" s="1"/>
  <c r="L40" i="1"/>
  <c r="J8" i="2"/>
  <c r="I8" i="2"/>
  <c r="J7" i="2"/>
  <c r="I7" i="2"/>
  <c r="H26" i="2"/>
  <c r="H27" i="2"/>
  <c r="G27" i="2"/>
  <c r="G26" i="2"/>
  <c r="G28" i="2" s="1"/>
  <c r="I56" i="2"/>
  <c r="H55" i="2"/>
  <c r="I51" i="2"/>
  <c r="N28" i="2"/>
  <c r="N29" i="2" s="1"/>
  <c r="M28" i="2"/>
  <c r="L28" i="2"/>
  <c r="K28" i="2"/>
  <c r="J28" i="2"/>
  <c r="H20" i="2"/>
  <c r="G20" i="2"/>
  <c r="I20" i="2" s="1"/>
  <c r="D8" i="2"/>
  <c r="D9" i="2" s="1"/>
  <c r="D7" i="2"/>
  <c r="K57" i="1"/>
  <c r="L72" i="1"/>
  <c r="I72" i="1"/>
  <c r="K67" i="1"/>
  <c r="J66" i="1"/>
  <c r="K62" i="1"/>
  <c r="K61" i="1"/>
  <c r="O53" i="1"/>
  <c r="L52" i="1"/>
  <c r="AR44" i="1"/>
  <c r="AP44" i="1"/>
  <c r="AS41" i="1"/>
  <c r="AR41" i="1"/>
  <c r="AT41" i="1" s="1"/>
  <c r="AP41" i="1"/>
  <c r="AO41" i="1"/>
  <c r="AQ41" i="1" s="1"/>
  <c r="AN40" i="1"/>
  <c r="AM40" i="1"/>
  <c r="N40" i="1"/>
  <c r="N41" i="1" s="1"/>
  <c r="P40" i="1"/>
  <c r="AN39" i="1"/>
  <c r="AM39" i="1"/>
  <c r="O39" i="1"/>
  <c r="N39" i="1"/>
  <c r="N36" i="1"/>
  <c r="AP32" i="1"/>
  <c r="AS44" i="1" s="1"/>
  <c r="AO32" i="1"/>
  <c r="AN32" i="1"/>
  <c r="AP31" i="1"/>
  <c r="AO31" i="1"/>
  <c r="AR43" i="1" s="1"/>
  <c r="AR45" i="1" s="1"/>
  <c r="AN31" i="1"/>
  <c r="K28" i="1"/>
  <c r="J28" i="1"/>
  <c r="L28" i="1" s="1"/>
  <c r="I28" i="1"/>
  <c r="H28" i="1"/>
  <c r="G28" i="1"/>
  <c r="F27" i="1"/>
  <c r="F26" i="1"/>
  <c r="AR21" i="1"/>
  <c r="AQ21" i="1"/>
  <c r="AM21" i="1"/>
  <c r="AL21" i="1"/>
  <c r="AL40" i="1" s="1"/>
  <c r="AR20" i="1"/>
  <c r="AQ20" i="1"/>
  <c r="AM20" i="1"/>
  <c r="AL20" i="1"/>
  <c r="AL39" i="1" s="1"/>
  <c r="H19" i="1"/>
  <c r="L19" i="1" s="1"/>
  <c r="G19" i="1"/>
  <c r="K19" i="1" s="1"/>
  <c r="F19" i="1"/>
  <c r="H18" i="1"/>
  <c r="H20" i="1" s="1"/>
  <c r="G18" i="1"/>
  <c r="G20" i="1" s="1"/>
  <c r="I20" i="1" s="1"/>
  <c r="F18" i="1"/>
  <c r="J8" i="1"/>
  <c r="I8" i="1"/>
  <c r="E8" i="1"/>
  <c r="E27" i="1" s="1"/>
  <c r="D8" i="1"/>
  <c r="J7" i="1"/>
  <c r="I7" i="1"/>
  <c r="E7" i="1"/>
  <c r="E26" i="1" s="1"/>
  <c r="D7" i="1"/>
  <c r="L40" i="2" l="1"/>
  <c r="L41" i="2" s="1"/>
  <c r="L42" i="2" s="1"/>
  <c r="L43" i="2" s="1"/>
  <c r="M39" i="2"/>
  <c r="D26" i="2"/>
  <c r="D27" i="2" s="1"/>
  <c r="D28" i="2" s="1"/>
  <c r="I28" i="2"/>
  <c r="J29" i="2" s="1"/>
  <c r="N27" i="3"/>
  <c r="D27" i="3"/>
  <c r="C27" i="3" s="1"/>
  <c r="I27" i="3" s="1"/>
  <c r="AP33" i="1"/>
  <c r="L18" i="1"/>
  <c r="AS43" i="1"/>
  <c r="K59" i="1"/>
  <c r="K60" i="1"/>
  <c r="O45" i="3"/>
  <c r="N44" i="3"/>
  <c r="N45" i="3" s="1"/>
  <c r="N46" i="3" s="1"/>
  <c r="O43" i="3"/>
  <c r="P38" i="3"/>
  <c r="O39" i="3"/>
  <c r="O44" i="3"/>
  <c r="O38" i="3"/>
  <c r="O46" i="3"/>
  <c r="H20" i="3"/>
  <c r="M38" i="3"/>
  <c r="O42" i="3"/>
  <c r="G20" i="3"/>
  <c r="L39" i="3"/>
  <c r="O46" i="2"/>
  <c r="O39" i="2"/>
  <c r="O38" i="2"/>
  <c r="O41" i="2"/>
  <c r="O40" i="2"/>
  <c r="M43" i="2"/>
  <c r="L44" i="2"/>
  <c r="L45" i="2" s="1"/>
  <c r="H28" i="2"/>
  <c r="M40" i="2"/>
  <c r="N42" i="1"/>
  <c r="O41" i="1"/>
  <c r="AS45" i="1"/>
  <c r="D26" i="1"/>
  <c r="K18" i="1"/>
  <c r="M40" i="1"/>
  <c r="L41" i="1"/>
  <c r="D27" i="1"/>
  <c r="AO33" i="1"/>
  <c r="AQ33" i="1" s="1"/>
  <c r="AT42" i="1" s="1"/>
  <c r="O40" i="1"/>
  <c r="L46" i="2" l="1"/>
  <c r="M46" i="2" s="1"/>
  <c r="M45" i="2"/>
  <c r="I28" i="3"/>
  <c r="M27" i="3"/>
  <c r="O27" i="3" s="1"/>
  <c r="P39" i="3"/>
  <c r="L40" i="3"/>
  <c r="M39" i="3"/>
  <c r="O42" i="2"/>
  <c r="O44" i="2"/>
  <c r="O45" i="2"/>
  <c r="O43" i="2"/>
  <c r="M44" i="2"/>
  <c r="M42" i="2"/>
  <c r="M41" i="2"/>
  <c r="M41" i="1"/>
  <c r="Q41" i="1" s="1"/>
  <c r="L42" i="1"/>
  <c r="P41" i="1"/>
  <c r="N43" i="1"/>
  <c r="O42" i="1"/>
  <c r="Q40" i="1"/>
  <c r="P40" i="3" l="1"/>
  <c r="L41" i="3"/>
  <c r="M40" i="3"/>
  <c r="M42" i="1"/>
  <c r="Q42" i="1" s="1"/>
  <c r="L43" i="1"/>
  <c r="P42" i="1"/>
  <c r="N44" i="1"/>
  <c r="O43" i="1"/>
  <c r="P41" i="3" l="1"/>
  <c r="L42" i="3"/>
  <c r="M41" i="3"/>
  <c r="L44" i="1"/>
  <c r="P43" i="1"/>
  <c r="M43" i="1"/>
  <c r="Q43" i="1" s="1"/>
  <c r="N45" i="1"/>
  <c r="O44" i="1"/>
  <c r="P42" i="3" l="1"/>
  <c r="L43" i="3"/>
  <c r="M42" i="3"/>
  <c r="P44" i="1"/>
  <c r="L45" i="1"/>
  <c r="M44" i="1"/>
  <c r="Q44" i="1" s="1"/>
  <c r="N46" i="1"/>
  <c r="O45" i="1"/>
  <c r="L44" i="3" l="1"/>
  <c r="P43" i="3"/>
  <c r="M43" i="3"/>
  <c r="M45" i="1"/>
  <c r="Q45" i="1" s="1"/>
  <c r="L46" i="1"/>
  <c r="P45" i="1"/>
  <c r="O46" i="1"/>
  <c r="N47" i="1"/>
  <c r="P44" i="3" l="1"/>
  <c r="L45" i="3"/>
  <c r="M44" i="3"/>
  <c r="O47" i="1"/>
  <c r="N48" i="1"/>
  <c r="O48" i="1" s="1"/>
  <c r="M46" i="1"/>
  <c r="Q46" i="1" s="1"/>
  <c r="L47" i="1"/>
  <c r="P46" i="1"/>
  <c r="P45" i="3" l="1"/>
  <c r="L46" i="3"/>
  <c r="M45" i="3"/>
  <c r="P47" i="1"/>
  <c r="M47" i="1"/>
  <c r="Q47" i="1" s="1"/>
  <c r="L48" i="1"/>
  <c r="P46" i="3" l="1"/>
  <c r="M46" i="3"/>
  <c r="M48" i="1"/>
  <c r="Q48" i="1" s="1"/>
  <c r="P48" i="1"/>
  <c r="J28" i="3" l="1"/>
  <c r="J29" i="3" s="1"/>
</calcChain>
</file>

<file path=xl/sharedStrings.xml><?xml version="1.0" encoding="utf-8"?>
<sst xmlns="http://schemas.openxmlformats.org/spreadsheetml/2006/main" count="319" uniqueCount="138">
  <si>
    <t>iraque</t>
  </si>
  <si>
    <t xml:space="preserve">iraque tem uma vantagem absoluta de produção sobre iran. </t>
  </si>
  <si>
    <t>Se os dois países tiverem produção única:</t>
  </si>
  <si>
    <t>DIAS</t>
  </si>
  <si>
    <t xml:space="preserve">A primeira impressão seria que não há benefício mutuo de troca entre as economias, já que iraque é mais eficiente em tudo. </t>
  </si>
  <si>
    <t xml:space="preserve">Mas isso seria se não levassemos em consideração o custo de oportunidade que ambos países apresentam. </t>
  </si>
  <si>
    <t>coef técnico</t>
  </si>
  <si>
    <t>Produção única (t/MÊS)</t>
  </si>
  <si>
    <t>Custo de oportunidade</t>
  </si>
  <si>
    <t>CO?</t>
  </si>
  <si>
    <t>MÊS/T</t>
  </si>
  <si>
    <t>petroleo (t)</t>
  </si>
  <si>
    <t>azeite (t)</t>
  </si>
  <si>
    <t>t.petroleo/t.azeite</t>
  </si>
  <si>
    <t>t.azeite/t.petroleo</t>
  </si>
  <si>
    <t>Em economia, a teoria das vantagens comparativas (ou princípio da vantagens comparativas)</t>
  </si>
  <si>
    <t>iran</t>
  </si>
  <si>
    <t xml:space="preserve"> explica porque o comércio entre dois países, regiões ou pessoas pode ser benéfico, </t>
  </si>
  <si>
    <t>vant absoluta</t>
  </si>
  <si>
    <t xml:space="preserve">mesmo quando um deles é mais produtivo na fabricação de todos os bens. </t>
  </si>
  <si>
    <t xml:space="preserve">Se os dois países se especializarem nas áreas de produção que têm o menor custo de oportunidade, ambos se beneficiarão mutuamente por meio de troca. </t>
  </si>
  <si>
    <t xml:space="preserve">O que importa aqui não é o custo absoluto de produção, mas a razão de produtividade que cada país possui. </t>
  </si>
  <si>
    <t>O conceito é muito importante para a teoria do comércio internacional moderno.</t>
  </si>
  <si>
    <t>Para demonstrar como acontece esse processo segue o exemplo:</t>
  </si>
  <si>
    <t>Presumimos que não há troca e ambos somente consomem o que produzem:</t>
  </si>
  <si>
    <t>FPP</t>
  </si>
  <si>
    <t>FIXAR A PRODUÇAO DE petroleo e azeite E CALC azeite (metade do mês para cada produto)</t>
  </si>
  <si>
    <t>Consumo sem comércio</t>
  </si>
  <si>
    <t>recursos</t>
  </si>
  <si>
    <t>em mes</t>
  </si>
  <si>
    <t>utilizados</t>
  </si>
  <si>
    <t>vc ricad</t>
  </si>
  <si>
    <t>petroleo</t>
  </si>
  <si>
    <t>petróleo</t>
  </si>
  <si>
    <t>azeite</t>
  </si>
  <si>
    <t>Iraque</t>
  </si>
  <si>
    <t>Se ambos se especializarem nos produtos em que tenham vantagem comparativa, suas produções seriam as seguintes:</t>
  </si>
  <si>
    <t>Irã</t>
  </si>
  <si>
    <t>Producao *</t>
  </si>
  <si>
    <t>total</t>
  </si>
  <si>
    <t>COM COMÉRCIO</t>
  </si>
  <si>
    <t>GANHOS</t>
  </si>
  <si>
    <r>
      <t> </t>
    </r>
    <r>
      <rPr>
        <b/>
        <sz val="12"/>
        <rFont val="Calibri"/>
        <family val="2"/>
      </rPr>
      <t>Iraque </t>
    </r>
  </si>
  <si>
    <t>Irã </t>
  </si>
  <si>
    <t>PRODUCAO a maior</t>
  </si>
  <si>
    <t>petróleo </t>
  </si>
  <si>
    <t>Azeite </t>
  </si>
  <si>
    <t>azeite </t>
  </si>
  <si>
    <t xml:space="preserve">A teoria ricardiana recebeu críticas da corrente estruturalista (escola cepalina) de Raúl Prebisch </t>
  </si>
  <si>
    <t xml:space="preserve"> por desconsiderar a dinâmica de longo prazo dos preços dos bens cuja produção foi especializada pelos países. </t>
  </si>
  <si>
    <t>Além disso, a teoria não leva em conta outras questões, como o custo de transporte e ganhos de escala.</t>
  </si>
  <si>
    <t>exercicio para o dia 03/07</t>
  </si>
  <si>
    <t>dados de produção</t>
  </si>
  <si>
    <t>TEMPO DADO (30 DIAs)</t>
  </si>
  <si>
    <t>ton</t>
  </si>
  <si>
    <t>X11</t>
  </si>
  <si>
    <t>X12</t>
  </si>
  <si>
    <t>X21</t>
  </si>
  <si>
    <t>X22</t>
  </si>
  <si>
    <t>se produzir metade/metade (como ficaria o consumo sem comercio?)</t>
  </si>
  <si>
    <t>quais as vantagens absolutas?</t>
  </si>
  <si>
    <t>se produzirem pelo menor custo de oportunidade, como ficaria o consumo com comércio?</t>
  </si>
  <si>
    <t>quais as vantagens comparativas?</t>
  </si>
  <si>
    <t>modelo matemático</t>
  </si>
  <si>
    <t>FUNCAO OBJ</t>
  </si>
  <si>
    <t>X11 + X12 + X13 + X14</t>
  </si>
  <si>
    <t xml:space="preserve">FO = </t>
  </si>
  <si>
    <t>RESTRIÇÕES</t>
  </si>
  <si>
    <t xml:space="preserve"> X11/10 + X21/1 &lt;= 1 MES</t>
  </si>
  <si>
    <t>X12/20 + X22/8 &lt;= 1 MES</t>
  </si>
  <si>
    <t>X12 + X22 &gt;= 14 (AUTOSUFICIENCIA)</t>
  </si>
  <si>
    <t>X11 + X21 &gt;= 5,5  (AUTOSUFICIENCIA)</t>
  </si>
  <si>
    <t>lucros</t>
  </si>
  <si>
    <t>respostas</t>
  </si>
  <si>
    <t>vnho</t>
  </si>
  <si>
    <t>vantagens competitivas (exemplo da Wikipedia)</t>
  </si>
  <si>
    <t xml:space="preserve">Portugal tem uma vantagem absoluta de produção sobre Inglaterra. </t>
  </si>
  <si>
    <t xml:space="preserve">A primeira impressão seria que não há benefício mutuo de troca entre as economias, já que Portugal é mais eficiente em tudo. </t>
  </si>
  <si>
    <t>COEF TECNICO</t>
  </si>
  <si>
    <t>[DIM]/TEMPO</t>
  </si>
  <si>
    <t>T/MES</t>
  </si>
  <si>
    <t>coef. Técnico t/mes)</t>
  </si>
  <si>
    <t>vinho</t>
  </si>
  <si>
    <t>tecido</t>
  </si>
  <si>
    <t>Inglaterra</t>
  </si>
  <si>
    <t>Portugal</t>
  </si>
  <si>
    <t>comparativa</t>
  </si>
  <si>
    <t>ci / cj ?</t>
  </si>
  <si>
    <t>isto é produtividade?</t>
  </si>
  <si>
    <t>PRODUÇAO</t>
  </si>
  <si>
    <t>vinho (U)</t>
  </si>
  <si>
    <t>tecido (L)</t>
  </si>
  <si>
    <t>AQUI GERA A FPP</t>
  </si>
  <si>
    <t>Consumo (metade)</t>
  </si>
  <si>
    <t>COMÉRCIO</t>
  </si>
  <si>
    <t>CONSUMO</t>
  </si>
  <si>
    <t>PRODUCAO</t>
  </si>
  <si>
    <t>MAX VINHO EM PORTUGAL</t>
  </si>
  <si>
    <t>MAX TECIDO NA INGL</t>
  </si>
  <si>
    <t xml:space="preserve"> Inglaterra </t>
  </si>
  <si>
    <t xml:space="preserve"> FUNCAO OBJ </t>
  </si>
  <si>
    <t xml:space="preserve">  X11+ X12 &lt;= 1 DIA </t>
  </si>
  <si>
    <t xml:space="preserve"> X21 + X22 &lt;= 1 DI </t>
  </si>
  <si>
    <t>ING</t>
  </si>
  <si>
    <t xml:space="preserve"> X11 </t>
  </si>
  <si>
    <t xml:space="preserve"> X12 </t>
  </si>
  <si>
    <t>PORT</t>
  </si>
  <si>
    <t xml:space="preserve"> X21 </t>
  </si>
  <si>
    <t xml:space="preserve"> X22 </t>
  </si>
  <si>
    <t>FIXAR A PRODUÇAO em metade DE vinho OU tecido (T/mês)</t>
  </si>
  <si>
    <t xml:space="preserve"> X12 + X22 &gt;= 5,5 (AUTOSUFICIENCIA) </t>
  </si>
  <si>
    <t xml:space="preserve"> X11 + X21 &gt;= 14 AUTOSUFICIENCI14</t>
  </si>
  <si>
    <t xml:space="preserve">Sexta-Feira tem uma vantagem absoluta de produção sobre Robinson. </t>
  </si>
  <si>
    <t>peixe/água</t>
  </si>
  <si>
    <t xml:space="preserve">A primeira impressão seria que não há benefício mutuo de troca entre as economias, já que Sexta-Feira é mais eficiente em tudo. </t>
  </si>
  <si>
    <t>COEF TEC.</t>
  </si>
  <si>
    <t>TEMPO/[DIM]U/L</t>
  </si>
  <si>
    <t>coef. Técnico min/(dim)</t>
  </si>
  <si>
    <t>PEIXE (U)</t>
  </si>
  <si>
    <t>água (L)</t>
  </si>
  <si>
    <t>PEIXE</t>
  </si>
  <si>
    <t>AGUA</t>
  </si>
  <si>
    <t>Robinson</t>
  </si>
  <si>
    <t>Sexta-Feira</t>
  </si>
  <si>
    <t>daqui sai a CURVA DE FRONTEIRA DE POSSIBILIDADES (ENTRE P E A)</t>
  </si>
  <si>
    <t>HORAS TRABALHADAS</t>
  </si>
  <si>
    <t>SOBRA</t>
  </si>
  <si>
    <t>HORAS</t>
  </si>
  <si>
    <t>peixe</t>
  </si>
  <si>
    <t>agua</t>
  </si>
  <si>
    <t xml:space="preserve"> X11 + X12 &lt;= 1 DIA</t>
  </si>
  <si>
    <t>X21 + X22 &lt;= 1 DI</t>
  </si>
  <si>
    <t>X12 + X22&gt;= 40 (AUTOSUFICIENCIA)</t>
  </si>
  <si>
    <t>X11+ X21 &gt;= 16 (AUTOSUFICIENCIA)</t>
  </si>
  <si>
    <t>Rob</t>
  </si>
  <si>
    <t>Sext</t>
  </si>
  <si>
    <t>FIXAR A PRODUÇAO DE peixe OU água (por dia)</t>
  </si>
  <si>
    <t>mês 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</si>
</sst>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name val="Arial"/>
      <family val="2"/>
    </font>
    <font>
      <sz val="12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/>
    <xf numFmtId="0" fontId="2" fillId="0" borderId="6" xfId="0" applyFont="1" applyBorder="1" applyAlignment="1">
      <alignment horizontal="left"/>
    </xf>
    <xf numFmtId="0" fontId="2" fillId="2" borderId="0" xfId="0" applyFont="1" applyFill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6" fillId="0" borderId="0" xfId="0" applyFont="1"/>
    <xf numFmtId="0" fontId="7" fillId="0" borderId="0" xfId="0" applyFont="1"/>
    <xf numFmtId="2" fontId="0" fillId="2" borderId="0" xfId="0" applyNumberFormat="1" applyFill="1" applyAlignment="1">
      <alignment horizontal="center"/>
    </xf>
    <xf numFmtId="0" fontId="8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4" borderId="11" xfId="1" applyNumberFormat="1" applyFont="1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" fontId="0" fillId="0" borderId="0" xfId="0" applyNumberFormat="1"/>
    <xf numFmtId="165" fontId="0" fillId="0" borderId="1" xfId="1" applyNumberFormat="1" applyFont="1" applyBorder="1"/>
    <xf numFmtId="166" fontId="0" fillId="0" borderId="1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2" fillId="5" borderId="1" xfId="1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5" fontId="2" fillId="0" borderId="0" xfId="1" applyNumberFormat="1" applyFont="1"/>
    <xf numFmtId="166" fontId="0" fillId="0" borderId="0" xfId="0" applyNumberFormat="1"/>
    <xf numFmtId="167" fontId="0" fillId="0" borderId="0" xfId="0" applyNumberFormat="1"/>
    <xf numFmtId="165" fontId="0" fillId="0" borderId="9" xfId="1" applyNumberFormat="1" applyFont="1" applyBorder="1"/>
    <xf numFmtId="0" fontId="0" fillId="0" borderId="13" xfId="0" applyBorder="1"/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166" fontId="0" fillId="0" borderId="15" xfId="1" applyNumberFormat="1" applyFon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9" fillId="0" borderId="0" xfId="0" applyFont="1"/>
    <xf numFmtId="0" fontId="10" fillId="2" borderId="0" xfId="0" applyFont="1" applyFill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20" xfId="0" applyFont="1" applyBorder="1"/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0" xfId="0" applyNumberFormat="1" applyFont="1" applyAlignment="1"/>
    <xf numFmtId="0" fontId="9" fillId="0" borderId="0" xfId="0" applyFont="1" applyAlignment="1"/>
    <xf numFmtId="2" fontId="9" fillId="0" borderId="22" xfId="1" applyNumberFormat="1" applyFont="1" applyBorder="1" applyAlignment="1">
      <alignment horizontal="center"/>
    </xf>
    <xf numFmtId="43" fontId="9" fillId="0" borderId="0" xfId="1" applyNumberFormat="1" applyFont="1" applyAlignment="1"/>
    <xf numFmtId="43" fontId="9" fillId="0" borderId="0" xfId="0" applyNumberFormat="1" applyFont="1"/>
    <xf numFmtId="0" fontId="2" fillId="0" borderId="0" xfId="0" applyFont="1" applyAlignment="1">
      <alignment horizontal="left"/>
    </xf>
    <xf numFmtId="0" fontId="2" fillId="6" borderId="21" xfId="0" applyFont="1" applyFill="1" applyBorder="1"/>
    <xf numFmtId="0" fontId="9" fillId="6" borderId="3" xfId="0" applyFont="1" applyFill="1" applyBorder="1"/>
    <xf numFmtId="0" fontId="9" fillId="0" borderId="23" xfId="0" applyFont="1" applyBorder="1" applyAlignment="1">
      <alignment horizontal="center"/>
    </xf>
    <xf numFmtId="0" fontId="2" fillId="0" borderId="23" xfId="0" applyFont="1" applyBorder="1"/>
    <xf numFmtId="166" fontId="9" fillId="0" borderId="20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wrapText="1"/>
    </xf>
    <xf numFmtId="0" fontId="9" fillId="0" borderId="0" xfId="0" applyFont="1" applyFill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9" fillId="6" borderId="28" xfId="0" applyNumberFormat="1" applyFont="1" applyFill="1" applyBorder="1" applyAlignment="1">
      <alignment horizontal="center" vertical="center"/>
    </xf>
    <xf numFmtId="43" fontId="9" fillId="0" borderId="20" xfId="1" applyNumberFormat="1" applyFont="1" applyBorder="1" applyAlignment="1">
      <alignment horizontal="center" vertical="center"/>
    </xf>
    <xf numFmtId="166" fontId="9" fillId="6" borderId="28" xfId="0" applyNumberFormat="1" applyFont="1" applyFill="1" applyBorder="1" applyAlignment="1">
      <alignment horizontal="center" vertical="center"/>
    </xf>
    <xf numFmtId="1" fontId="9" fillId="0" borderId="0" xfId="0" applyNumberFormat="1" applyFont="1"/>
    <xf numFmtId="166" fontId="9" fillId="0" borderId="27" xfId="0" applyNumberFormat="1" applyFont="1" applyBorder="1" applyAlignment="1">
      <alignment horizontal="center" vertical="center"/>
    </xf>
    <xf numFmtId="0" fontId="9" fillId="3" borderId="0" xfId="0" applyFont="1" applyFill="1"/>
    <xf numFmtId="165" fontId="9" fillId="3" borderId="0" xfId="0" applyNumberFormat="1" applyFont="1" applyFill="1"/>
    <xf numFmtId="0" fontId="9" fillId="3" borderId="0" xfId="0" applyFont="1" applyFill="1" applyAlignment="1">
      <alignment horizontal="right"/>
    </xf>
    <xf numFmtId="167" fontId="9" fillId="3" borderId="0" xfId="0" applyNumberFormat="1" applyFont="1" applyFill="1"/>
    <xf numFmtId="43" fontId="9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/>
    <xf numFmtId="166" fontId="9" fillId="3" borderId="0" xfId="0" applyNumberFormat="1" applyFont="1" applyFill="1"/>
    <xf numFmtId="0" fontId="2" fillId="3" borderId="0" xfId="0" applyFont="1" applyFill="1" applyAlignment="1">
      <alignment horizontal="center"/>
    </xf>
    <xf numFmtId="165" fontId="9" fillId="3" borderId="9" xfId="0" applyNumberFormat="1" applyFont="1" applyFill="1" applyBorder="1"/>
    <xf numFmtId="0" fontId="9" fillId="3" borderId="29" xfId="0" applyFont="1" applyFill="1" applyBorder="1"/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165" fontId="9" fillId="3" borderId="27" xfId="0" applyNumberFormat="1" applyFont="1" applyFill="1" applyBorder="1" applyAlignment="1">
      <alignment horizontal="center"/>
    </xf>
    <xf numFmtId="166" fontId="9" fillId="3" borderId="20" xfId="0" applyNumberFormat="1" applyFont="1" applyFill="1" applyBorder="1" applyAlignment="1">
      <alignment horizontal="center"/>
    </xf>
    <xf numFmtId="166" fontId="9" fillId="3" borderId="28" xfId="0" applyNumberFormat="1" applyFont="1" applyFill="1" applyBorder="1" applyAlignment="1">
      <alignment horizontal="center"/>
    </xf>
    <xf numFmtId="165" fontId="9" fillId="3" borderId="31" xfId="0" applyNumberFormat="1" applyFont="1" applyFill="1" applyBorder="1" applyAlignment="1">
      <alignment horizontal="center"/>
    </xf>
    <xf numFmtId="166" fontId="9" fillId="3" borderId="32" xfId="0" applyNumberFormat="1" applyFont="1" applyFill="1" applyBorder="1" applyAlignment="1">
      <alignment horizontal="center"/>
    </xf>
    <xf numFmtId="166" fontId="9" fillId="3" borderId="33" xfId="0" applyNumberFormat="1" applyFont="1" applyFill="1" applyBorder="1" applyAlignment="1">
      <alignment horizontal="center"/>
    </xf>
    <xf numFmtId="0" fontId="0" fillId="3" borderId="0" xfId="0" applyFill="1"/>
    <xf numFmtId="2" fontId="9" fillId="6" borderId="27" xfId="0" applyNumberFormat="1" applyFont="1" applyFill="1" applyBorder="1" applyAlignment="1">
      <alignment horizontal="center" vertical="center"/>
    </xf>
    <xf numFmtId="0" fontId="13" fillId="3" borderId="0" xfId="0" applyFont="1" applyFill="1"/>
    <xf numFmtId="2" fontId="0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0" xfId="1" applyNumberFormat="1" applyFont="1"/>
    <xf numFmtId="0" fontId="2" fillId="2" borderId="2" xfId="0" applyFont="1" applyFill="1" applyBorder="1"/>
    <xf numFmtId="0" fontId="0" fillId="2" borderId="3" xfId="0" applyFill="1" applyBorder="1"/>
    <xf numFmtId="0" fontId="2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/>
    <xf numFmtId="1" fontId="15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1" fontId="0" fillId="2" borderId="0" xfId="0" applyNumberFormat="1" applyFill="1" applyAlignment="1">
      <alignment horizontal="center"/>
    </xf>
    <xf numFmtId="0" fontId="0" fillId="2" borderId="0" xfId="0" applyFill="1"/>
    <xf numFmtId="1" fontId="0" fillId="4" borderId="12" xfId="1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65" fontId="0" fillId="3" borderId="0" xfId="1" applyNumberFormat="1" applyFont="1" applyFill="1"/>
    <xf numFmtId="0" fontId="0" fillId="3" borderId="0" xfId="0" applyFill="1" applyAlignment="1">
      <alignment horizontal="right"/>
    </xf>
    <xf numFmtId="167" fontId="0" fillId="3" borderId="0" xfId="0" applyNumberFormat="1" applyFill="1"/>
    <xf numFmtId="0" fontId="0" fillId="3" borderId="0" xfId="0" applyFill="1" applyAlignment="1">
      <alignment horizontal="center"/>
    </xf>
    <xf numFmtId="43" fontId="0" fillId="3" borderId="0" xfId="0" applyNumberFormat="1" applyFill="1"/>
    <xf numFmtId="165" fontId="2" fillId="3" borderId="0" xfId="1" applyNumberFormat="1" applyFont="1" applyFill="1"/>
    <xf numFmtId="166" fontId="0" fillId="3" borderId="0" xfId="0" applyNumberFormat="1" applyFill="1"/>
    <xf numFmtId="165" fontId="0" fillId="3" borderId="9" xfId="1" applyNumberFormat="1" applyFont="1" applyFill="1" applyBorder="1"/>
    <xf numFmtId="0" fontId="0" fillId="3" borderId="13" xfId="0" applyFill="1" applyBorder="1"/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6" fontId="0" fillId="3" borderId="1" xfId="1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165" fontId="0" fillId="3" borderId="14" xfId="1" applyNumberFormat="1" applyFont="1" applyFill="1" applyBorder="1" applyAlignment="1">
      <alignment horizontal="center"/>
    </xf>
    <xf numFmtId="166" fontId="0" fillId="3" borderId="15" xfId="1" applyNumberFormat="1" applyFon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165" fontId="2" fillId="0" borderId="24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Azeite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'[1]ing x port'!$AD$30:$AD$34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xVal>
          <c:yVal>
            <c:numRef>
              <c:f>'[1]ing x port'!$AE$30:$AE$34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9-A949-AC26-B7174267500F}"/>
            </c:ext>
          </c:extLst>
        </c:ser>
        <c:ser>
          <c:idx val="1"/>
          <c:order val="1"/>
          <c:tx>
            <c:v>petroleo Iraque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'[1]ing x port'!$AG$30:$AG$34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'[1]ing x port'!$AF$30:$AF$34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9-A949-AC26-B71742675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09888"/>
        <c:axId val="115111808"/>
      </c:scatterChart>
      <c:valAx>
        <c:axId val="11510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BR"/>
          </a:p>
        </c:txPr>
        <c:crossAx val="115111808"/>
        <c:crosses val="autoZero"/>
        <c:crossBetween val="midCat"/>
      </c:valAx>
      <c:valAx>
        <c:axId val="11511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151098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IRAN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'iraq iranj 8 8 4 4 '!$O$39</c:f>
              <c:strCache>
                <c:ptCount val="1"/>
                <c:pt idx="0">
                  <c:v>azeite</c:v>
                </c:pt>
              </c:strCache>
            </c:strRef>
          </c:tx>
          <c:spPr>
            <a:ln w="28575">
              <a:noFill/>
            </a:ln>
          </c:spPr>
          <c:xVal>
            <c:numRef>
              <c:f>'iraq iranj 8 8 4 4 '!$N$40:$N$48</c:f>
              <c:numCache>
                <c:formatCode>0.0</c:formatCode>
                <c:ptCount val="9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</c:numCache>
            </c:numRef>
          </c:xVal>
          <c:yVal>
            <c:numRef>
              <c:f>'iraq iranj 8 8 4 4 '!$O$40:$O$48</c:f>
              <c:numCache>
                <c:formatCode>0</c:formatCode>
                <c:ptCount val="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9F-9C46-BECA-559098B8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19616"/>
        <c:axId val="122293248"/>
      </c:scatterChart>
      <c:valAx>
        <c:axId val="12231961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22293248"/>
        <c:crosses val="autoZero"/>
        <c:crossBetween val="midCat"/>
      </c:valAx>
      <c:valAx>
        <c:axId val="1222932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2319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633464566929129"/>
          <c:y val="0.85391695829687952"/>
          <c:w val="0.11477646544181977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IRAQ</a:t>
            </a:r>
          </a:p>
        </c:rich>
      </c:tx>
      <c:layout>
        <c:manualLayout>
          <c:xMode val="edge"/>
          <c:yMode val="edge"/>
          <c:x val="0.42740966754155729"/>
          <c:y val="3.24074074074074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'iraq iranj 8 8 4 4 '!$M$39</c:f>
              <c:strCache>
                <c:ptCount val="1"/>
                <c:pt idx="0">
                  <c:v>azeite</c:v>
                </c:pt>
              </c:strCache>
            </c:strRef>
          </c:tx>
          <c:spPr>
            <a:ln w="28575">
              <a:noFill/>
            </a:ln>
          </c:spPr>
          <c:xVal>
            <c:numRef>
              <c:f>'iraq iranj 8 8 4 4 '!$L$40:$L$48</c:f>
              <c:numCache>
                <c:formatCode>0.0</c:formatCode>
                <c:ptCount val="9"/>
                <c:pt idx="0" formatCode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xVal>
          <c:yVal>
            <c:numRef>
              <c:f>'iraq iranj 8 8 4 4 '!$M$40:$M$48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67-1E44-AB19-4DFA37E61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59712"/>
        <c:axId val="87427712"/>
      </c:scatterChart>
      <c:valAx>
        <c:axId val="874597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7427712"/>
        <c:crosses val="autoZero"/>
        <c:crossBetween val="midCat"/>
      </c:valAx>
      <c:valAx>
        <c:axId val="874277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7459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855686789151354"/>
          <c:y val="0.88169473607465731"/>
          <c:w val="0.11477646544181977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'ing portugal'!$M$37</c:f>
              <c:strCache>
                <c:ptCount val="1"/>
                <c:pt idx="0">
                  <c:v>tecido</c:v>
                </c:pt>
              </c:strCache>
            </c:strRef>
          </c:tx>
          <c:spPr>
            <a:ln w="28575">
              <a:noFill/>
            </a:ln>
          </c:spPr>
          <c:xVal>
            <c:numRef>
              <c:f>'ing portugal'!$L$38:$L$46</c:f>
              <c:numCache>
                <c:formatCode>0.00</c:formatCode>
                <c:ptCount val="9"/>
                <c:pt idx="0">
                  <c:v>10</c:v>
                </c:pt>
                <c:pt idx="1">
                  <c:v>8.75</c:v>
                </c:pt>
                <c:pt idx="2">
                  <c:v>7.5</c:v>
                </c:pt>
                <c:pt idx="3">
                  <c:v>6.25</c:v>
                </c:pt>
                <c:pt idx="4">
                  <c:v>5</c:v>
                </c:pt>
                <c:pt idx="5">
                  <c:v>3.75</c:v>
                </c:pt>
                <c:pt idx="6">
                  <c:v>2.5</c:v>
                </c:pt>
                <c:pt idx="7">
                  <c:v>1.25</c:v>
                </c:pt>
                <c:pt idx="8">
                  <c:v>0</c:v>
                </c:pt>
              </c:numCache>
            </c:numRef>
          </c:xVal>
          <c:yVal>
            <c:numRef>
              <c:f>'ing portugal'!$M$38:$M$46</c:f>
              <c:numCache>
                <c:formatCode>0</c:formatCode>
                <c:ptCount val="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F-AE46-BE6F-349E15DA6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99232"/>
        <c:axId val="89997696"/>
      </c:scatterChart>
      <c:valAx>
        <c:axId val="899992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89997696"/>
        <c:crosses val="autoZero"/>
        <c:crossBetween val="midCat"/>
      </c:valAx>
      <c:valAx>
        <c:axId val="899976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9999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8431977252843348E-2"/>
          <c:y val="0.12943751822688823"/>
          <c:w val="0.1176791338582677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Portugal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'ing portugal'!$O$37</c:f>
              <c:strCache>
                <c:ptCount val="1"/>
                <c:pt idx="0">
                  <c:v>tecido</c:v>
                </c:pt>
              </c:strCache>
            </c:strRef>
          </c:tx>
          <c:spPr>
            <a:ln w="28575">
              <a:noFill/>
            </a:ln>
          </c:spPr>
          <c:xVal>
            <c:numRef>
              <c:f>'ing portugal'!$N$38:$N$46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0.875</c:v>
                </c:pt>
                <c:pt idx="2">
                  <c:v>0.75</c:v>
                </c:pt>
                <c:pt idx="3">
                  <c:v>0.625</c:v>
                </c:pt>
                <c:pt idx="4">
                  <c:v>0.5</c:v>
                </c:pt>
                <c:pt idx="5">
                  <c:v>0.375</c:v>
                </c:pt>
                <c:pt idx="6">
                  <c:v>0.25</c:v>
                </c:pt>
                <c:pt idx="7">
                  <c:v>0.125</c:v>
                </c:pt>
                <c:pt idx="8">
                  <c:v>0</c:v>
                </c:pt>
              </c:numCache>
            </c:numRef>
          </c:xVal>
          <c:yVal>
            <c:numRef>
              <c:f>'ing portugal'!$O$38:$O$46</c:f>
              <c:numCache>
                <c:formatCode>0.0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6-FB4E-8EF8-8C15D6882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20992"/>
        <c:axId val="129619456"/>
      </c:scatterChart>
      <c:valAx>
        <c:axId val="12962099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129619456"/>
        <c:crosses val="autoZero"/>
        <c:crossBetween val="midCat"/>
      </c:valAx>
      <c:valAx>
        <c:axId val="1296194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96209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7320866141732242E-2"/>
          <c:y val="0.11317621755613884"/>
          <c:w val="0.1176791338582677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Robinson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'[2]robinson x sexta'!$L$36:$M$36</c:f>
              <c:strCache>
                <c:ptCount val="1"/>
                <c:pt idx="0">
                  <c:v>Robinson</c:v>
                </c:pt>
              </c:strCache>
            </c:strRef>
          </c:tx>
          <c:marker>
            <c:symbol val="none"/>
          </c:marker>
          <c:cat>
            <c:numRef>
              <c:f>'[2]robinson x sexta'!$M$38:$M$46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32</c:v>
                </c:pt>
              </c:numCache>
            </c:numRef>
          </c:cat>
          <c:val>
            <c:numRef>
              <c:f>'[2]robinson x sexta'!$L$38:$L$46</c:f>
              <c:numCache>
                <c:formatCode>General</c:formatCode>
                <c:ptCount val="9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1-ED47-9DD8-33D03BAEB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52128"/>
        <c:axId val="129153664"/>
      </c:lineChart>
      <c:catAx>
        <c:axId val="1291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29153664"/>
        <c:crosses val="autoZero"/>
        <c:auto val="1"/>
        <c:lblAlgn val="ctr"/>
        <c:lblOffset val="100"/>
        <c:noMultiLvlLbl val="0"/>
      </c:catAx>
      <c:valAx>
        <c:axId val="1291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29152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'[2]robinson x sexta'!$N$36:$O$36</c:f>
              <c:strCache>
                <c:ptCount val="1"/>
                <c:pt idx="0">
                  <c:v>Sexta-Feira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'[2]robinson x sexta'!$M$38:$M$46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32</c:v>
                </c:pt>
              </c:numCache>
            </c:numRef>
          </c:cat>
          <c:val>
            <c:numRef>
              <c:f>'[2]robinson x sexta'!$N$38:$N$46</c:f>
              <c:numCache>
                <c:formatCode>General</c:formatCode>
                <c:ptCount val="9"/>
                <c:pt idx="0">
                  <c:v>24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6-2845-989E-1ADB76EE9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65952"/>
        <c:axId val="133853952"/>
      </c:lineChart>
      <c:catAx>
        <c:axId val="1291659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33853952"/>
        <c:crosses val="autoZero"/>
        <c:auto val="1"/>
        <c:lblAlgn val="ctr"/>
        <c:lblOffset val="100"/>
        <c:noMultiLvlLbl val="0"/>
      </c:catAx>
      <c:valAx>
        <c:axId val="1338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291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'[2]robinson x sexta'!$N$36:$O$36</c:f>
              <c:strCache>
                <c:ptCount val="1"/>
                <c:pt idx="0">
                  <c:v>Sexta-Feira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'[2]robinson x sexta'!$O$38:$O$46</c:f>
              <c:numCache>
                <c:formatCode>General</c:formatCode>
                <c:ptCount val="9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</c:numCache>
            </c:numRef>
          </c:cat>
          <c:val>
            <c:numRef>
              <c:f>'[2]robinson x sexta'!$N$38:$N$46</c:f>
              <c:numCache>
                <c:formatCode>General</c:formatCode>
                <c:ptCount val="9"/>
                <c:pt idx="0">
                  <c:v>24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6-2845-989E-1ADB76EE9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891200"/>
        <c:axId val="133893120"/>
      </c:lineChart>
      <c:catAx>
        <c:axId val="13389120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33893120"/>
        <c:crosses val="autoZero"/>
        <c:auto val="1"/>
        <c:lblAlgn val="ctr"/>
        <c:lblOffset val="100"/>
        <c:noMultiLvlLbl val="0"/>
      </c:catAx>
      <c:valAx>
        <c:axId val="1338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3389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254000</xdr:colOff>
      <xdr:row>34</xdr:row>
      <xdr:rowOff>127000</xdr:rowOff>
    </xdr:from>
    <xdr:to>
      <xdr:col>35</xdr:col>
      <xdr:colOff>88900</xdr:colOff>
      <xdr:row>50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76200</xdr:colOff>
      <xdr:row>14</xdr:row>
      <xdr:rowOff>66675</xdr:rowOff>
    </xdr:from>
    <xdr:to>
      <xdr:col>26</xdr:col>
      <xdr:colOff>590550</xdr:colOff>
      <xdr:row>28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228600</xdr:colOff>
      <xdr:row>30</xdr:row>
      <xdr:rowOff>152400</xdr:rowOff>
    </xdr:from>
    <xdr:to>
      <xdr:col>27</xdr:col>
      <xdr:colOff>66675</xdr:colOff>
      <xdr:row>44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31</xdr:row>
      <xdr:rowOff>85725</xdr:rowOff>
    </xdr:from>
    <xdr:to>
      <xdr:col>21</xdr:col>
      <xdr:colOff>457200</xdr:colOff>
      <xdr:row>45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209550</xdr:colOff>
      <xdr:row>47</xdr:row>
      <xdr:rowOff>76200</xdr:rowOff>
    </xdr:from>
    <xdr:to>
      <xdr:col>21</xdr:col>
      <xdr:colOff>590550</xdr:colOff>
      <xdr:row>61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193040</xdr:colOff>
      <xdr:row>14</xdr:row>
      <xdr:rowOff>38100</xdr:rowOff>
    </xdr:from>
    <xdr:to>
      <xdr:col>25</xdr:col>
      <xdr:colOff>53340</xdr:colOff>
      <xdr:row>30</xdr:row>
      <xdr:rowOff>144780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636693</xdr:colOff>
      <xdr:row>20</xdr:row>
      <xdr:rowOff>1693</xdr:rowOff>
    </xdr:from>
    <xdr:to>
      <xdr:col>32</xdr:col>
      <xdr:colOff>508000</xdr:colOff>
      <xdr:row>36</xdr:row>
      <xdr:rowOff>123613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636693</xdr:colOff>
      <xdr:row>19</xdr:row>
      <xdr:rowOff>57722</xdr:rowOff>
    </xdr:from>
    <xdr:to>
      <xdr:col>32</xdr:col>
      <xdr:colOff>508000</xdr:colOff>
      <xdr:row>35</xdr:row>
      <xdr:rowOff>179642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costa/Library/Mobile%20Documents/com~apple~CloudDocs/vantagens%20competitivas/VANTAGENS%20COMPARATIVAS%20ETC%2020120924%2020190805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Reinaldo/reinaldo.costa.PRO/Desktop/aula2%20vantagens%20comparativas%20pro3821%202021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oes"/>
      <sheetName val="ISRAEL"/>
      <sheetName val="dUPONT"/>
      <sheetName val="AEREO"/>
      <sheetName val="RODOVIARIO"/>
      <sheetName val="VC RICARDO"/>
      <sheetName val="maca x cereja"/>
      <sheetName val="ing x port"/>
      <sheetName val="iraque x iran"/>
      <sheetName val="carne batata"/>
      <sheetName val="exercicio aula 3"/>
      <sheetName val="VC R $"/>
      <sheetName val="Rota voo"/>
      <sheetName val="Ex Elasticidade"/>
      <sheetName val="modelo aer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F18" t="str">
            <v>Inglaterra</v>
          </cell>
        </row>
        <row r="30">
          <cell r="AD30">
            <v>0</v>
          </cell>
          <cell r="AE30">
            <v>8</v>
          </cell>
          <cell r="AF30">
            <v>0</v>
          </cell>
          <cell r="AG30">
            <v>4</v>
          </cell>
        </row>
        <row r="31">
          <cell r="AD31">
            <v>2</v>
          </cell>
          <cell r="AE31">
            <v>6</v>
          </cell>
          <cell r="AF31">
            <v>1</v>
          </cell>
          <cell r="AG31">
            <v>3</v>
          </cell>
        </row>
        <row r="32">
          <cell r="AD32">
            <v>4</v>
          </cell>
          <cell r="AE32">
            <v>4</v>
          </cell>
          <cell r="AF32">
            <v>2</v>
          </cell>
          <cell r="AG32">
            <v>2</v>
          </cell>
        </row>
        <row r="33">
          <cell r="AD33">
            <v>6</v>
          </cell>
          <cell r="AE33">
            <v>2</v>
          </cell>
          <cell r="AF33">
            <v>3</v>
          </cell>
          <cell r="AG33">
            <v>1</v>
          </cell>
        </row>
        <row r="34">
          <cell r="AD34">
            <v>8</v>
          </cell>
          <cell r="AE34">
            <v>0</v>
          </cell>
          <cell r="AF34">
            <v>4</v>
          </cell>
          <cell r="AG3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binson x sexta"/>
      <sheetName val="Ing x port"/>
      <sheetName val="iraq iran 8 8 4 4"/>
    </sheetNames>
    <sheetDataSet>
      <sheetData sheetId="0">
        <row r="36">
          <cell r="L36" t="str">
            <v>Robinson</v>
          </cell>
          <cell r="N36" t="str">
            <v>Sexta-Feira</v>
          </cell>
        </row>
        <row r="38">
          <cell r="L38">
            <v>8</v>
          </cell>
          <cell r="M38">
            <v>0</v>
          </cell>
          <cell r="N38">
            <v>24</v>
          </cell>
          <cell r="O38">
            <v>0</v>
          </cell>
        </row>
        <row r="39">
          <cell r="L39">
            <v>7</v>
          </cell>
          <cell r="M39">
            <v>4</v>
          </cell>
          <cell r="N39">
            <v>21</v>
          </cell>
          <cell r="O39">
            <v>6</v>
          </cell>
        </row>
        <row r="40">
          <cell r="L40">
            <v>6</v>
          </cell>
          <cell r="M40">
            <v>8</v>
          </cell>
          <cell r="N40">
            <v>18</v>
          </cell>
          <cell r="O40">
            <v>12</v>
          </cell>
        </row>
        <row r="41">
          <cell r="L41">
            <v>5</v>
          </cell>
          <cell r="M41">
            <v>12</v>
          </cell>
          <cell r="N41">
            <v>15</v>
          </cell>
          <cell r="O41">
            <v>18</v>
          </cell>
        </row>
        <row r="42">
          <cell r="L42">
            <v>4</v>
          </cell>
          <cell r="M42">
            <v>16</v>
          </cell>
          <cell r="N42">
            <v>12</v>
          </cell>
          <cell r="O42">
            <v>24</v>
          </cell>
        </row>
        <row r="43">
          <cell r="L43">
            <v>3</v>
          </cell>
          <cell r="M43">
            <v>20</v>
          </cell>
          <cell r="N43">
            <v>9</v>
          </cell>
          <cell r="O43">
            <v>30</v>
          </cell>
        </row>
        <row r="44">
          <cell r="L44">
            <v>2</v>
          </cell>
          <cell r="M44">
            <v>24</v>
          </cell>
          <cell r="N44">
            <v>6</v>
          </cell>
          <cell r="O44">
            <v>36</v>
          </cell>
        </row>
        <row r="45">
          <cell r="L45">
            <v>1</v>
          </cell>
          <cell r="M45">
            <v>28</v>
          </cell>
          <cell r="N45">
            <v>3</v>
          </cell>
          <cell r="O45">
            <v>42</v>
          </cell>
        </row>
        <row r="46">
          <cell r="L46">
            <v>0</v>
          </cell>
          <cell r="M46">
            <v>32</v>
          </cell>
          <cell r="N46">
            <v>0</v>
          </cell>
          <cell r="O46">
            <v>48</v>
          </cell>
        </row>
      </sheetData>
      <sheetData sheetId="1">
        <row r="37">
          <cell r="M37" t="str">
            <v>tecido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2"/>
  <sheetViews>
    <sheetView tabSelected="1" workbookViewId="0">
      <selection activeCell="K28" sqref="K28"/>
    </sheetView>
  </sheetViews>
  <sheetFormatPr baseColWidth="10" defaultColWidth="10.1640625" defaultRowHeight="15" x14ac:dyDescent="0.2"/>
  <cols>
    <col min="5" max="5" width="14.33203125" customWidth="1"/>
    <col min="6" max="6" width="15.33203125" customWidth="1"/>
    <col min="7" max="7" width="16.5" customWidth="1"/>
    <col min="8" max="8" width="12.5" customWidth="1"/>
    <col min="9" max="9" width="16.6640625" bestFit="1" customWidth="1"/>
    <col min="10" max="10" width="15.5" customWidth="1"/>
    <col min="11" max="11" width="16.5" customWidth="1"/>
    <col min="12" max="12" width="22.1640625" customWidth="1"/>
    <col min="13" max="13" width="14.5" customWidth="1"/>
    <col min="14" max="14" width="21.1640625" customWidth="1"/>
    <col min="15" max="15" width="16" customWidth="1"/>
    <col min="261" max="261" width="14.33203125" customWidth="1"/>
    <col min="262" max="262" width="15.33203125" customWidth="1"/>
    <col min="263" max="263" width="16.5" customWidth="1"/>
    <col min="264" max="264" width="12.5" customWidth="1"/>
    <col min="265" max="265" width="16.6640625" bestFit="1" customWidth="1"/>
    <col min="266" max="266" width="15.5" customWidth="1"/>
    <col min="267" max="267" width="13.33203125" customWidth="1"/>
    <col min="268" max="268" width="22.1640625" customWidth="1"/>
    <col min="269" max="269" width="14.5" customWidth="1"/>
    <col min="270" max="270" width="21.1640625" customWidth="1"/>
    <col min="271" max="271" width="16" customWidth="1"/>
    <col min="517" max="517" width="14.33203125" customWidth="1"/>
    <col min="518" max="518" width="15.33203125" customWidth="1"/>
    <col min="519" max="519" width="16.5" customWidth="1"/>
    <col min="520" max="520" width="12.5" customWidth="1"/>
    <col min="521" max="521" width="16.6640625" bestFit="1" customWidth="1"/>
    <col min="522" max="522" width="15.5" customWidth="1"/>
    <col min="523" max="523" width="13.33203125" customWidth="1"/>
    <col min="524" max="524" width="22.1640625" customWidth="1"/>
    <col min="525" max="525" width="14.5" customWidth="1"/>
    <col min="526" max="526" width="21.1640625" customWidth="1"/>
    <col min="527" max="527" width="16" customWidth="1"/>
    <col min="773" max="773" width="14.33203125" customWidth="1"/>
    <col min="774" max="774" width="15.33203125" customWidth="1"/>
    <col min="775" max="775" width="16.5" customWidth="1"/>
    <col min="776" max="776" width="12.5" customWidth="1"/>
    <col min="777" max="777" width="16.6640625" bestFit="1" customWidth="1"/>
    <col min="778" max="778" width="15.5" customWidth="1"/>
    <col min="779" max="779" width="13.33203125" customWidth="1"/>
    <col min="780" max="780" width="22.1640625" customWidth="1"/>
    <col min="781" max="781" width="14.5" customWidth="1"/>
    <col min="782" max="782" width="21.1640625" customWidth="1"/>
    <col min="783" max="783" width="16" customWidth="1"/>
    <col min="1029" max="1029" width="14.33203125" customWidth="1"/>
    <col min="1030" max="1030" width="15.33203125" customWidth="1"/>
    <col min="1031" max="1031" width="16.5" customWidth="1"/>
    <col min="1032" max="1032" width="12.5" customWidth="1"/>
    <col min="1033" max="1033" width="16.6640625" bestFit="1" customWidth="1"/>
    <col min="1034" max="1034" width="15.5" customWidth="1"/>
    <col min="1035" max="1035" width="13.33203125" customWidth="1"/>
    <col min="1036" max="1036" width="22.1640625" customWidth="1"/>
    <col min="1037" max="1037" width="14.5" customWidth="1"/>
    <col min="1038" max="1038" width="21.1640625" customWidth="1"/>
    <col min="1039" max="1039" width="16" customWidth="1"/>
    <col min="1285" max="1285" width="14.33203125" customWidth="1"/>
    <col min="1286" max="1286" width="15.33203125" customWidth="1"/>
    <col min="1287" max="1287" width="16.5" customWidth="1"/>
    <col min="1288" max="1288" width="12.5" customWidth="1"/>
    <col min="1289" max="1289" width="16.6640625" bestFit="1" customWidth="1"/>
    <col min="1290" max="1290" width="15.5" customWidth="1"/>
    <col min="1291" max="1291" width="13.33203125" customWidth="1"/>
    <col min="1292" max="1292" width="22.1640625" customWidth="1"/>
    <col min="1293" max="1293" width="14.5" customWidth="1"/>
    <col min="1294" max="1294" width="21.1640625" customWidth="1"/>
    <col min="1295" max="1295" width="16" customWidth="1"/>
    <col min="1541" max="1541" width="14.33203125" customWidth="1"/>
    <col min="1542" max="1542" width="15.33203125" customWidth="1"/>
    <col min="1543" max="1543" width="16.5" customWidth="1"/>
    <col min="1544" max="1544" width="12.5" customWidth="1"/>
    <col min="1545" max="1545" width="16.6640625" bestFit="1" customWidth="1"/>
    <col min="1546" max="1546" width="15.5" customWidth="1"/>
    <col min="1547" max="1547" width="13.33203125" customWidth="1"/>
    <col min="1548" max="1548" width="22.1640625" customWidth="1"/>
    <col min="1549" max="1549" width="14.5" customWidth="1"/>
    <col min="1550" max="1550" width="21.1640625" customWidth="1"/>
    <col min="1551" max="1551" width="16" customWidth="1"/>
    <col min="1797" max="1797" width="14.33203125" customWidth="1"/>
    <col min="1798" max="1798" width="15.33203125" customWidth="1"/>
    <col min="1799" max="1799" width="16.5" customWidth="1"/>
    <col min="1800" max="1800" width="12.5" customWidth="1"/>
    <col min="1801" max="1801" width="16.6640625" bestFit="1" customWidth="1"/>
    <col min="1802" max="1802" width="15.5" customWidth="1"/>
    <col min="1803" max="1803" width="13.33203125" customWidth="1"/>
    <col min="1804" max="1804" width="22.1640625" customWidth="1"/>
    <col min="1805" max="1805" width="14.5" customWidth="1"/>
    <col min="1806" max="1806" width="21.1640625" customWidth="1"/>
    <col min="1807" max="1807" width="16" customWidth="1"/>
    <col min="2053" max="2053" width="14.33203125" customWidth="1"/>
    <col min="2054" max="2054" width="15.33203125" customWidth="1"/>
    <col min="2055" max="2055" width="16.5" customWidth="1"/>
    <col min="2056" max="2056" width="12.5" customWidth="1"/>
    <col min="2057" max="2057" width="16.6640625" bestFit="1" customWidth="1"/>
    <col min="2058" max="2058" width="15.5" customWidth="1"/>
    <col min="2059" max="2059" width="13.33203125" customWidth="1"/>
    <col min="2060" max="2060" width="22.1640625" customWidth="1"/>
    <col min="2061" max="2061" width="14.5" customWidth="1"/>
    <col min="2062" max="2062" width="21.1640625" customWidth="1"/>
    <col min="2063" max="2063" width="16" customWidth="1"/>
    <col min="2309" max="2309" width="14.33203125" customWidth="1"/>
    <col min="2310" max="2310" width="15.33203125" customWidth="1"/>
    <col min="2311" max="2311" width="16.5" customWidth="1"/>
    <col min="2312" max="2312" width="12.5" customWidth="1"/>
    <col min="2313" max="2313" width="16.6640625" bestFit="1" customWidth="1"/>
    <col min="2314" max="2314" width="15.5" customWidth="1"/>
    <col min="2315" max="2315" width="13.33203125" customWidth="1"/>
    <col min="2316" max="2316" width="22.1640625" customWidth="1"/>
    <col min="2317" max="2317" width="14.5" customWidth="1"/>
    <col min="2318" max="2318" width="21.1640625" customWidth="1"/>
    <col min="2319" max="2319" width="16" customWidth="1"/>
    <col min="2565" max="2565" width="14.33203125" customWidth="1"/>
    <col min="2566" max="2566" width="15.33203125" customWidth="1"/>
    <col min="2567" max="2567" width="16.5" customWidth="1"/>
    <col min="2568" max="2568" width="12.5" customWidth="1"/>
    <col min="2569" max="2569" width="16.6640625" bestFit="1" customWidth="1"/>
    <col min="2570" max="2570" width="15.5" customWidth="1"/>
    <col min="2571" max="2571" width="13.33203125" customWidth="1"/>
    <col min="2572" max="2572" width="22.1640625" customWidth="1"/>
    <col min="2573" max="2573" width="14.5" customWidth="1"/>
    <col min="2574" max="2574" width="21.1640625" customWidth="1"/>
    <col min="2575" max="2575" width="16" customWidth="1"/>
    <col min="2821" max="2821" width="14.33203125" customWidth="1"/>
    <col min="2822" max="2822" width="15.33203125" customWidth="1"/>
    <col min="2823" max="2823" width="16.5" customWidth="1"/>
    <col min="2824" max="2824" width="12.5" customWidth="1"/>
    <col min="2825" max="2825" width="16.6640625" bestFit="1" customWidth="1"/>
    <col min="2826" max="2826" width="15.5" customWidth="1"/>
    <col min="2827" max="2827" width="13.33203125" customWidth="1"/>
    <col min="2828" max="2828" width="22.1640625" customWidth="1"/>
    <col min="2829" max="2829" width="14.5" customWidth="1"/>
    <col min="2830" max="2830" width="21.1640625" customWidth="1"/>
    <col min="2831" max="2831" width="16" customWidth="1"/>
    <col min="3077" max="3077" width="14.33203125" customWidth="1"/>
    <col min="3078" max="3078" width="15.33203125" customWidth="1"/>
    <col min="3079" max="3079" width="16.5" customWidth="1"/>
    <col min="3080" max="3080" width="12.5" customWidth="1"/>
    <col min="3081" max="3081" width="16.6640625" bestFit="1" customWidth="1"/>
    <col min="3082" max="3082" width="15.5" customWidth="1"/>
    <col min="3083" max="3083" width="13.33203125" customWidth="1"/>
    <col min="3084" max="3084" width="22.1640625" customWidth="1"/>
    <col min="3085" max="3085" width="14.5" customWidth="1"/>
    <col min="3086" max="3086" width="21.1640625" customWidth="1"/>
    <col min="3087" max="3087" width="16" customWidth="1"/>
    <col min="3333" max="3333" width="14.33203125" customWidth="1"/>
    <col min="3334" max="3334" width="15.33203125" customWidth="1"/>
    <col min="3335" max="3335" width="16.5" customWidth="1"/>
    <col min="3336" max="3336" width="12.5" customWidth="1"/>
    <col min="3337" max="3337" width="16.6640625" bestFit="1" customWidth="1"/>
    <col min="3338" max="3338" width="15.5" customWidth="1"/>
    <col min="3339" max="3339" width="13.33203125" customWidth="1"/>
    <col min="3340" max="3340" width="22.1640625" customWidth="1"/>
    <col min="3341" max="3341" width="14.5" customWidth="1"/>
    <col min="3342" max="3342" width="21.1640625" customWidth="1"/>
    <col min="3343" max="3343" width="16" customWidth="1"/>
    <col min="3589" max="3589" width="14.33203125" customWidth="1"/>
    <col min="3590" max="3590" width="15.33203125" customWidth="1"/>
    <col min="3591" max="3591" width="16.5" customWidth="1"/>
    <col min="3592" max="3592" width="12.5" customWidth="1"/>
    <col min="3593" max="3593" width="16.6640625" bestFit="1" customWidth="1"/>
    <col min="3594" max="3594" width="15.5" customWidth="1"/>
    <col min="3595" max="3595" width="13.33203125" customWidth="1"/>
    <col min="3596" max="3596" width="22.1640625" customWidth="1"/>
    <col min="3597" max="3597" width="14.5" customWidth="1"/>
    <col min="3598" max="3598" width="21.1640625" customWidth="1"/>
    <col min="3599" max="3599" width="16" customWidth="1"/>
    <col min="3845" max="3845" width="14.33203125" customWidth="1"/>
    <col min="3846" max="3846" width="15.33203125" customWidth="1"/>
    <col min="3847" max="3847" width="16.5" customWidth="1"/>
    <col min="3848" max="3848" width="12.5" customWidth="1"/>
    <col min="3849" max="3849" width="16.6640625" bestFit="1" customWidth="1"/>
    <col min="3850" max="3850" width="15.5" customWidth="1"/>
    <col min="3851" max="3851" width="13.33203125" customWidth="1"/>
    <col min="3852" max="3852" width="22.1640625" customWidth="1"/>
    <col min="3853" max="3853" width="14.5" customWidth="1"/>
    <col min="3854" max="3854" width="21.1640625" customWidth="1"/>
    <col min="3855" max="3855" width="16" customWidth="1"/>
    <col min="4101" max="4101" width="14.33203125" customWidth="1"/>
    <col min="4102" max="4102" width="15.33203125" customWidth="1"/>
    <col min="4103" max="4103" width="16.5" customWidth="1"/>
    <col min="4104" max="4104" width="12.5" customWidth="1"/>
    <col min="4105" max="4105" width="16.6640625" bestFit="1" customWidth="1"/>
    <col min="4106" max="4106" width="15.5" customWidth="1"/>
    <col min="4107" max="4107" width="13.33203125" customWidth="1"/>
    <col min="4108" max="4108" width="22.1640625" customWidth="1"/>
    <col min="4109" max="4109" width="14.5" customWidth="1"/>
    <col min="4110" max="4110" width="21.1640625" customWidth="1"/>
    <col min="4111" max="4111" width="16" customWidth="1"/>
    <col min="4357" max="4357" width="14.33203125" customWidth="1"/>
    <col min="4358" max="4358" width="15.33203125" customWidth="1"/>
    <col min="4359" max="4359" width="16.5" customWidth="1"/>
    <col min="4360" max="4360" width="12.5" customWidth="1"/>
    <col min="4361" max="4361" width="16.6640625" bestFit="1" customWidth="1"/>
    <col min="4362" max="4362" width="15.5" customWidth="1"/>
    <col min="4363" max="4363" width="13.33203125" customWidth="1"/>
    <col min="4364" max="4364" width="22.1640625" customWidth="1"/>
    <col min="4365" max="4365" width="14.5" customWidth="1"/>
    <col min="4366" max="4366" width="21.1640625" customWidth="1"/>
    <col min="4367" max="4367" width="16" customWidth="1"/>
    <col min="4613" max="4613" width="14.33203125" customWidth="1"/>
    <col min="4614" max="4614" width="15.33203125" customWidth="1"/>
    <col min="4615" max="4615" width="16.5" customWidth="1"/>
    <col min="4616" max="4616" width="12.5" customWidth="1"/>
    <col min="4617" max="4617" width="16.6640625" bestFit="1" customWidth="1"/>
    <col min="4618" max="4618" width="15.5" customWidth="1"/>
    <col min="4619" max="4619" width="13.33203125" customWidth="1"/>
    <col min="4620" max="4620" width="22.1640625" customWidth="1"/>
    <col min="4621" max="4621" width="14.5" customWidth="1"/>
    <col min="4622" max="4622" width="21.1640625" customWidth="1"/>
    <col min="4623" max="4623" width="16" customWidth="1"/>
    <col min="4869" max="4869" width="14.33203125" customWidth="1"/>
    <col min="4870" max="4870" width="15.33203125" customWidth="1"/>
    <col min="4871" max="4871" width="16.5" customWidth="1"/>
    <col min="4872" max="4872" width="12.5" customWidth="1"/>
    <col min="4873" max="4873" width="16.6640625" bestFit="1" customWidth="1"/>
    <col min="4874" max="4874" width="15.5" customWidth="1"/>
    <col min="4875" max="4875" width="13.33203125" customWidth="1"/>
    <col min="4876" max="4876" width="22.1640625" customWidth="1"/>
    <col min="4877" max="4877" width="14.5" customWidth="1"/>
    <col min="4878" max="4878" width="21.1640625" customWidth="1"/>
    <col min="4879" max="4879" width="16" customWidth="1"/>
    <col min="5125" max="5125" width="14.33203125" customWidth="1"/>
    <col min="5126" max="5126" width="15.33203125" customWidth="1"/>
    <col min="5127" max="5127" width="16.5" customWidth="1"/>
    <col min="5128" max="5128" width="12.5" customWidth="1"/>
    <col min="5129" max="5129" width="16.6640625" bestFit="1" customWidth="1"/>
    <col min="5130" max="5130" width="15.5" customWidth="1"/>
    <col min="5131" max="5131" width="13.33203125" customWidth="1"/>
    <col min="5132" max="5132" width="22.1640625" customWidth="1"/>
    <col min="5133" max="5133" width="14.5" customWidth="1"/>
    <col min="5134" max="5134" width="21.1640625" customWidth="1"/>
    <col min="5135" max="5135" width="16" customWidth="1"/>
    <col min="5381" max="5381" width="14.33203125" customWidth="1"/>
    <col min="5382" max="5382" width="15.33203125" customWidth="1"/>
    <col min="5383" max="5383" width="16.5" customWidth="1"/>
    <col min="5384" max="5384" width="12.5" customWidth="1"/>
    <col min="5385" max="5385" width="16.6640625" bestFit="1" customWidth="1"/>
    <col min="5386" max="5386" width="15.5" customWidth="1"/>
    <col min="5387" max="5387" width="13.33203125" customWidth="1"/>
    <col min="5388" max="5388" width="22.1640625" customWidth="1"/>
    <col min="5389" max="5389" width="14.5" customWidth="1"/>
    <col min="5390" max="5390" width="21.1640625" customWidth="1"/>
    <col min="5391" max="5391" width="16" customWidth="1"/>
    <col min="5637" max="5637" width="14.33203125" customWidth="1"/>
    <col min="5638" max="5638" width="15.33203125" customWidth="1"/>
    <col min="5639" max="5639" width="16.5" customWidth="1"/>
    <col min="5640" max="5640" width="12.5" customWidth="1"/>
    <col min="5641" max="5641" width="16.6640625" bestFit="1" customWidth="1"/>
    <col min="5642" max="5642" width="15.5" customWidth="1"/>
    <col min="5643" max="5643" width="13.33203125" customWidth="1"/>
    <col min="5644" max="5644" width="22.1640625" customWidth="1"/>
    <col min="5645" max="5645" width="14.5" customWidth="1"/>
    <col min="5646" max="5646" width="21.1640625" customWidth="1"/>
    <col min="5647" max="5647" width="16" customWidth="1"/>
    <col min="5893" max="5893" width="14.33203125" customWidth="1"/>
    <col min="5894" max="5894" width="15.33203125" customWidth="1"/>
    <col min="5895" max="5895" width="16.5" customWidth="1"/>
    <col min="5896" max="5896" width="12.5" customWidth="1"/>
    <col min="5897" max="5897" width="16.6640625" bestFit="1" customWidth="1"/>
    <col min="5898" max="5898" width="15.5" customWidth="1"/>
    <col min="5899" max="5899" width="13.33203125" customWidth="1"/>
    <col min="5900" max="5900" width="22.1640625" customWidth="1"/>
    <col min="5901" max="5901" width="14.5" customWidth="1"/>
    <col min="5902" max="5902" width="21.1640625" customWidth="1"/>
    <col min="5903" max="5903" width="16" customWidth="1"/>
    <col min="6149" max="6149" width="14.33203125" customWidth="1"/>
    <col min="6150" max="6150" width="15.33203125" customWidth="1"/>
    <col min="6151" max="6151" width="16.5" customWidth="1"/>
    <col min="6152" max="6152" width="12.5" customWidth="1"/>
    <col min="6153" max="6153" width="16.6640625" bestFit="1" customWidth="1"/>
    <col min="6154" max="6154" width="15.5" customWidth="1"/>
    <col min="6155" max="6155" width="13.33203125" customWidth="1"/>
    <col min="6156" max="6156" width="22.1640625" customWidth="1"/>
    <col min="6157" max="6157" width="14.5" customWidth="1"/>
    <col min="6158" max="6158" width="21.1640625" customWidth="1"/>
    <col min="6159" max="6159" width="16" customWidth="1"/>
    <col min="6405" max="6405" width="14.33203125" customWidth="1"/>
    <col min="6406" max="6406" width="15.33203125" customWidth="1"/>
    <col min="6407" max="6407" width="16.5" customWidth="1"/>
    <col min="6408" max="6408" width="12.5" customWidth="1"/>
    <col min="6409" max="6409" width="16.6640625" bestFit="1" customWidth="1"/>
    <col min="6410" max="6410" width="15.5" customWidth="1"/>
    <col min="6411" max="6411" width="13.33203125" customWidth="1"/>
    <col min="6412" max="6412" width="22.1640625" customWidth="1"/>
    <col min="6413" max="6413" width="14.5" customWidth="1"/>
    <col min="6414" max="6414" width="21.1640625" customWidth="1"/>
    <col min="6415" max="6415" width="16" customWidth="1"/>
    <col min="6661" max="6661" width="14.33203125" customWidth="1"/>
    <col min="6662" max="6662" width="15.33203125" customWidth="1"/>
    <col min="6663" max="6663" width="16.5" customWidth="1"/>
    <col min="6664" max="6664" width="12.5" customWidth="1"/>
    <col min="6665" max="6665" width="16.6640625" bestFit="1" customWidth="1"/>
    <col min="6666" max="6666" width="15.5" customWidth="1"/>
    <col min="6667" max="6667" width="13.33203125" customWidth="1"/>
    <col min="6668" max="6668" width="22.1640625" customWidth="1"/>
    <col min="6669" max="6669" width="14.5" customWidth="1"/>
    <col min="6670" max="6670" width="21.1640625" customWidth="1"/>
    <col min="6671" max="6671" width="16" customWidth="1"/>
    <col min="6917" max="6917" width="14.33203125" customWidth="1"/>
    <col min="6918" max="6918" width="15.33203125" customWidth="1"/>
    <col min="6919" max="6919" width="16.5" customWidth="1"/>
    <col min="6920" max="6920" width="12.5" customWidth="1"/>
    <col min="6921" max="6921" width="16.6640625" bestFit="1" customWidth="1"/>
    <col min="6922" max="6922" width="15.5" customWidth="1"/>
    <col min="6923" max="6923" width="13.33203125" customWidth="1"/>
    <col min="6924" max="6924" width="22.1640625" customWidth="1"/>
    <col min="6925" max="6925" width="14.5" customWidth="1"/>
    <col min="6926" max="6926" width="21.1640625" customWidth="1"/>
    <col min="6927" max="6927" width="16" customWidth="1"/>
    <col min="7173" max="7173" width="14.33203125" customWidth="1"/>
    <col min="7174" max="7174" width="15.33203125" customWidth="1"/>
    <col min="7175" max="7175" width="16.5" customWidth="1"/>
    <col min="7176" max="7176" width="12.5" customWidth="1"/>
    <col min="7177" max="7177" width="16.6640625" bestFit="1" customWidth="1"/>
    <col min="7178" max="7178" width="15.5" customWidth="1"/>
    <col min="7179" max="7179" width="13.33203125" customWidth="1"/>
    <col min="7180" max="7180" width="22.1640625" customWidth="1"/>
    <col min="7181" max="7181" width="14.5" customWidth="1"/>
    <col min="7182" max="7182" width="21.1640625" customWidth="1"/>
    <col min="7183" max="7183" width="16" customWidth="1"/>
    <col min="7429" max="7429" width="14.33203125" customWidth="1"/>
    <col min="7430" max="7430" width="15.33203125" customWidth="1"/>
    <col min="7431" max="7431" width="16.5" customWidth="1"/>
    <col min="7432" max="7432" width="12.5" customWidth="1"/>
    <col min="7433" max="7433" width="16.6640625" bestFit="1" customWidth="1"/>
    <col min="7434" max="7434" width="15.5" customWidth="1"/>
    <col min="7435" max="7435" width="13.33203125" customWidth="1"/>
    <col min="7436" max="7436" width="22.1640625" customWidth="1"/>
    <col min="7437" max="7437" width="14.5" customWidth="1"/>
    <col min="7438" max="7438" width="21.1640625" customWidth="1"/>
    <col min="7439" max="7439" width="16" customWidth="1"/>
    <col min="7685" max="7685" width="14.33203125" customWidth="1"/>
    <col min="7686" max="7686" width="15.33203125" customWidth="1"/>
    <col min="7687" max="7687" width="16.5" customWidth="1"/>
    <col min="7688" max="7688" width="12.5" customWidth="1"/>
    <col min="7689" max="7689" width="16.6640625" bestFit="1" customWidth="1"/>
    <col min="7690" max="7690" width="15.5" customWidth="1"/>
    <col min="7691" max="7691" width="13.33203125" customWidth="1"/>
    <col min="7692" max="7692" width="22.1640625" customWidth="1"/>
    <col min="7693" max="7693" width="14.5" customWidth="1"/>
    <col min="7694" max="7694" width="21.1640625" customWidth="1"/>
    <col min="7695" max="7695" width="16" customWidth="1"/>
    <col min="7941" max="7941" width="14.33203125" customWidth="1"/>
    <col min="7942" max="7942" width="15.33203125" customWidth="1"/>
    <col min="7943" max="7943" width="16.5" customWidth="1"/>
    <col min="7944" max="7944" width="12.5" customWidth="1"/>
    <col min="7945" max="7945" width="16.6640625" bestFit="1" customWidth="1"/>
    <col min="7946" max="7946" width="15.5" customWidth="1"/>
    <col min="7947" max="7947" width="13.33203125" customWidth="1"/>
    <col min="7948" max="7948" width="22.1640625" customWidth="1"/>
    <col min="7949" max="7949" width="14.5" customWidth="1"/>
    <col min="7950" max="7950" width="21.1640625" customWidth="1"/>
    <col min="7951" max="7951" width="16" customWidth="1"/>
    <col min="8197" max="8197" width="14.33203125" customWidth="1"/>
    <col min="8198" max="8198" width="15.33203125" customWidth="1"/>
    <col min="8199" max="8199" width="16.5" customWidth="1"/>
    <col min="8200" max="8200" width="12.5" customWidth="1"/>
    <col min="8201" max="8201" width="16.6640625" bestFit="1" customWidth="1"/>
    <col min="8202" max="8202" width="15.5" customWidth="1"/>
    <col min="8203" max="8203" width="13.33203125" customWidth="1"/>
    <col min="8204" max="8204" width="22.1640625" customWidth="1"/>
    <col min="8205" max="8205" width="14.5" customWidth="1"/>
    <col min="8206" max="8206" width="21.1640625" customWidth="1"/>
    <col min="8207" max="8207" width="16" customWidth="1"/>
    <col min="8453" max="8453" width="14.33203125" customWidth="1"/>
    <col min="8454" max="8454" width="15.33203125" customWidth="1"/>
    <col min="8455" max="8455" width="16.5" customWidth="1"/>
    <col min="8456" max="8456" width="12.5" customWidth="1"/>
    <col min="8457" max="8457" width="16.6640625" bestFit="1" customWidth="1"/>
    <col min="8458" max="8458" width="15.5" customWidth="1"/>
    <col min="8459" max="8459" width="13.33203125" customWidth="1"/>
    <col min="8460" max="8460" width="22.1640625" customWidth="1"/>
    <col min="8461" max="8461" width="14.5" customWidth="1"/>
    <col min="8462" max="8462" width="21.1640625" customWidth="1"/>
    <col min="8463" max="8463" width="16" customWidth="1"/>
    <col min="8709" max="8709" width="14.33203125" customWidth="1"/>
    <col min="8710" max="8710" width="15.33203125" customWidth="1"/>
    <col min="8711" max="8711" width="16.5" customWidth="1"/>
    <col min="8712" max="8712" width="12.5" customWidth="1"/>
    <col min="8713" max="8713" width="16.6640625" bestFit="1" customWidth="1"/>
    <col min="8714" max="8714" width="15.5" customWidth="1"/>
    <col min="8715" max="8715" width="13.33203125" customWidth="1"/>
    <col min="8716" max="8716" width="22.1640625" customWidth="1"/>
    <col min="8717" max="8717" width="14.5" customWidth="1"/>
    <col min="8718" max="8718" width="21.1640625" customWidth="1"/>
    <col min="8719" max="8719" width="16" customWidth="1"/>
    <col min="8965" max="8965" width="14.33203125" customWidth="1"/>
    <col min="8966" max="8966" width="15.33203125" customWidth="1"/>
    <col min="8967" max="8967" width="16.5" customWidth="1"/>
    <col min="8968" max="8968" width="12.5" customWidth="1"/>
    <col min="8969" max="8969" width="16.6640625" bestFit="1" customWidth="1"/>
    <col min="8970" max="8970" width="15.5" customWidth="1"/>
    <col min="8971" max="8971" width="13.33203125" customWidth="1"/>
    <col min="8972" max="8972" width="22.1640625" customWidth="1"/>
    <col min="8973" max="8973" width="14.5" customWidth="1"/>
    <col min="8974" max="8974" width="21.1640625" customWidth="1"/>
    <col min="8975" max="8975" width="16" customWidth="1"/>
    <col min="9221" max="9221" width="14.33203125" customWidth="1"/>
    <col min="9222" max="9222" width="15.33203125" customWidth="1"/>
    <col min="9223" max="9223" width="16.5" customWidth="1"/>
    <col min="9224" max="9224" width="12.5" customWidth="1"/>
    <col min="9225" max="9225" width="16.6640625" bestFit="1" customWidth="1"/>
    <col min="9226" max="9226" width="15.5" customWidth="1"/>
    <col min="9227" max="9227" width="13.33203125" customWidth="1"/>
    <col min="9228" max="9228" width="22.1640625" customWidth="1"/>
    <col min="9229" max="9229" width="14.5" customWidth="1"/>
    <col min="9230" max="9230" width="21.1640625" customWidth="1"/>
    <col min="9231" max="9231" width="16" customWidth="1"/>
    <col min="9477" max="9477" width="14.33203125" customWidth="1"/>
    <col min="9478" max="9478" width="15.33203125" customWidth="1"/>
    <col min="9479" max="9479" width="16.5" customWidth="1"/>
    <col min="9480" max="9480" width="12.5" customWidth="1"/>
    <col min="9481" max="9481" width="16.6640625" bestFit="1" customWidth="1"/>
    <col min="9482" max="9482" width="15.5" customWidth="1"/>
    <col min="9483" max="9483" width="13.33203125" customWidth="1"/>
    <col min="9484" max="9484" width="22.1640625" customWidth="1"/>
    <col min="9485" max="9485" width="14.5" customWidth="1"/>
    <col min="9486" max="9486" width="21.1640625" customWidth="1"/>
    <col min="9487" max="9487" width="16" customWidth="1"/>
    <col min="9733" max="9733" width="14.33203125" customWidth="1"/>
    <col min="9734" max="9734" width="15.33203125" customWidth="1"/>
    <col min="9735" max="9735" width="16.5" customWidth="1"/>
    <col min="9736" max="9736" width="12.5" customWidth="1"/>
    <col min="9737" max="9737" width="16.6640625" bestFit="1" customWidth="1"/>
    <col min="9738" max="9738" width="15.5" customWidth="1"/>
    <col min="9739" max="9739" width="13.33203125" customWidth="1"/>
    <col min="9740" max="9740" width="22.1640625" customWidth="1"/>
    <col min="9741" max="9741" width="14.5" customWidth="1"/>
    <col min="9742" max="9742" width="21.1640625" customWidth="1"/>
    <col min="9743" max="9743" width="16" customWidth="1"/>
    <col min="9989" max="9989" width="14.33203125" customWidth="1"/>
    <col min="9990" max="9990" width="15.33203125" customWidth="1"/>
    <col min="9991" max="9991" width="16.5" customWidth="1"/>
    <col min="9992" max="9992" width="12.5" customWidth="1"/>
    <col min="9993" max="9993" width="16.6640625" bestFit="1" customWidth="1"/>
    <col min="9994" max="9994" width="15.5" customWidth="1"/>
    <col min="9995" max="9995" width="13.33203125" customWidth="1"/>
    <col min="9996" max="9996" width="22.1640625" customWidth="1"/>
    <col min="9997" max="9997" width="14.5" customWidth="1"/>
    <col min="9998" max="9998" width="21.1640625" customWidth="1"/>
    <col min="9999" max="9999" width="16" customWidth="1"/>
    <col min="10245" max="10245" width="14.33203125" customWidth="1"/>
    <col min="10246" max="10246" width="15.33203125" customWidth="1"/>
    <col min="10247" max="10247" width="16.5" customWidth="1"/>
    <col min="10248" max="10248" width="12.5" customWidth="1"/>
    <col min="10249" max="10249" width="16.6640625" bestFit="1" customWidth="1"/>
    <col min="10250" max="10250" width="15.5" customWidth="1"/>
    <col min="10251" max="10251" width="13.33203125" customWidth="1"/>
    <col min="10252" max="10252" width="22.1640625" customWidth="1"/>
    <col min="10253" max="10253" width="14.5" customWidth="1"/>
    <col min="10254" max="10254" width="21.1640625" customWidth="1"/>
    <col min="10255" max="10255" width="16" customWidth="1"/>
    <col min="10501" max="10501" width="14.33203125" customWidth="1"/>
    <col min="10502" max="10502" width="15.33203125" customWidth="1"/>
    <col min="10503" max="10503" width="16.5" customWidth="1"/>
    <col min="10504" max="10504" width="12.5" customWidth="1"/>
    <col min="10505" max="10505" width="16.6640625" bestFit="1" customWidth="1"/>
    <col min="10506" max="10506" width="15.5" customWidth="1"/>
    <col min="10507" max="10507" width="13.33203125" customWidth="1"/>
    <col min="10508" max="10508" width="22.1640625" customWidth="1"/>
    <col min="10509" max="10509" width="14.5" customWidth="1"/>
    <col min="10510" max="10510" width="21.1640625" customWidth="1"/>
    <col min="10511" max="10511" width="16" customWidth="1"/>
    <col min="10757" max="10757" width="14.33203125" customWidth="1"/>
    <col min="10758" max="10758" width="15.33203125" customWidth="1"/>
    <col min="10759" max="10759" width="16.5" customWidth="1"/>
    <col min="10760" max="10760" width="12.5" customWidth="1"/>
    <col min="10761" max="10761" width="16.6640625" bestFit="1" customWidth="1"/>
    <col min="10762" max="10762" width="15.5" customWidth="1"/>
    <col min="10763" max="10763" width="13.33203125" customWidth="1"/>
    <col min="10764" max="10764" width="22.1640625" customWidth="1"/>
    <col min="10765" max="10765" width="14.5" customWidth="1"/>
    <col min="10766" max="10766" width="21.1640625" customWidth="1"/>
    <col min="10767" max="10767" width="16" customWidth="1"/>
    <col min="11013" max="11013" width="14.33203125" customWidth="1"/>
    <col min="11014" max="11014" width="15.33203125" customWidth="1"/>
    <col min="11015" max="11015" width="16.5" customWidth="1"/>
    <col min="11016" max="11016" width="12.5" customWidth="1"/>
    <col min="11017" max="11017" width="16.6640625" bestFit="1" customWidth="1"/>
    <col min="11018" max="11018" width="15.5" customWidth="1"/>
    <col min="11019" max="11019" width="13.33203125" customWidth="1"/>
    <col min="11020" max="11020" width="22.1640625" customWidth="1"/>
    <col min="11021" max="11021" width="14.5" customWidth="1"/>
    <col min="11022" max="11022" width="21.1640625" customWidth="1"/>
    <col min="11023" max="11023" width="16" customWidth="1"/>
    <col min="11269" max="11269" width="14.33203125" customWidth="1"/>
    <col min="11270" max="11270" width="15.33203125" customWidth="1"/>
    <col min="11271" max="11271" width="16.5" customWidth="1"/>
    <col min="11272" max="11272" width="12.5" customWidth="1"/>
    <col min="11273" max="11273" width="16.6640625" bestFit="1" customWidth="1"/>
    <col min="11274" max="11274" width="15.5" customWidth="1"/>
    <col min="11275" max="11275" width="13.33203125" customWidth="1"/>
    <col min="11276" max="11276" width="22.1640625" customWidth="1"/>
    <col min="11277" max="11277" width="14.5" customWidth="1"/>
    <col min="11278" max="11278" width="21.1640625" customWidth="1"/>
    <col min="11279" max="11279" width="16" customWidth="1"/>
    <col min="11525" max="11525" width="14.33203125" customWidth="1"/>
    <col min="11526" max="11526" width="15.33203125" customWidth="1"/>
    <col min="11527" max="11527" width="16.5" customWidth="1"/>
    <col min="11528" max="11528" width="12.5" customWidth="1"/>
    <col min="11529" max="11529" width="16.6640625" bestFit="1" customWidth="1"/>
    <col min="11530" max="11530" width="15.5" customWidth="1"/>
    <col min="11531" max="11531" width="13.33203125" customWidth="1"/>
    <col min="11532" max="11532" width="22.1640625" customWidth="1"/>
    <col min="11533" max="11533" width="14.5" customWidth="1"/>
    <col min="11534" max="11534" width="21.1640625" customWidth="1"/>
    <col min="11535" max="11535" width="16" customWidth="1"/>
    <col min="11781" max="11781" width="14.33203125" customWidth="1"/>
    <col min="11782" max="11782" width="15.33203125" customWidth="1"/>
    <col min="11783" max="11783" width="16.5" customWidth="1"/>
    <col min="11784" max="11784" width="12.5" customWidth="1"/>
    <col min="11785" max="11785" width="16.6640625" bestFit="1" customWidth="1"/>
    <col min="11786" max="11786" width="15.5" customWidth="1"/>
    <col min="11787" max="11787" width="13.33203125" customWidth="1"/>
    <col min="11788" max="11788" width="22.1640625" customWidth="1"/>
    <col min="11789" max="11789" width="14.5" customWidth="1"/>
    <col min="11790" max="11790" width="21.1640625" customWidth="1"/>
    <col min="11791" max="11791" width="16" customWidth="1"/>
    <col min="12037" max="12037" width="14.33203125" customWidth="1"/>
    <col min="12038" max="12038" width="15.33203125" customWidth="1"/>
    <col min="12039" max="12039" width="16.5" customWidth="1"/>
    <col min="12040" max="12040" width="12.5" customWidth="1"/>
    <col min="12041" max="12041" width="16.6640625" bestFit="1" customWidth="1"/>
    <col min="12042" max="12042" width="15.5" customWidth="1"/>
    <col min="12043" max="12043" width="13.33203125" customWidth="1"/>
    <col min="12044" max="12044" width="22.1640625" customWidth="1"/>
    <col min="12045" max="12045" width="14.5" customWidth="1"/>
    <col min="12046" max="12046" width="21.1640625" customWidth="1"/>
    <col min="12047" max="12047" width="16" customWidth="1"/>
    <col min="12293" max="12293" width="14.33203125" customWidth="1"/>
    <col min="12294" max="12294" width="15.33203125" customWidth="1"/>
    <col min="12295" max="12295" width="16.5" customWidth="1"/>
    <col min="12296" max="12296" width="12.5" customWidth="1"/>
    <col min="12297" max="12297" width="16.6640625" bestFit="1" customWidth="1"/>
    <col min="12298" max="12298" width="15.5" customWidth="1"/>
    <col min="12299" max="12299" width="13.33203125" customWidth="1"/>
    <col min="12300" max="12300" width="22.1640625" customWidth="1"/>
    <col min="12301" max="12301" width="14.5" customWidth="1"/>
    <col min="12302" max="12302" width="21.1640625" customWidth="1"/>
    <col min="12303" max="12303" width="16" customWidth="1"/>
    <col min="12549" max="12549" width="14.33203125" customWidth="1"/>
    <col min="12550" max="12550" width="15.33203125" customWidth="1"/>
    <col min="12551" max="12551" width="16.5" customWidth="1"/>
    <col min="12552" max="12552" width="12.5" customWidth="1"/>
    <col min="12553" max="12553" width="16.6640625" bestFit="1" customWidth="1"/>
    <col min="12554" max="12554" width="15.5" customWidth="1"/>
    <col min="12555" max="12555" width="13.33203125" customWidth="1"/>
    <col min="12556" max="12556" width="22.1640625" customWidth="1"/>
    <col min="12557" max="12557" width="14.5" customWidth="1"/>
    <col min="12558" max="12558" width="21.1640625" customWidth="1"/>
    <col min="12559" max="12559" width="16" customWidth="1"/>
    <col min="12805" max="12805" width="14.33203125" customWidth="1"/>
    <col min="12806" max="12806" width="15.33203125" customWidth="1"/>
    <col min="12807" max="12807" width="16.5" customWidth="1"/>
    <col min="12808" max="12808" width="12.5" customWidth="1"/>
    <col min="12809" max="12809" width="16.6640625" bestFit="1" customWidth="1"/>
    <col min="12810" max="12810" width="15.5" customWidth="1"/>
    <col min="12811" max="12811" width="13.33203125" customWidth="1"/>
    <col min="12812" max="12812" width="22.1640625" customWidth="1"/>
    <col min="12813" max="12813" width="14.5" customWidth="1"/>
    <col min="12814" max="12814" width="21.1640625" customWidth="1"/>
    <col min="12815" max="12815" width="16" customWidth="1"/>
    <col min="13061" max="13061" width="14.33203125" customWidth="1"/>
    <col min="13062" max="13062" width="15.33203125" customWidth="1"/>
    <col min="13063" max="13063" width="16.5" customWidth="1"/>
    <col min="13064" max="13064" width="12.5" customWidth="1"/>
    <col min="13065" max="13065" width="16.6640625" bestFit="1" customWidth="1"/>
    <col min="13066" max="13066" width="15.5" customWidth="1"/>
    <col min="13067" max="13067" width="13.33203125" customWidth="1"/>
    <col min="13068" max="13068" width="22.1640625" customWidth="1"/>
    <col min="13069" max="13069" width="14.5" customWidth="1"/>
    <col min="13070" max="13070" width="21.1640625" customWidth="1"/>
    <col min="13071" max="13071" width="16" customWidth="1"/>
    <col min="13317" max="13317" width="14.33203125" customWidth="1"/>
    <col min="13318" max="13318" width="15.33203125" customWidth="1"/>
    <col min="13319" max="13319" width="16.5" customWidth="1"/>
    <col min="13320" max="13320" width="12.5" customWidth="1"/>
    <col min="13321" max="13321" width="16.6640625" bestFit="1" customWidth="1"/>
    <col min="13322" max="13322" width="15.5" customWidth="1"/>
    <col min="13323" max="13323" width="13.33203125" customWidth="1"/>
    <col min="13324" max="13324" width="22.1640625" customWidth="1"/>
    <col min="13325" max="13325" width="14.5" customWidth="1"/>
    <col min="13326" max="13326" width="21.1640625" customWidth="1"/>
    <col min="13327" max="13327" width="16" customWidth="1"/>
    <col min="13573" max="13573" width="14.33203125" customWidth="1"/>
    <col min="13574" max="13574" width="15.33203125" customWidth="1"/>
    <col min="13575" max="13575" width="16.5" customWidth="1"/>
    <col min="13576" max="13576" width="12.5" customWidth="1"/>
    <col min="13577" max="13577" width="16.6640625" bestFit="1" customWidth="1"/>
    <col min="13578" max="13578" width="15.5" customWidth="1"/>
    <col min="13579" max="13579" width="13.33203125" customWidth="1"/>
    <col min="13580" max="13580" width="22.1640625" customWidth="1"/>
    <col min="13581" max="13581" width="14.5" customWidth="1"/>
    <col min="13582" max="13582" width="21.1640625" customWidth="1"/>
    <col min="13583" max="13583" width="16" customWidth="1"/>
    <col min="13829" max="13829" width="14.33203125" customWidth="1"/>
    <col min="13830" max="13830" width="15.33203125" customWidth="1"/>
    <col min="13831" max="13831" width="16.5" customWidth="1"/>
    <col min="13832" max="13832" width="12.5" customWidth="1"/>
    <col min="13833" max="13833" width="16.6640625" bestFit="1" customWidth="1"/>
    <col min="13834" max="13834" width="15.5" customWidth="1"/>
    <col min="13835" max="13835" width="13.33203125" customWidth="1"/>
    <col min="13836" max="13836" width="22.1640625" customWidth="1"/>
    <col min="13837" max="13837" width="14.5" customWidth="1"/>
    <col min="13838" max="13838" width="21.1640625" customWidth="1"/>
    <col min="13839" max="13839" width="16" customWidth="1"/>
    <col min="14085" max="14085" width="14.33203125" customWidth="1"/>
    <col min="14086" max="14086" width="15.33203125" customWidth="1"/>
    <col min="14087" max="14087" width="16.5" customWidth="1"/>
    <col min="14088" max="14088" width="12.5" customWidth="1"/>
    <col min="14089" max="14089" width="16.6640625" bestFit="1" customWidth="1"/>
    <col min="14090" max="14090" width="15.5" customWidth="1"/>
    <col min="14091" max="14091" width="13.33203125" customWidth="1"/>
    <col min="14092" max="14092" width="22.1640625" customWidth="1"/>
    <col min="14093" max="14093" width="14.5" customWidth="1"/>
    <col min="14094" max="14094" width="21.1640625" customWidth="1"/>
    <col min="14095" max="14095" width="16" customWidth="1"/>
    <col min="14341" max="14341" width="14.33203125" customWidth="1"/>
    <col min="14342" max="14342" width="15.33203125" customWidth="1"/>
    <col min="14343" max="14343" width="16.5" customWidth="1"/>
    <col min="14344" max="14344" width="12.5" customWidth="1"/>
    <col min="14345" max="14345" width="16.6640625" bestFit="1" customWidth="1"/>
    <col min="14346" max="14346" width="15.5" customWidth="1"/>
    <col min="14347" max="14347" width="13.33203125" customWidth="1"/>
    <col min="14348" max="14348" width="22.1640625" customWidth="1"/>
    <col min="14349" max="14349" width="14.5" customWidth="1"/>
    <col min="14350" max="14350" width="21.1640625" customWidth="1"/>
    <col min="14351" max="14351" width="16" customWidth="1"/>
    <col min="14597" max="14597" width="14.33203125" customWidth="1"/>
    <col min="14598" max="14598" width="15.33203125" customWidth="1"/>
    <col min="14599" max="14599" width="16.5" customWidth="1"/>
    <col min="14600" max="14600" width="12.5" customWidth="1"/>
    <col min="14601" max="14601" width="16.6640625" bestFit="1" customWidth="1"/>
    <col min="14602" max="14602" width="15.5" customWidth="1"/>
    <col min="14603" max="14603" width="13.33203125" customWidth="1"/>
    <col min="14604" max="14604" width="22.1640625" customWidth="1"/>
    <col min="14605" max="14605" width="14.5" customWidth="1"/>
    <col min="14606" max="14606" width="21.1640625" customWidth="1"/>
    <col min="14607" max="14607" width="16" customWidth="1"/>
    <col min="14853" max="14853" width="14.33203125" customWidth="1"/>
    <col min="14854" max="14854" width="15.33203125" customWidth="1"/>
    <col min="14855" max="14855" width="16.5" customWidth="1"/>
    <col min="14856" max="14856" width="12.5" customWidth="1"/>
    <col min="14857" max="14857" width="16.6640625" bestFit="1" customWidth="1"/>
    <col min="14858" max="14858" width="15.5" customWidth="1"/>
    <col min="14859" max="14859" width="13.33203125" customWidth="1"/>
    <col min="14860" max="14860" width="22.1640625" customWidth="1"/>
    <col min="14861" max="14861" width="14.5" customWidth="1"/>
    <col min="14862" max="14862" width="21.1640625" customWidth="1"/>
    <col min="14863" max="14863" width="16" customWidth="1"/>
    <col min="15109" max="15109" width="14.33203125" customWidth="1"/>
    <col min="15110" max="15110" width="15.33203125" customWidth="1"/>
    <col min="15111" max="15111" width="16.5" customWidth="1"/>
    <col min="15112" max="15112" width="12.5" customWidth="1"/>
    <col min="15113" max="15113" width="16.6640625" bestFit="1" customWidth="1"/>
    <col min="15114" max="15114" width="15.5" customWidth="1"/>
    <col min="15115" max="15115" width="13.33203125" customWidth="1"/>
    <col min="15116" max="15116" width="22.1640625" customWidth="1"/>
    <col min="15117" max="15117" width="14.5" customWidth="1"/>
    <col min="15118" max="15118" width="21.1640625" customWidth="1"/>
    <col min="15119" max="15119" width="16" customWidth="1"/>
    <col min="15365" max="15365" width="14.33203125" customWidth="1"/>
    <col min="15366" max="15366" width="15.33203125" customWidth="1"/>
    <col min="15367" max="15367" width="16.5" customWidth="1"/>
    <col min="15368" max="15368" width="12.5" customWidth="1"/>
    <col min="15369" max="15369" width="16.6640625" bestFit="1" customWidth="1"/>
    <col min="15370" max="15370" width="15.5" customWidth="1"/>
    <col min="15371" max="15371" width="13.33203125" customWidth="1"/>
    <col min="15372" max="15372" width="22.1640625" customWidth="1"/>
    <col min="15373" max="15373" width="14.5" customWidth="1"/>
    <col min="15374" max="15374" width="21.1640625" customWidth="1"/>
    <col min="15375" max="15375" width="16" customWidth="1"/>
    <col min="15621" max="15621" width="14.33203125" customWidth="1"/>
    <col min="15622" max="15622" width="15.33203125" customWidth="1"/>
    <col min="15623" max="15623" width="16.5" customWidth="1"/>
    <col min="15624" max="15624" width="12.5" customWidth="1"/>
    <col min="15625" max="15625" width="16.6640625" bestFit="1" customWidth="1"/>
    <col min="15626" max="15626" width="15.5" customWidth="1"/>
    <col min="15627" max="15627" width="13.33203125" customWidth="1"/>
    <col min="15628" max="15628" width="22.1640625" customWidth="1"/>
    <col min="15629" max="15629" width="14.5" customWidth="1"/>
    <col min="15630" max="15630" width="21.1640625" customWidth="1"/>
    <col min="15631" max="15631" width="16" customWidth="1"/>
    <col min="15877" max="15877" width="14.33203125" customWidth="1"/>
    <col min="15878" max="15878" width="15.33203125" customWidth="1"/>
    <col min="15879" max="15879" width="16.5" customWidth="1"/>
    <col min="15880" max="15880" width="12.5" customWidth="1"/>
    <col min="15881" max="15881" width="16.6640625" bestFit="1" customWidth="1"/>
    <col min="15882" max="15882" width="15.5" customWidth="1"/>
    <col min="15883" max="15883" width="13.33203125" customWidth="1"/>
    <col min="15884" max="15884" width="22.1640625" customWidth="1"/>
    <col min="15885" max="15885" width="14.5" customWidth="1"/>
    <col min="15886" max="15886" width="21.1640625" customWidth="1"/>
    <col min="15887" max="15887" width="16" customWidth="1"/>
    <col min="16133" max="16133" width="14.33203125" customWidth="1"/>
    <col min="16134" max="16134" width="15.33203125" customWidth="1"/>
    <col min="16135" max="16135" width="16.5" customWidth="1"/>
    <col min="16136" max="16136" width="12.5" customWidth="1"/>
    <col min="16137" max="16137" width="16.6640625" bestFit="1" customWidth="1"/>
    <col min="16138" max="16138" width="15.5" customWidth="1"/>
    <col min="16139" max="16139" width="13.33203125" customWidth="1"/>
    <col min="16140" max="16140" width="22.1640625" customWidth="1"/>
    <col min="16141" max="16141" width="14.5" customWidth="1"/>
    <col min="16142" max="16142" width="21.1640625" customWidth="1"/>
    <col min="16143" max="16143" width="16" customWidth="1"/>
  </cols>
  <sheetData>
    <row r="1" spans="1:47" x14ac:dyDescent="0.2">
      <c r="A1" s="1" t="s">
        <v>0</v>
      </c>
      <c r="M1" s="1" t="s">
        <v>1</v>
      </c>
    </row>
    <row r="2" spans="1:47" x14ac:dyDescent="0.2">
      <c r="E2" s="1" t="s">
        <v>2</v>
      </c>
      <c r="I2">
        <v>30</v>
      </c>
      <c r="J2" t="s">
        <v>3</v>
      </c>
      <c r="M2" s="1" t="s">
        <v>4</v>
      </c>
    </row>
    <row r="3" spans="1:47" x14ac:dyDescent="0.2">
      <c r="I3">
        <v>15</v>
      </c>
      <c r="J3" t="s">
        <v>3</v>
      </c>
      <c r="M3" t="s">
        <v>5</v>
      </c>
      <c r="N3" s="1"/>
    </row>
    <row r="4" spans="1:47" x14ac:dyDescent="0.2">
      <c r="D4" s="1" t="s">
        <v>6</v>
      </c>
      <c r="G4" s="180" t="s">
        <v>7</v>
      </c>
      <c r="H4" s="181"/>
      <c r="I4" s="174" t="s">
        <v>8</v>
      </c>
      <c r="J4" s="174"/>
      <c r="K4" s="182"/>
      <c r="L4" s="182"/>
      <c r="N4" s="1"/>
    </row>
    <row r="5" spans="1:47" x14ac:dyDescent="0.2">
      <c r="G5" s="2"/>
      <c r="H5" s="2"/>
      <c r="I5" s="164"/>
      <c r="J5" s="175"/>
      <c r="K5" s="182"/>
      <c r="L5" s="182"/>
      <c r="N5" s="1" t="s">
        <v>9</v>
      </c>
    </row>
    <row r="6" spans="1:47" x14ac:dyDescent="0.2">
      <c r="D6" s="174" t="s">
        <v>10</v>
      </c>
      <c r="E6" s="174"/>
      <c r="G6" s="3" t="s">
        <v>11</v>
      </c>
      <c r="H6" s="3" t="s">
        <v>12</v>
      </c>
      <c r="I6" s="4" t="s">
        <v>13</v>
      </c>
      <c r="J6" s="4" t="s">
        <v>14</v>
      </c>
      <c r="L6" s="2"/>
    </row>
    <row r="7" spans="1:47" x14ac:dyDescent="0.2">
      <c r="D7" s="2">
        <f>1/G7</f>
        <v>0.125</v>
      </c>
      <c r="E7" s="2">
        <f>1/H7</f>
        <v>0.125</v>
      </c>
      <c r="F7" s="1" t="s">
        <v>0</v>
      </c>
      <c r="G7" s="5">
        <v>8</v>
      </c>
      <c r="H7" s="5">
        <v>8</v>
      </c>
      <c r="I7" s="3">
        <f>G7/H7</f>
        <v>1</v>
      </c>
      <c r="J7" s="6">
        <f>H7/G7</f>
        <v>1</v>
      </c>
      <c r="K7" s="183"/>
      <c r="L7" s="184"/>
      <c r="N7" s="1" t="s">
        <v>15</v>
      </c>
    </row>
    <row r="8" spans="1:47" x14ac:dyDescent="0.2">
      <c r="D8" s="2">
        <f>1/G8</f>
        <v>0.25</v>
      </c>
      <c r="E8" s="2">
        <f>1/H8</f>
        <v>0.25</v>
      </c>
      <c r="F8" s="1" t="s">
        <v>16</v>
      </c>
      <c r="G8" s="7">
        <v>4</v>
      </c>
      <c r="H8" s="7">
        <v>4</v>
      </c>
      <c r="I8" s="3">
        <f>G8/H8</f>
        <v>1</v>
      </c>
      <c r="J8" s="6">
        <f>H8/G8</f>
        <v>1</v>
      </c>
      <c r="K8" s="183"/>
      <c r="L8" s="184"/>
      <c r="N8" t="s">
        <v>17</v>
      </c>
    </row>
    <row r="9" spans="1:47" x14ac:dyDescent="0.2">
      <c r="G9" s="179" t="s">
        <v>18</v>
      </c>
      <c r="H9" s="179"/>
      <c r="J9" s="1"/>
      <c r="N9" s="1" t="s">
        <v>19</v>
      </c>
    </row>
    <row r="10" spans="1:47" x14ac:dyDescent="0.2">
      <c r="A10" s="1" t="s">
        <v>20</v>
      </c>
      <c r="N10" s="1" t="s">
        <v>21</v>
      </c>
    </row>
    <row r="11" spans="1:47" x14ac:dyDescent="0.2">
      <c r="N11" t="s">
        <v>22</v>
      </c>
    </row>
    <row r="12" spans="1:47" x14ac:dyDescent="0.2">
      <c r="A12" t="s">
        <v>23</v>
      </c>
    </row>
    <row r="13" spans="1:47" ht="23" x14ac:dyDescent="0.25">
      <c r="A13" t="s">
        <v>24</v>
      </c>
      <c r="Q13" s="8"/>
      <c r="V13" s="9" t="s">
        <v>25</v>
      </c>
    </row>
    <row r="14" spans="1:47" x14ac:dyDescent="0.2">
      <c r="G14" s="1" t="s">
        <v>26</v>
      </c>
      <c r="Q14" s="1"/>
    </row>
    <row r="15" spans="1:47" x14ac:dyDescent="0.2">
      <c r="G15" s="171" t="s">
        <v>27</v>
      </c>
      <c r="H15" s="172"/>
      <c r="I15" s="171"/>
      <c r="J15" s="172"/>
      <c r="K15" s="164" t="s">
        <v>28</v>
      </c>
      <c r="L15" s="165"/>
      <c r="M15" s="10"/>
    </row>
    <row r="16" spans="1:47" x14ac:dyDescent="0.2">
      <c r="G16" s="3"/>
      <c r="H16" s="3"/>
      <c r="I16" s="173"/>
      <c r="J16" s="165"/>
      <c r="K16" s="4" t="s">
        <v>29</v>
      </c>
      <c r="L16" s="4" t="s">
        <v>30</v>
      </c>
      <c r="AQ16">
        <v>15</v>
      </c>
      <c r="AR16" t="s">
        <v>3</v>
      </c>
      <c r="AU16" t="s">
        <v>5</v>
      </c>
    </row>
    <row r="17" spans="1:47" ht="23" x14ac:dyDescent="0.25">
      <c r="A17" s="1" t="s">
        <v>31</v>
      </c>
      <c r="G17" s="3" t="s">
        <v>11</v>
      </c>
      <c r="H17" s="3" t="s">
        <v>12</v>
      </c>
      <c r="I17" s="3"/>
      <c r="J17" s="3"/>
      <c r="K17" s="3"/>
      <c r="L17" s="3"/>
      <c r="U17" s="9" t="s">
        <v>32</v>
      </c>
      <c r="AL17" s="1" t="s">
        <v>6</v>
      </c>
      <c r="AO17" s="180" t="s">
        <v>7</v>
      </c>
      <c r="AP17" s="181"/>
      <c r="AQ17" s="174" t="s">
        <v>8</v>
      </c>
      <c r="AR17" s="174"/>
      <c r="AS17" s="182"/>
      <c r="AT17" s="182"/>
    </row>
    <row r="18" spans="1:47" x14ac:dyDescent="0.2">
      <c r="F18" t="str">
        <f>F7</f>
        <v>iraque</v>
      </c>
      <c r="G18" s="3">
        <f>I3/I2*G7</f>
        <v>4</v>
      </c>
      <c r="H18" s="11">
        <f>I3/I2*H7</f>
        <v>4</v>
      </c>
      <c r="I18" s="3"/>
      <c r="J18" s="3"/>
      <c r="K18" s="3">
        <f>G18/G7</f>
        <v>0.5</v>
      </c>
      <c r="L18" s="3">
        <f>H18/H7</f>
        <v>0.5</v>
      </c>
      <c r="AO18" s="2"/>
      <c r="AP18" s="2"/>
      <c r="AQ18" s="164"/>
      <c r="AR18" s="175"/>
      <c r="AS18" s="182"/>
      <c r="AT18" s="182"/>
    </row>
    <row r="19" spans="1:47" x14ac:dyDescent="0.2">
      <c r="F19" t="str">
        <f>F8</f>
        <v>iran</v>
      </c>
      <c r="G19" s="3">
        <f>I3/I2*G8</f>
        <v>2</v>
      </c>
      <c r="H19" s="11">
        <f>I3/I2*H8</f>
        <v>2</v>
      </c>
      <c r="I19" s="3"/>
      <c r="J19" s="3"/>
      <c r="K19" s="3">
        <f>G19/G8</f>
        <v>0.5</v>
      </c>
      <c r="L19" s="3">
        <f>H19/H8</f>
        <v>0.5</v>
      </c>
      <c r="AL19" s="174" t="s">
        <v>10</v>
      </c>
      <c r="AM19" s="174"/>
      <c r="AO19" s="4" t="s">
        <v>33</v>
      </c>
      <c r="AP19" s="4" t="s">
        <v>34</v>
      </c>
      <c r="AQ19" s="4" t="s">
        <v>13</v>
      </c>
      <c r="AR19" s="4" t="s">
        <v>14</v>
      </c>
      <c r="AT19" s="2"/>
    </row>
    <row r="20" spans="1:47" ht="16" thickBot="1" x14ac:dyDescent="0.25">
      <c r="G20" s="12">
        <f>+G18+G19</f>
        <v>6</v>
      </c>
      <c r="H20" s="12">
        <f>+H18+H19</f>
        <v>6</v>
      </c>
      <c r="I20">
        <f>G20+H20</f>
        <v>12</v>
      </c>
      <c r="N20" s="1"/>
      <c r="AL20" s="2">
        <f>1/AO20</f>
        <v>0.125</v>
      </c>
      <c r="AM20" s="2">
        <f>1/AP20</f>
        <v>0.125</v>
      </c>
      <c r="AN20" s="1" t="s">
        <v>35</v>
      </c>
      <c r="AO20" s="5">
        <v>8</v>
      </c>
      <c r="AP20" s="5">
        <v>8</v>
      </c>
      <c r="AQ20" s="3">
        <f>AO20/AP20</f>
        <v>1</v>
      </c>
      <c r="AR20" s="3">
        <f>AP20/AO20</f>
        <v>1</v>
      </c>
      <c r="AS20" s="164"/>
      <c r="AT20" s="175"/>
    </row>
    <row r="21" spans="1:47" x14ac:dyDescent="0.2">
      <c r="A21" t="s">
        <v>36</v>
      </c>
      <c r="J21" s="1"/>
      <c r="N21" s="13"/>
      <c r="O21" s="176"/>
      <c r="AL21" s="2">
        <f>1/AO21</f>
        <v>0.25</v>
      </c>
      <c r="AM21" s="2">
        <f>1/AP21</f>
        <v>0.25</v>
      </c>
      <c r="AN21" s="1" t="s">
        <v>37</v>
      </c>
      <c r="AO21" s="7">
        <v>4</v>
      </c>
      <c r="AP21" s="7">
        <v>4</v>
      </c>
      <c r="AQ21" s="3">
        <f>AO21/AP21</f>
        <v>1</v>
      </c>
      <c r="AR21" s="3">
        <f>AP21/AO21</f>
        <v>1</v>
      </c>
      <c r="AS21" s="164"/>
      <c r="AT21" s="175"/>
    </row>
    <row r="22" spans="1:47" x14ac:dyDescent="0.2">
      <c r="J22" s="14"/>
      <c r="N22" s="15"/>
      <c r="O22" s="177"/>
      <c r="AO22" s="179" t="s">
        <v>18</v>
      </c>
      <c r="AP22" s="179"/>
      <c r="AR22" s="1"/>
    </row>
    <row r="23" spans="1:47" x14ac:dyDescent="0.2">
      <c r="G23" s="164" t="s">
        <v>38</v>
      </c>
      <c r="H23" s="165"/>
      <c r="I23" s="3" t="s">
        <v>39</v>
      </c>
      <c r="J23" s="171" t="s">
        <v>40</v>
      </c>
      <c r="K23" s="172"/>
      <c r="N23" s="15"/>
      <c r="O23" s="177"/>
      <c r="AI23" s="1" t="s">
        <v>20</v>
      </c>
    </row>
    <row r="24" spans="1:47" ht="16" thickBot="1" x14ac:dyDescent="0.25">
      <c r="G24" s="3"/>
      <c r="H24" s="3"/>
      <c r="I24" s="3"/>
      <c r="J24" s="164"/>
      <c r="K24" s="165"/>
      <c r="N24" s="15"/>
      <c r="O24" s="178"/>
    </row>
    <row r="25" spans="1:47" x14ac:dyDescent="0.2">
      <c r="G25" s="3" t="s">
        <v>11</v>
      </c>
      <c r="H25" s="3" t="s">
        <v>12</v>
      </c>
      <c r="I25" s="3"/>
      <c r="J25" s="4" t="s">
        <v>32</v>
      </c>
      <c r="K25" s="4" t="s">
        <v>34</v>
      </c>
      <c r="AI25" t="s">
        <v>23</v>
      </c>
    </row>
    <row r="26" spans="1:47" x14ac:dyDescent="0.2">
      <c r="D26">
        <f>G26*D7</f>
        <v>1</v>
      </c>
      <c r="E26">
        <f>H26*E7</f>
        <v>0</v>
      </c>
      <c r="F26" t="str">
        <f>F7</f>
        <v>iraque</v>
      </c>
      <c r="G26" s="16">
        <v>8</v>
      </c>
      <c r="H26" s="3">
        <v>0</v>
      </c>
      <c r="I26" s="16"/>
      <c r="J26" s="17">
        <v>6</v>
      </c>
      <c r="K26" s="16">
        <v>2</v>
      </c>
      <c r="L26" s="13"/>
      <c r="M26" s="1"/>
      <c r="AI26" t="s">
        <v>24</v>
      </c>
    </row>
    <row r="27" spans="1:47" x14ac:dyDescent="0.2">
      <c r="D27">
        <f>G27*D8</f>
        <v>0</v>
      </c>
      <c r="E27">
        <f>H27*E8</f>
        <v>1</v>
      </c>
      <c r="F27" t="str">
        <f>F8</f>
        <v>iran</v>
      </c>
      <c r="G27" s="16">
        <v>0</v>
      </c>
      <c r="H27" s="3">
        <v>4</v>
      </c>
      <c r="I27" s="16"/>
      <c r="J27" s="17">
        <v>2</v>
      </c>
      <c r="K27" s="16">
        <v>2</v>
      </c>
      <c r="L27" s="18"/>
      <c r="AO27" s="1" t="s">
        <v>26</v>
      </c>
    </row>
    <row r="28" spans="1:47" ht="16" x14ac:dyDescent="0.2">
      <c r="F28" s="1"/>
      <c r="G28" s="19">
        <f>G27+G26</f>
        <v>8</v>
      </c>
      <c r="H28" s="19">
        <f>H27+H26</f>
        <v>4</v>
      </c>
      <c r="I28" s="19">
        <f>G28+H28</f>
        <v>12</v>
      </c>
      <c r="J28" s="18">
        <f>SUM(J26:J27)</f>
        <v>8</v>
      </c>
      <c r="K28" s="18">
        <f>SUM(K26:K27)</f>
        <v>4</v>
      </c>
      <c r="L28" s="19">
        <f>J28+K28</f>
        <v>12</v>
      </c>
      <c r="M28" s="18"/>
      <c r="N28" s="20"/>
      <c r="AD28" s="21" t="s">
        <v>42</v>
      </c>
      <c r="AF28" s="22" t="s">
        <v>43</v>
      </c>
      <c r="AO28" s="171" t="s">
        <v>27</v>
      </c>
      <c r="AP28" s="172"/>
      <c r="AQ28" s="171"/>
      <c r="AR28" s="172"/>
      <c r="AS28" s="164" t="s">
        <v>28</v>
      </c>
      <c r="AT28" s="165"/>
      <c r="AU28" s="10"/>
    </row>
    <row r="29" spans="1:47" ht="16" x14ac:dyDescent="0.2">
      <c r="F29" s="1"/>
      <c r="G29" s="19"/>
      <c r="H29" s="19"/>
      <c r="J29" s="170"/>
      <c r="K29" s="170"/>
      <c r="L29" s="23"/>
      <c r="M29" s="20"/>
      <c r="N29" s="20"/>
      <c r="AD29" s="22" t="s">
        <v>45</v>
      </c>
      <c r="AE29" s="22" t="s">
        <v>46</v>
      </c>
      <c r="AF29" s="22" t="s">
        <v>45</v>
      </c>
      <c r="AG29" s="22" t="s">
        <v>47</v>
      </c>
      <c r="AO29" s="3"/>
      <c r="AP29" s="3"/>
      <c r="AQ29" s="173"/>
      <c r="AR29" s="165"/>
      <c r="AS29" s="4" t="s">
        <v>29</v>
      </c>
      <c r="AT29" s="4" t="s">
        <v>30</v>
      </c>
    </row>
    <row r="30" spans="1:47" ht="16" x14ac:dyDescent="0.2">
      <c r="F30" s="1"/>
      <c r="G30" s="19"/>
      <c r="H30" s="19"/>
      <c r="J30" s="10"/>
      <c r="K30" s="10"/>
      <c r="L30" s="18"/>
      <c r="M30" s="20"/>
      <c r="N30" s="20"/>
      <c r="AD30" s="21">
        <v>0</v>
      </c>
      <c r="AE30" s="21">
        <v>8</v>
      </c>
      <c r="AF30" s="21">
        <v>0</v>
      </c>
      <c r="AG30" s="21">
        <v>4</v>
      </c>
      <c r="AI30" s="1" t="s">
        <v>31</v>
      </c>
      <c r="AO30" s="4" t="s">
        <v>33</v>
      </c>
      <c r="AP30" s="4" t="s">
        <v>34</v>
      </c>
      <c r="AQ30" s="3"/>
      <c r="AR30" s="3"/>
      <c r="AS30" s="4" t="s">
        <v>33</v>
      </c>
      <c r="AT30" s="4" t="s">
        <v>34</v>
      </c>
    </row>
    <row r="31" spans="1:47" ht="16" x14ac:dyDescent="0.2">
      <c r="F31" s="1"/>
      <c r="G31" s="19"/>
      <c r="H31" s="19"/>
      <c r="J31" s="10"/>
      <c r="K31" s="10"/>
      <c r="L31" s="18"/>
      <c r="M31" s="20"/>
      <c r="N31" s="20"/>
      <c r="AD31" s="21">
        <v>2</v>
      </c>
      <c r="AE31" s="21">
        <v>6</v>
      </c>
      <c r="AF31" s="21">
        <v>1</v>
      </c>
      <c r="AG31" s="21">
        <v>3</v>
      </c>
      <c r="AN31" t="str">
        <f>AN20</f>
        <v>Iraque</v>
      </c>
      <c r="AO31" s="3">
        <f>AO20/2</f>
        <v>4</v>
      </c>
      <c r="AP31" s="3">
        <f>AP20/2</f>
        <v>4</v>
      </c>
      <c r="AQ31" s="3"/>
      <c r="AR31" s="3"/>
      <c r="AS31" s="3"/>
      <c r="AT31" s="3"/>
    </row>
    <row r="32" spans="1:47" ht="16" x14ac:dyDescent="0.2">
      <c r="J32" s="18"/>
      <c r="K32" s="18"/>
      <c r="N32" s="20"/>
      <c r="AD32" s="21">
        <v>4</v>
      </c>
      <c r="AE32" s="21">
        <v>4</v>
      </c>
      <c r="AF32" s="21">
        <v>2</v>
      </c>
      <c r="AG32" s="21">
        <v>2</v>
      </c>
      <c r="AN32" t="str">
        <f>AN21</f>
        <v>Irã</v>
      </c>
      <c r="AO32" s="3">
        <f>AO21/2</f>
        <v>2</v>
      </c>
      <c r="AP32" s="3">
        <f>AP21/2</f>
        <v>2</v>
      </c>
      <c r="AQ32" s="3"/>
      <c r="AR32" s="3"/>
      <c r="AS32" s="3"/>
      <c r="AT32" s="3"/>
    </row>
    <row r="33" spans="3:47" ht="16" x14ac:dyDescent="0.2">
      <c r="E33" s="1"/>
      <c r="AD33" s="21">
        <v>6</v>
      </c>
      <c r="AE33" s="21">
        <v>2</v>
      </c>
      <c r="AF33" s="21">
        <v>3</v>
      </c>
      <c r="AG33" s="21">
        <v>1</v>
      </c>
      <c r="AO33" s="12">
        <f>+AO31+AO32</f>
        <v>6</v>
      </c>
      <c r="AP33" s="12">
        <f>+AP31+AP32</f>
        <v>6</v>
      </c>
      <c r="AQ33">
        <f>AO33+AP33</f>
        <v>12</v>
      </c>
    </row>
    <row r="34" spans="3:47" ht="18" x14ac:dyDescent="0.2">
      <c r="Y34" s="24"/>
      <c r="AD34" s="21">
        <v>8</v>
      </c>
      <c r="AE34" s="21">
        <v>0</v>
      </c>
      <c r="AF34" s="21">
        <v>4</v>
      </c>
      <c r="AG34" s="21">
        <v>0</v>
      </c>
      <c r="AI34" t="s">
        <v>36</v>
      </c>
      <c r="AR34" s="1"/>
    </row>
    <row r="35" spans="3:47" x14ac:dyDescent="0.2">
      <c r="C35" s="1" t="s">
        <v>48</v>
      </c>
      <c r="AR35" s="14"/>
    </row>
    <row r="36" spans="3:47" x14ac:dyDescent="0.2">
      <c r="C36" s="1" t="s">
        <v>49</v>
      </c>
      <c r="N36">
        <f>1/8</f>
        <v>0.125</v>
      </c>
      <c r="AO36" s="164" t="s">
        <v>38</v>
      </c>
      <c r="AP36" s="165"/>
      <c r="AQ36" s="3" t="s">
        <v>39</v>
      </c>
      <c r="AR36" s="171" t="s">
        <v>40</v>
      </c>
      <c r="AS36" s="172"/>
    </row>
    <row r="37" spans="3:47" ht="24" thickBot="1" x14ac:dyDescent="0.3">
      <c r="C37" t="s">
        <v>50</v>
      </c>
      <c r="R37" s="9"/>
      <c r="AO37" s="3"/>
      <c r="AP37" s="3"/>
      <c r="AQ37" s="3"/>
      <c r="AR37" s="164" t="s">
        <v>41</v>
      </c>
      <c r="AS37" s="165"/>
    </row>
    <row r="38" spans="3:47" x14ac:dyDescent="0.2">
      <c r="L38" s="166" t="s">
        <v>0</v>
      </c>
      <c r="M38" s="167"/>
      <c r="N38" s="168" t="s">
        <v>16</v>
      </c>
      <c r="O38" s="169"/>
      <c r="AO38" s="4" t="s">
        <v>33</v>
      </c>
      <c r="AP38" s="4" t="s">
        <v>34</v>
      </c>
      <c r="AQ38" s="3"/>
      <c r="AR38" s="4" t="s">
        <v>33</v>
      </c>
      <c r="AS38" s="4" t="s">
        <v>34</v>
      </c>
    </row>
    <row r="39" spans="3:47" x14ac:dyDescent="0.2">
      <c r="C39" s="1" t="s">
        <v>51</v>
      </c>
      <c r="L39" s="25" t="s">
        <v>32</v>
      </c>
      <c r="M39" s="26" t="s">
        <v>34</v>
      </c>
      <c r="N39" s="27" t="str">
        <f>L39</f>
        <v>petroleo</v>
      </c>
      <c r="O39" s="28" t="str">
        <f>M39</f>
        <v>azeite</v>
      </c>
      <c r="AL39">
        <f>AO39*AL20</f>
        <v>1</v>
      </c>
      <c r="AM39">
        <f>AP39*AM20</f>
        <v>0</v>
      </c>
      <c r="AN39" t="str">
        <f>AN20</f>
        <v>Iraque</v>
      </c>
      <c r="AO39" s="16">
        <v>8</v>
      </c>
      <c r="AP39" s="3">
        <v>0</v>
      </c>
      <c r="AQ39" s="16"/>
      <c r="AR39" s="17">
        <v>4</v>
      </c>
      <c r="AS39" s="16">
        <v>4</v>
      </c>
      <c r="AT39" s="13"/>
      <c r="AU39" s="1"/>
    </row>
    <row r="40" spans="3:47" x14ac:dyDescent="0.2">
      <c r="K40" s="19">
        <v>0</v>
      </c>
      <c r="L40" s="29">
        <f>G7</f>
        <v>8</v>
      </c>
      <c r="M40" s="30">
        <f>((8-($H$7*L40)/$G$7))</f>
        <v>0</v>
      </c>
      <c r="N40" s="31">
        <f>G8</f>
        <v>4</v>
      </c>
      <c r="O40" s="30">
        <f>((4-($H$8*N40)/$G$8))</f>
        <v>0</v>
      </c>
      <c r="P40" s="32">
        <f>L40+N40</f>
        <v>12</v>
      </c>
      <c r="Q40" s="32">
        <f>M40+O40</f>
        <v>0</v>
      </c>
      <c r="AL40">
        <f>AO40*AL21</f>
        <v>0</v>
      </c>
      <c r="AM40">
        <f>AP40*AM21</f>
        <v>1</v>
      </c>
      <c r="AN40" t="str">
        <f>AN21</f>
        <v>Irã</v>
      </c>
      <c r="AO40" s="16">
        <v>0</v>
      </c>
      <c r="AP40" s="3">
        <v>4</v>
      </c>
      <c r="AQ40" s="16"/>
      <c r="AR40" s="17">
        <v>2</v>
      </c>
      <c r="AS40" s="16">
        <v>2</v>
      </c>
      <c r="AT40" s="18"/>
    </row>
    <row r="41" spans="3:47" x14ac:dyDescent="0.2">
      <c r="C41" s="2"/>
      <c r="D41" s="33" t="s">
        <v>52</v>
      </c>
      <c r="E41" s="2"/>
      <c r="K41" s="19">
        <v>1</v>
      </c>
      <c r="L41" s="34">
        <f>L40-1</f>
        <v>7</v>
      </c>
      <c r="M41" s="30">
        <f t="shared" ref="M41:M48" si="0">((8-($H$7*L41)/$G$7))</f>
        <v>1</v>
      </c>
      <c r="N41" s="31">
        <f>N40-0.5</f>
        <v>3.5</v>
      </c>
      <c r="O41" s="30">
        <f t="shared" ref="O41:O48" si="1">((4-($H$8*N41)/$G$8))</f>
        <v>0.5</v>
      </c>
      <c r="P41" s="32">
        <f t="shared" ref="P41:Q48" si="2">L41+N41</f>
        <v>10.5</v>
      </c>
      <c r="Q41" s="32">
        <f t="shared" si="2"/>
        <v>1.5</v>
      </c>
      <c r="AN41" s="1"/>
      <c r="AO41" s="19">
        <f>AO40+AO39</f>
        <v>8</v>
      </c>
      <c r="AP41" s="19">
        <f>AP40+AP39</f>
        <v>4</v>
      </c>
      <c r="AQ41" s="18">
        <f>AO41+AP41</f>
        <v>12</v>
      </c>
      <c r="AR41" s="18">
        <f>SUM(AR39:AR40)</f>
        <v>6</v>
      </c>
      <c r="AS41" s="18">
        <f>SUM(AS39:AS40)</f>
        <v>6</v>
      </c>
      <c r="AT41" s="18">
        <f>AR41+AS41</f>
        <v>12</v>
      </c>
      <c r="AU41" s="18"/>
    </row>
    <row r="42" spans="3:47" x14ac:dyDescent="0.2">
      <c r="C42" s="2"/>
      <c r="D42" s="35" t="s">
        <v>53</v>
      </c>
      <c r="E42" s="36"/>
      <c r="K42" s="19">
        <v>2</v>
      </c>
      <c r="L42" s="34">
        <f t="shared" ref="L42:L48" si="3">L41-1</f>
        <v>6</v>
      </c>
      <c r="M42" s="30">
        <f t="shared" si="0"/>
        <v>2</v>
      </c>
      <c r="N42" s="31">
        <f t="shared" ref="N42:N48" si="4">N41-0.5</f>
        <v>3</v>
      </c>
      <c r="O42" s="30">
        <f t="shared" si="1"/>
        <v>1</v>
      </c>
      <c r="P42" s="32">
        <f t="shared" si="2"/>
        <v>9</v>
      </c>
      <c r="Q42" s="32">
        <f t="shared" si="2"/>
        <v>3</v>
      </c>
      <c r="AN42" s="1"/>
      <c r="AO42" s="19"/>
      <c r="AP42" s="19"/>
      <c r="AR42" s="170" t="s">
        <v>44</v>
      </c>
      <c r="AS42" s="170"/>
      <c r="AT42" s="23">
        <f>AT41-AQ33</f>
        <v>0</v>
      </c>
      <c r="AU42" s="20"/>
    </row>
    <row r="43" spans="3:47" x14ac:dyDescent="0.2">
      <c r="C43" s="3"/>
      <c r="D43" s="4" t="s">
        <v>54</v>
      </c>
      <c r="E43" s="3"/>
      <c r="K43" s="19">
        <v>3</v>
      </c>
      <c r="L43" s="34">
        <f t="shared" si="3"/>
        <v>5</v>
      </c>
      <c r="M43" s="30">
        <f t="shared" si="0"/>
        <v>3</v>
      </c>
      <c r="N43" s="31">
        <f t="shared" si="4"/>
        <v>2.5</v>
      </c>
      <c r="O43" s="30">
        <f t="shared" si="1"/>
        <v>1.5</v>
      </c>
      <c r="P43" s="32">
        <f t="shared" si="2"/>
        <v>7.5</v>
      </c>
      <c r="Q43" s="32">
        <f t="shared" si="2"/>
        <v>4.5</v>
      </c>
      <c r="AN43" s="1"/>
      <c r="AO43" s="19">
        <v>5.5</v>
      </c>
      <c r="AP43" s="19">
        <v>9</v>
      </c>
      <c r="AR43" s="37">
        <f>AR39-AO31</f>
        <v>0</v>
      </c>
      <c r="AS43" s="37">
        <f>AS39-AP31</f>
        <v>0</v>
      </c>
      <c r="AT43" s="18"/>
      <c r="AU43" s="20"/>
    </row>
    <row r="44" spans="3:47" x14ac:dyDescent="0.2">
      <c r="C44" s="3"/>
      <c r="D44" s="4" t="s">
        <v>32</v>
      </c>
      <c r="E44" s="4" t="s">
        <v>34</v>
      </c>
      <c r="G44" s="4" t="s">
        <v>32</v>
      </c>
      <c r="H44" s="4" t="s">
        <v>34</v>
      </c>
      <c r="K44" s="19">
        <v>4</v>
      </c>
      <c r="L44" s="34">
        <f t="shared" si="3"/>
        <v>4</v>
      </c>
      <c r="M44" s="30">
        <f t="shared" si="0"/>
        <v>4</v>
      </c>
      <c r="N44" s="31">
        <f t="shared" si="4"/>
        <v>2</v>
      </c>
      <c r="O44" s="30">
        <f t="shared" si="1"/>
        <v>2</v>
      </c>
      <c r="P44" s="32">
        <f t="shared" si="2"/>
        <v>6</v>
      </c>
      <c r="Q44" s="32">
        <f t="shared" si="2"/>
        <v>6</v>
      </c>
      <c r="AN44" s="1"/>
      <c r="AO44" s="19">
        <v>0</v>
      </c>
      <c r="AP44" s="19">
        <f>AP40</f>
        <v>4</v>
      </c>
      <c r="AR44" s="37">
        <f>AR40-AO32</f>
        <v>0</v>
      </c>
      <c r="AS44" s="37">
        <f>AS40-AP32</f>
        <v>0</v>
      </c>
      <c r="AT44" s="18"/>
      <c r="AU44" s="20"/>
    </row>
    <row r="45" spans="3:47" x14ac:dyDescent="0.2">
      <c r="C45" s="38" t="s">
        <v>0</v>
      </c>
      <c r="D45" s="39">
        <v>10</v>
      </c>
      <c r="E45" s="39">
        <v>20</v>
      </c>
      <c r="G45" s="19" t="s">
        <v>55</v>
      </c>
      <c r="H45" s="19" t="s">
        <v>56</v>
      </c>
      <c r="K45" s="19">
        <v>5</v>
      </c>
      <c r="L45" s="34">
        <f t="shared" si="3"/>
        <v>3</v>
      </c>
      <c r="M45" s="30">
        <f t="shared" si="0"/>
        <v>5</v>
      </c>
      <c r="N45" s="31">
        <f t="shared" si="4"/>
        <v>1.5</v>
      </c>
      <c r="O45" s="30">
        <f t="shared" si="1"/>
        <v>2.5</v>
      </c>
      <c r="P45" s="32">
        <f t="shared" si="2"/>
        <v>4.5</v>
      </c>
      <c r="Q45" s="32">
        <f t="shared" si="2"/>
        <v>7.5</v>
      </c>
      <c r="AR45" s="18">
        <f>SUM(AR43:AR44)</f>
        <v>0</v>
      </c>
      <c r="AS45" s="18">
        <f>SUM(AS43:AS44)</f>
        <v>0</v>
      </c>
    </row>
    <row r="46" spans="3:47" x14ac:dyDescent="0.2">
      <c r="C46" s="4" t="s">
        <v>16</v>
      </c>
      <c r="D46" s="40">
        <v>1</v>
      </c>
      <c r="E46" s="40">
        <v>8</v>
      </c>
      <c r="G46" s="19" t="s">
        <v>57</v>
      </c>
      <c r="H46" s="19" t="s">
        <v>58</v>
      </c>
      <c r="K46" s="19">
        <v>6</v>
      </c>
      <c r="L46" s="34">
        <f t="shared" si="3"/>
        <v>2</v>
      </c>
      <c r="M46" s="30">
        <f t="shared" si="0"/>
        <v>6</v>
      </c>
      <c r="N46" s="31">
        <f t="shared" si="4"/>
        <v>1</v>
      </c>
      <c r="O46" s="30">
        <f t="shared" si="1"/>
        <v>3</v>
      </c>
      <c r="P46" s="32">
        <f t="shared" si="2"/>
        <v>3</v>
      </c>
      <c r="Q46" s="32">
        <f t="shared" si="2"/>
        <v>9</v>
      </c>
    </row>
    <row r="47" spans="3:47" x14ac:dyDescent="0.2">
      <c r="K47" s="19">
        <v>7</v>
      </c>
      <c r="L47" s="34">
        <f t="shared" si="3"/>
        <v>1</v>
      </c>
      <c r="M47" s="30">
        <f t="shared" si="0"/>
        <v>7</v>
      </c>
      <c r="N47" s="31">
        <f t="shared" si="4"/>
        <v>0.5</v>
      </c>
      <c r="O47" s="30">
        <f t="shared" si="1"/>
        <v>3.5</v>
      </c>
      <c r="P47" s="32">
        <f t="shared" si="2"/>
        <v>1.5</v>
      </c>
      <c r="Q47" s="32">
        <f t="shared" si="2"/>
        <v>10.5</v>
      </c>
    </row>
    <row r="48" spans="3:47" x14ac:dyDescent="0.2">
      <c r="K48" s="19">
        <v>8</v>
      </c>
      <c r="L48" s="34">
        <f t="shared" si="3"/>
        <v>0</v>
      </c>
      <c r="M48" s="30">
        <f t="shared" si="0"/>
        <v>8</v>
      </c>
      <c r="N48" s="31">
        <f t="shared" si="4"/>
        <v>0</v>
      </c>
      <c r="O48" s="30">
        <f t="shared" si="1"/>
        <v>4</v>
      </c>
      <c r="P48" s="32">
        <f t="shared" si="2"/>
        <v>0</v>
      </c>
      <c r="Q48" s="32">
        <f t="shared" si="2"/>
        <v>12</v>
      </c>
    </row>
    <row r="49" spans="3:24" x14ac:dyDescent="0.2">
      <c r="C49" s="1" t="s">
        <v>59</v>
      </c>
    </row>
    <row r="50" spans="3:24" x14ac:dyDescent="0.2">
      <c r="C50" s="1" t="s">
        <v>60</v>
      </c>
    </row>
    <row r="51" spans="3:24" x14ac:dyDescent="0.2">
      <c r="C51" s="1" t="s">
        <v>61</v>
      </c>
    </row>
    <row r="52" spans="3:24" x14ac:dyDescent="0.2">
      <c r="C52" s="1" t="s">
        <v>62</v>
      </c>
      <c r="L52">
        <f>8/8</f>
        <v>1</v>
      </c>
    </row>
    <row r="53" spans="3:24" x14ac:dyDescent="0.2">
      <c r="O53">
        <f>30/8</f>
        <v>3.75</v>
      </c>
    </row>
    <row r="55" spans="3:24" ht="18" x14ac:dyDescent="0.2">
      <c r="X55" s="24" t="s">
        <v>34</v>
      </c>
    </row>
    <row r="56" spans="3:24" x14ac:dyDescent="0.2">
      <c r="G56" t="s">
        <v>63</v>
      </c>
      <c r="H56" s="41" t="s">
        <v>64</v>
      </c>
      <c r="J56" t="s">
        <v>65</v>
      </c>
    </row>
    <row r="57" spans="3:24" x14ac:dyDescent="0.2">
      <c r="H57" s="41"/>
      <c r="J57" s="42" t="s">
        <v>66</v>
      </c>
      <c r="K57" s="41">
        <f>I66+I67+I68+I69</f>
        <v>12</v>
      </c>
    </row>
    <row r="58" spans="3:24" x14ac:dyDescent="0.2">
      <c r="H58" t="s">
        <v>67</v>
      </c>
    </row>
    <row r="59" spans="3:24" x14ac:dyDescent="0.2">
      <c r="G59" t="s">
        <v>0</v>
      </c>
      <c r="H59" s="41" t="s">
        <v>68</v>
      </c>
      <c r="K59" s="43">
        <f>(I66*D7)+(I67*E7)</f>
        <v>1</v>
      </c>
      <c r="L59">
        <v>1</v>
      </c>
    </row>
    <row r="60" spans="3:24" x14ac:dyDescent="0.2">
      <c r="G60" t="s">
        <v>16</v>
      </c>
      <c r="H60" s="41" t="s">
        <v>69</v>
      </c>
      <c r="K60" s="43">
        <f>(I68*D8)+(I69*E8)</f>
        <v>1</v>
      </c>
      <c r="L60">
        <v>1</v>
      </c>
    </row>
    <row r="61" spans="3:24" x14ac:dyDescent="0.2">
      <c r="G61" s="1" t="s">
        <v>34</v>
      </c>
      <c r="H61" s="44" t="s">
        <v>70</v>
      </c>
      <c r="K61" s="45">
        <f>I67+I69</f>
        <v>6</v>
      </c>
      <c r="L61">
        <v>6</v>
      </c>
    </row>
    <row r="62" spans="3:24" x14ac:dyDescent="0.2">
      <c r="G62" s="1" t="s">
        <v>32</v>
      </c>
      <c r="H62" s="44" t="s">
        <v>71</v>
      </c>
      <c r="K62" s="46">
        <f>I68+I66</f>
        <v>6</v>
      </c>
      <c r="L62">
        <v>6</v>
      </c>
      <c r="O62">
        <v>4</v>
      </c>
    </row>
    <row r="63" spans="3:24" x14ac:dyDescent="0.2">
      <c r="H63" s="41"/>
      <c r="N63" s="170">
        <v>1</v>
      </c>
      <c r="O63" s="170"/>
    </row>
    <row r="64" spans="3:24" ht="16" thickBot="1" x14ac:dyDescent="0.25">
      <c r="H64" s="41"/>
      <c r="O64">
        <v>2</v>
      </c>
    </row>
    <row r="65" spans="6:15" x14ac:dyDescent="0.2">
      <c r="G65" s="1" t="s">
        <v>72</v>
      </c>
      <c r="H65" s="47"/>
      <c r="I65" s="48" t="s">
        <v>73</v>
      </c>
      <c r="J65" s="49" t="s">
        <v>32</v>
      </c>
      <c r="K65" s="50" t="s">
        <v>34</v>
      </c>
      <c r="O65">
        <v>8</v>
      </c>
    </row>
    <row r="66" spans="6:15" x14ac:dyDescent="0.2">
      <c r="F66" s="1" t="s">
        <v>74</v>
      </c>
      <c r="G66">
        <v>1</v>
      </c>
      <c r="H66" s="51" t="s">
        <v>55</v>
      </c>
      <c r="I66" s="52">
        <v>3</v>
      </c>
      <c r="J66" s="53">
        <f>I66+I68</f>
        <v>6</v>
      </c>
      <c r="K66" s="54"/>
      <c r="L66">
        <v>5.5</v>
      </c>
    </row>
    <row r="67" spans="6:15" x14ac:dyDescent="0.2">
      <c r="F67" s="1" t="s">
        <v>34</v>
      </c>
      <c r="G67">
        <v>1</v>
      </c>
      <c r="H67" s="51" t="s">
        <v>56</v>
      </c>
      <c r="I67" s="52">
        <v>5</v>
      </c>
      <c r="J67" s="53"/>
      <c r="K67" s="54">
        <f>I67+I69</f>
        <v>6</v>
      </c>
      <c r="L67">
        <v>9</v>
      </c>
    </row>
    <row r="68" spans="6:15" x14ac:dyDescent="0.2">
      <c r="F68" s="1" t="s">
        <v>32</v>
      </c>
      <c r="G68">
        <v>1</v>
      </c>
      <c r="H68" s="51" t="s">
        <v>57</v>
      </c>
      <c r="I68" s="52">
        <v>3.0000000000000004</v>
      </c>
      <c r="J68" s="53"/>
      <c r="K68" s="54"/>
      <c r="L68">
        <v>0</v>
      </c>
    </row>
    <row r="69" spans="6:15" ht="16" thickBot="1" x14ac:dyDescent="0.25">
      <c r="F69" s="1" t="s">
        <v>34</v>
      </c>
      <c r="G69">
        <v>1</v>
      </c>
      <c r="H69" s="55" t="s">
        <v>58</v>
      </c>
      <c r="I69" s="56">
        <v>0.99999999999999978</v>
      </c>
      <c r="J69" s="57"/>
      <c r="K69" s="58"/>
      <c r="L69">
        <v>8</v>
      </c>
      <c r="N69" s="43"/>
      <c r="O69" s="43"/>
    </row>
    <row r="72" spans="6:15" x14ac:dyDescent="0.2">
      <c r="I72" s="43">
        <f>SUM(I66:I69)</f>
        <v>12</v>
      </c>
      <c r="L72" s="43">
        <f>SUM(L66:L69)</f>
        <v>22.5</v>
      </c>
    </row>
  </sheetData>
  <mergeCells count="38">
    <mergeCell ref="D6:E6"/>
    <mergeCell ref="G9:H9"/>
    <mergeCell ref="G15:H15"/>
    <mergeCell ref="I15:J15"/>
    <mergeCell ref="K15:L15"/>
    <mergeCell ref="G4:H4"/>
    <mergeCell ref="I4:J4"/>
    <mergeCell ref="K4:L4"/>
    <mergeCell ref="I5:J5"/>
    <mergeCell ref="K5:L5"/>
    <mergeCell ref="AQ17:AR17"/>
    <mergeCell ref="AS17:AT17"/>
    <mergeCell ref="AQ18:AR18"/>
    <mergeCell ref="AS18:AT18"/>
    <mergeCell ref="K7:L7"/>
    <mergeCell ref="K8:L8"/>
    <mergeCell ref="G23:H23"/>
    <mergeCell ref="J23:K23"/>
    <mergeCell ref="J24:K24"/>
    <mergeCell ref="I16:J16"/>
    <mergeCell ref="AO17:AP17"/>
    <mergeCell ref="AO36:AP36"/>
    <mergeCell ref="AR36:AS36"/>
    <mergeCell ref="AL19:AM19"/>
    <mergeCell ref="AS20:AT20"/>
    <mergeCell ref="O21:O24"/>
    <mergeCell ref="AS21:AT21"/>
    <mergeCell ref="AO22:AP22"/>
    <mergeCell ref="AO28:AP28"/>
    <mergeCell ref="AQ28:AR28"/>
    <mergeCell ref="AS28:AT28"/>
    <mergeCell ref="J29:K29"/>
    <mergeCell ref="AQ29:AR29"/>
    <mergeCell ref="AR37:AS37"/>
    <mergeCell ref="L38:M38"/>
    <mergeCell ref="N38:O38"/>
    <mergeCell ref="AR42:AS42"/>
    <mergeCell ref="N63:O6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"/>
  <sheetViews>
    <sheetView workbookViewId="0">
      <selection activeCell="J17" sqref="J17"/>
    </sheetView>
  </sheetViews>
  <sheetFormatPr baseColWidth="10" defaultColWidth="12.5" defaultRowHeight="15" x14ac:dyDescent="0.2"/>
  <cols>
    <col min="2" max="2" width="24.1640625" customWidth="1"/>
  </cols>
  <sheetData>
    <row r="1" spans="1:31" ht="16" x14ac:dyDescent="0.2">
      <c r="A1" s="1" t="s">
        <v>75</v>
      </c>
      <c r="B1" s="1"/>
      <c r="C1" s="1"/>
      <c r="D1" s="1"/>
      <c r="E1" s="1"/>
      <c r="F1" s="59"/>
      <c r="G1" s="59"/>
      <c r="H1" s="59"/>
      <c r="I1" s="59"/>
      <c r="J1" s="59"/>
      <c r="K1" s="59"/>
      <c r="L1" s="59"/>
      <c r="M1" s="1" t="s">
        <v>76</v>
      </c>
      <c r="N1" s="1"/>
      <c r="O1" s="1"/>
      <c r="P1" s="1"/>
      <c r="Q1" s="1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6" x14ac:dyDescent="0.2">
      <c r="A2" s="59"/>
      <c r="B2" s="59"/>
      <c r="C2" s="59"/>
      <c r="D2" s="59"/>
      <c r="E2" s="1" t="s">
        <v>2</v>
      </c>
      <c r="F2" s="1"/>
      <c r="G2" s="1"/>
      <c r="H2" s="59"/>
      <c r="I2" s="59"/>
      <c r="J2" s="59"/>
      <c r="K2" s="59"/>
      <c r="L2" s="59"/>
      <c r="M2" s="1" t="s">
        <v>77</v>
      </c>
      <c r="N2" s="1"/>
      <c r="O2" s="1"/>
      <c r="P2" s="1"/>
      <c r="Q2" s="1"/>
      <c r="R2" s="1"/>
      <c r="S2" s="1"/>
      <c r="T2" s="1"/>
      <c r="U2" s="1"/>
      <c r="V2" s="1"/>
      <c r="W2" s="59"/>
      <c r="X2" s="59"/>
      <c r="Y2" s="59"/>
      <c r="Z2" s="59"/>
      <c r="AA2" s="59"/>
      <c r="AB2" s="59"/>
      <c r="AC2" s="59"/>
      <c r="AD2" s="59"/>
      <c r="AE2" s="59"/>
    </row>
    <row r="3" spans="1:31" ht="26" x14ac:dyDescent="0.3">
      <c r="A3" s="59"/>
      <c r="B3" s="60" t="s">
        <v>78</v>
      </c>
      <c r="C3" s="60" t="s">
        <v>79</v>
      </c>
      <c r="D3" s="59"/>
      <c r="E3" s="59"/>
      <c r="F3" s="59"/>
      <c r="G3" s="59"/>
      <c r="H3" s="59"/>
      <c r="I3" s="59"/>
      <c r="J3" s="59"/>
      <c r="K3" s="59"/>
      <c r="L3" s="59"/>
      <c r="M3" s="59" t="s">
        <v>5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16" x14ac:dyDescent="0.2">
      <c r="A4" s="59"/>
      <c r="B4" s="59"/>
      <c r="C4" s="59"/>
      <c r="D4" s="59"/>
      <c r="E4" s="59"/>
      <c r="F4" s="59"/>
      <c r="G4" s="193"/>
      <c r="H4" s="199"/>
      <c r="I4" s="196" t="s">
        <v>8</v>
      </c>
      <c r="J4" s="200"/>
      <c r="K4" s="164"/>
      <c r="L4" s="175"/>
      <c r="M4" s="59"/>
      <c r="N4" s="1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</row>
    <row r="5" spans="1:31" ht="16" x14ac:dyDescent="0.2">
      <c r="A5" s="59"/>
      <c r="B5" s="59" t="s">
        <v>80</v>
      </c>
      <c r="C5" s="59"/>
      <c r="D5" s="59"/>
      <c r="E5" s="59"/>
      <c r="F5" s="59"/>
      <c r="G5" s="196" t="s">
        <v>81</v>
      </c>
      <c r="H5" s="186"/>
      <c r="I5" s="197"/>
      <c r="J5" s="198"/>
      <c r="K5" s="197"/>
      <c r="L5" s="175"/>
      <c r="M5" s="59"/>
      <c r="N5" s="1" t="s">
        <v>9</v>
      </c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31" ht="16" x14ac:dyDescent="0.2">
      <c r="A6" s="59"/>
      <c r="B6" s="59"/>
      <c r="C6" s="59"/>
      <c r="D6" s="59"/>
      <c r="E6" s="59"/>
      <c r="F6" s="59"/>
      <c r="G6" s="61" t="s">
        <v>82</v>
      </c>
      <c r="H6" s="62" t="s">
        <v>83</v>
      </c>
      <c r="I6" s="61" t="s">
        <v>82</v>
      </c>
      <c r="J6" s="62" t="s">
        <v>83</v>
      </c>
      <c r="K6" s="64"/>
      <c r="L6" s="64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1" ht="16" x14ac:dyDescent="0.2">
      <c r="A7" s="59"/>
      <c r="B7" s="59"/>
      <c r="C7" s="59"/>
      <c r="D7" s="59">
        <f>4.5/10</f>
        <v>0.45</v>
      </c>
      <c r="E7" s="59"/>
      <c r="F7" s="1" t="s">
        <v>84</v>
      </c>
      <c r="G7" s="65">
        <v>10</v>
      </c>
      <c r="H7" s="66">
        <v>20</v>
      </c>
      <c r="I7" s="70">
        <f>G7/H7</f>
        <v>0.5</v>
      </c>
      <c r="J7" s="66">
        <f>H7/G7</f>
        <v>2</v>
      </c>
      <c r="K7" s="62"/>
      <c r="L7" s="62"/>
      <c r="M7" s="59"/>
      <c r="N7" s="1" t="s">
        <v>15</v>
      </c>
      <c r="O7" s="1"/>
      <c r="P7" s="1"/>
      <c r="Q7" s="1"/>
      <c r="R7" s="1"/>
      <c r="S7" s="1"/>
      <c r="T7" s="1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</row>
    <row r="8" spans="1:31" ht="16" x14ac:dyDescent="0.2">
      <c r="A8" s="59"/>
      <c r="B8" s="59"/>
      <c r="C8" s="59"/>
      <c r="D8" s="59">
        <f>1-D7</f>
        <v>0.55000000000000004</v>
      </c>
      <c r="E8" s="59"/>
      <c r="F8" s="1" t="s">
        <v>85</v>
      </c>
      <c r="G8" s="68">
        <v>1</v>
      </c>
      <c r="H8" s="69">
        <v>8</v>
      </c>
      <c r="I8" s="70">
        <f>G8/H8</f>
        <v>0.125</v>
      </c>
      <c r="J8" s="67">
        <f>H8/G8</f>
        <v>8</v>
      </c>
      <c r="K8" s="62"/>
      <c r="L8" s="62"/>
      <c r="M8" s="59"/>
      <c r="N8" s="59" t="s">
        <v>17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1" ht="16" x14ac:dyDescent="0.2">
      <c r="A9" s="59"/>
      <c r="B9" s="59"/>
      <c r="C9" s="59"/>
      <c r="D9" s="59">
        <f>D8*G7</f>
        <v>5.5</v>
      </c>
      <c r="E9" s="59"/>
      <c r="F9" s="59"/>
      <c r="G9" s="192" t="s">
        <v>18</v>
      </c>
      <c r="H9" s="192"/>
      <c r="I9" s="59"/>
      <c r="J9" s="1" t="s">
        <v>86</v>
      </c>
      <c r="K9" s="59"/>
      <c r="L9" s="59"/>
      <c r="M9" s="59"/>
      <c r="N9" s="1" t="s">
        <v>19</v>
      </c>
      <c r="O9" s="1"/>
      <c r="P9" s="1"/>
      <c r="Q9" s="1"/>
      <c r="R9" s="1"/>
      <c r="S9" s="1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1" ht="16" x14ac:dyDescent="0.2">
      <c r="A10" s="1" t="s">
        <v>20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59"/>
      <c r="M10" s="59"/>
      <c r="N10" s="1" t="s">
        <v>21</v>
      </c>
      <c r="O10" s="1"/>
      <c r="P10" s="1"/>
      <c r="Q10" s="1"/>
      <c r="R10" s="1"/>
      <c r="S10" s="1"/>
      <c r="T10" s="1"/>
      <c r="U10" s="1"/>
      <c r="V10" s="1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1" ht="1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 t="s">
        <v>22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</row>
    <row r="12" spans="1:31" ht="16" x14ac:dyDescent="0.2">
      <c r="A12" s="59" t="s">
        <v>23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1" ht="20" x14ac:dyDescent="0.2">
      <c r="A13" s="59" t="s">
        <v>24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8" t="s">
        <v>87</v>
      </c>
      <c r="R13" s="8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1" ht="16" x14ac:dyDescent="0.2">
      <c r="A14" s="59"/>
      <c r="B14" s="59"/>
      <c r="C14" s="59"/>
      <c r="D14" s="59"/>
      <c r="E14" s="59"/>
      <c r="F14" s="59"/>
      <c r="G14" s="1" t="s">
        <v>109</v>
      </c>
      <c r="H14" s="1"/>
      <c r="I14" s="1"/>
      <c r="J14" s="1"/>
      <c r="K14" s="59"/>
      <c r="L14" s="59"/>
      <c r="M14" s="59"/>
      <c r="N14" s="59"/>
      <c r="O14" s="59"/>
      <c r="P14" s="59"/>
      <c r="Q14" s="1" t="s">
        <v>88</v>
      </c>
      <c r="R14" s="1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1:31" ht="16" x14ac:dyDescent="0.2">
      <c r="A15" s="59"/>
      <c r="B15" s="59"/>
      <c r="C15" s="59"/>
      <c r="D15" s="59"/>
      <c r="E15" s="59"/>
      <c r="F15" s="59"/>
      <c r="G15" s="193" t="s">
        <v>89</v>
      </c>
      <c r="H15" s="194"/>
      <c r="I15" s="170"/>
      <c r="J15" s="170"/>
      <c r="K15" s="170"/>
      <c r="L15" s="170"/>
      <c r="M15" s="10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1" ht="16" x14ac:dyDescent="0.2">
      <c r="A16" s="59"/>
      <c r="B16" s="59"/>
      <c r="C16" s="59"/>
      <c r="D16" s="59"/>
      <c r="E16" s="59"/>
      <c r="F16" s="59"/>
      <c r="G16" s="61"/>
      <c r="H16" s="71"/>
      <c r="I16" s="195"/>
      <c r="J16" s="195"/>
      <c r="K16" s="72"/>
      <c r="L16" s="72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ht="16" x14ac:dyDescent="0.2">
      <c r="A17" s="1" t="s">
        <v>31</v>
      </c>
      <c r="B17" s="59"/>
      <c r="C17" s="59"/>
      <c r="D17" s="59"/>
      <c r="E17" s="59"/>
      <c r="F17" s="59"/>
      <c r="G17" s="61" t="s">
        <v>90</v>
      </c>
      <c r="H17" s="71" t="s">
        <v>91</v>
      </c>
      <c r="I17" s="72"/>
      <c r="J17" s="72"/>
      <c r="K17" s="72" t="s">
        <v>92</v>
      </c>
      <c r="L17" s="72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1:31" ht="16" x14ac:dyDescent="0.2">
      <c r="A18" s="59"/>
      <c r="B18" s="59"/>
      <c r="C18" s="59"/>
      <c r="D18" s="59"/>
      <c r="E18" s="59"/>
      <c r="F18" s="59" t="s">
        <v>84</v>
      </c>
      <c r="G18" s="61">
        <v>5</v>
      </c>
      <c r="H18" s="73">
        <v>10</v>
      </c>
      <c r="I18" s="74"/>
      <c r="J18" s="75"/>
      <c r="K18" s="75"/>
      <c r="L18" s="75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1:31" ht="16" x14ac:dyDescent="0.2">
      <c r="A19" s="59"/>
      <c r="B19" s="59"/>
      <c r="C19" s="59"/>
      <c r="D19" s="59"/>
      <c r="E19" s="59"/>
      <c r="F19" s="59" t="s">
        <v>85</v>
      </c>
      <c r="G19" s="61">
        <v>0.5</v>
      </c>
      <c r="H19" s="76">
        <v>4</v>
      </c>
      <c r="I19" s="77"/>
      <c r="J19" s="72"/>
      <c r="K19" s="72"/>
      <c r="L19" s="72"/>
      <c r="M19" s="59"/>
      <c r="N19" s="78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ht="16" x14ac:dyDescent="0.2">
      <c r="A20" s="59"/>
      <c r="B20" s="59"/>
      <c r="C20" s="59"/>
      <c r="D20" s="59"/>
      <c r="E20" s="59"/>
      <c r="F20" s="59"/>
      <c r="G20" s="72">
        <f>SUM(G18:G19)</f>
        <v>5.5</v>
      </c>
      <c r="H20" s="72">
        <f>SUM(H18:H19)</f>
        <v>14</v>
      </c>
      <c r="I20" s="59">
        <f>G20+H20</f>
        <v>19.5</v>
      </c>
      <c r="J20" s="59"/>
      <c r="K20" s="59"/>
      <c r="L20" s="59"/>
      <c r="M20" s="59"/>
      <c r="N20" s="78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ht="16" x14ac:dyDescent="0.2">
      <c r="A21" s="59" t="s">
        <v>36</v>
      </c>
      <c r="B21" s="59"/>
      <c r="C21" s="59"/>
      <c r="D21" s="59"/>
      <c r="E21" s="59"/>
      <c r="F21" s="59"/>
      <c r="G21" s="59"/>
      <c r="H21" s="59"/>
      <c r="I21" s="59"/>
      <c r="J21" s="1"/>
      <c r="K21" s="1"/>
      <c r="L21" s="1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ht="16" x14ac:dyDescent="0.2">
      <c r="A22" s="59"/>
      <c r="B22" s="59"/>
      <c r="C22" s="59"/>
      <c r="D22" s="59"/>
      <c r="E22" s="59"/>
      <c r="F22" s="59"/>
      <c r="G22" s="59"/>
      <c r="H22" s="59"/>
      <c r="I22" s="59"/>
      <c r="J22" s="14"/>
      <c r="K22" s="79"/>
      <c r="L22" s="7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ht="16" x14ac:dyDescent="0.2">
      <c r="A23" s="59"/>
      <c r="B23" s="59"/>
      <c r="C23" s="59"/>
      <c r="D23" s="59"/>
      <c r="E23" s="59"/>
      <c r="F23" s="59"/>
      <c r="G23" s="196" t="s">
        <v>93</v>
      </c>
      <c r="H23" s="186"/>
      <c r="I23" s="197" t="s">
        <v>38</v>
      </c>
      <c r="J23" s="198"/>
      <c r="K23" s="196" t="s">
        <v>94</v>
      </c>
      <c r="L23" s="186"/>
      <c r="M23" s="185" t="s">
        <v>95</v>
      </c>
      <c r="N23" s="186"/>
      <c r="O23" s="80"/>
      <c r="P23" s="81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1" ht="16" x14ac:dyDescent="0.2">
      <c r="A24" s="59"/>
      <c r="B24" s="59"/>
      <c r="C24" s="59"/>
      <c r="D24" s="59"/>
      <c r="E24" s="59"/>
      <c r="F24" s="59"/>
      <c r="G24" s="61"/>
      <c r="H24" s="62"/>
      <c r="I24" s="62"/>
      <c r="J24" s="62"/>
      <c r="K24" s="71"/>
      <c r="L24" s="82"/>
      <c r="M24" s="82"/>
      <c r="N24" s="82"/>
      <c r="O24" s="83"/>
      <c r="P24" s="64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1" ht="16" x14ac:dyDescent="0.2">
      <c r="A25" s="59"/>
      <c r="B25" s="59"/>
      <c r="C25" s="59"/>
      <c r="D25" s="59"/>
      <c r="E25" s="59"/>
      <c r="F25" s="59"/>
      <c r="G25" s="61" t="s">
        <v>90</v>
      </c>
      <c r="H25" s="62" t="s">
        <v>91</v>
      </c>
      <c r="I25" s="62" t="s">
        <v>90</v>
      </c>
      <c r="J25" s="62" t="s">
        <v>91</v>
      </c>
      <c r="K25" s="62" t="s">
        <v>90</v>
      </c>
      <c r="L25" s="62" t="s">
        <v>91</v>
      </c>
      <c r="M25" s="62" t="s">
        <v>90</v>
      </c>
      <c r="N25" s="62" t="s">
        <v>91</v>
      </c>
      <c r="O25" s="63"/>
      <c r="P25" s="63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1" ht="16" x14ac:dyDescent="0.2">
      <c r="A26" s="59"/>
      <c r="B26" s="59">
        <f>J26/H7</f>
        <v>0.45</v>
      </c>
      <c r="C26" s="59"/>
      <c r="D26" s="59">
        <f>I26/G18</f>
        <v>1.1000000000000001</v>
      </c>
      <c r="E26" s="59"/>
      <c r="F26" s="59" t="s">
        <v>84</v>
      </c>
      <c r="G26" s="61">
        <f>G18</f>
        <v>5</v>
      </c>
      <c r="H26" s="61">
        <f>H18</f>
        <v>10</v>
      </c>
      <c r="I26" s="62">
        <f>B27*G7</f>
        <v>5.5</v>
      </c>
      <c r="J26" s="84">
        <v>9</v>
      </c>
      <c r="K26" s="62">
        <v>0</v>
      </c>
      <c r="L26" s="62">
        <v>10</v>
      </c>
      <c r="M26" s="62">
        <v>5</v>
      </c>
      <c r="N26" s="62">
        <v>17.5</v>
      </c>
      <c r="O26" s="62"/>
      <c r="P26" s="62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1" ht="16" x14ac:dyDescent="0.2">
      <c r="A27" s="59"/>
      <c r="B27" s="59">
        <f>1-B26</f>
        <v>0.55000000000000004</v>
      </c>
      <c r="C27" s="59"/>
      <c r="D27" s="59">
        <f>1-D26</f>
        <v>-0.10000000000000009</v>
      </c>
      <c r="E27" s="59"/>
      <c r="F27" s="59" t="s">
        <v>85</v>
      </c>
      <c r="G27" s="61">
        <f>G19</f>
        <v>0.5</v>
      </c>
      <c r="H27" s="61">
        <f>H19</f>
        <v>4</v>
      </c>
      <c r="I27" s="62">
        <v>0</v>
      </c>
      <c r="J27" s="67">
        <v>8</v>
      </c>
      <c r="K27" s="62">
        <v>4</v>
      </c>
      <c r="L27" s="62">
        <v>7</v>
      </c>
      <c r="M27" s="85">
        <v>4</v>
      </c>
      <c r="N27" s="85">
        <v>0.5</v>
      </c>
      <c r="O27" s="85"/>
      <c r="P27" s="62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</row>
    <row r="28" spans="1:31" ht="16" x14ac:dyDescent="0.2">
      <c r="A28" s="59"/>
      <c r="B28" s="59"/>
      <c r="C28" s="59"/>
      <c r="D28" s="59">
        <f>D27*20</f>
        <v>-2.0000000000000018</v>
      </c>
      <c r="E28" s="59"/>
      <c r="F28" s="1" t="s">
        <v>96</v>
      </c>
      <c r="G28" s="72">
        <f t="shared" ref="G28:N28" si="0">SUM(G26:G27)</f>
        <v>5.5</v>
      </c>
      <c r="H28" s="72">
        <f t="shared" si="0"/>
        <v>14</v>
      </c>
      <c r="I28" s="86">
        <f t="shared" si="0"/>
        <v>5.5</v>
      </c>
      <c r="J28" s="87">
        <f t="shared" si="0"/>
        <v>17</v>
      </c>
      <c r="K28" s="72">
        <f t="shared" si="0"/>
        <v>4</v>
      </c>
      <c r="L28" s="72">
        <f t="shared" si="0"/>
        <v>17</v>
      </c>
      <c r="M28" s="72">
        <f t="shared" si="0"/>
        <v>9</v>
      </c>
      <c r="N28" s="72">
        <f t="shared" si="0"/>
        <v>18</v>
      </c>
      <c r="O28" s="72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</row>
    <row r="29" spans="1:31" ht="16" x14ac:dyDescent="0.2">
      <c r="A29" s="59"/>
      <c r="B29" s="59"/>
      <c r="C29" s="59"/>
      <c r="D29" s="59"/>
      <c r="E29" s="59"/>
      <c r="F29" s="1"/>
      <c r="G29" s="72"/>
      <c r="H29" s="86"/>
      <c r="I29" s="187" t="s">
        <v>97</v>
      </c>
      <c r="J29" s="19">
        <f>J28+I28</f>
        <v>22.5</v>
      </c>
      <c r="K29" s="88"/>
      <c r="L29" s="10"/>
      <c r="M29" s="10"/>
      <c r="N29" s="10">
        <f>N28+M28</f>
        <v>27</v>
      </c>
      <c r="O29" s="89"/>
      <c r="P29" s="90"/>
      <c r="Q29" s="90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</row>
    <row r="30" spans="1:31" ht="25" x14ac:dyDescent="0.2">
      <c r="A30" s="59"/>
      <c r="B30" s="59"/>
      <c r="C30" s="59"/>
      <c r="D30" s="59"/>
      <c r="E30" s="59"/>
      <c r="F30" s="59"/>
      <c r="G30" s="59"/>
      <c r="H30" s="59"/>
      <c r="I30" s="187"/>
      <c r="J30" s="91" t="s">
        <v>98</v>
      </c>
      <c r="K30" s="59"/>
      <c r="L30" s="59"/>
      <c r="M30" s="59"/>
      <c r="N30" s="59"/>
      <c r="O30" s="92"/>
      <c r="P30" s="92"/>
      <c r="Q30" s="92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1:31" ht="16" x14ac:dyDescent="0.2">
      <c r="A31" s="59"/>
      <c r="B31" s="59"/>
      <c r="C31" s="59"/>
      <c r="D31" s="59"/>
      <c r="E31" s="1"/>
      <c r="F31" s="59"/>
      <c r="G31" s="59"/>
      <c r="H31" s="59"/>
      <c r="I31" s="59"/>
      <c r="J31" s="59"/>
      <c r="K31" s="59"/>
      <c r="L31" s="59"/>
      <c r="M31" s="59"/>
      <c r="N31" s="59"/>
      <c r="O31" s="92"/>
      <c r="P31" s="92"/>
      <c r="Q31" s="92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1" ht="16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92"/>
      <c r="P32" s="92"/>
      <c r="Q32" s="92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ht="16" x14ac:dyDescent="0.2">
      <c r="A33" s="59"/>
      <c r="B33" s="59"/>
      <c r="C33" s="1" t="s">
        <v>48</v>
      </c>
      <c r="D33" s="1"/>
      <c r="E33" s="1"/>
      <c r="F33" s="1"/>
      <c r="G33" s="1"/>
      <c r="H33" s="1"/>
      <c r="I33" s="1"/>
      <c r="J33" s="59"/>
      <c r="K33" s="59"/>
      <c r="L33" s="59"/>
      <c r="M33" s="100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1:31" ht="16" x14ac:dyDescent="0.2">
      <c r="A34" s="59"/>
      <c r="B34" s="59"/>
      <c r="C34" s="1" t="s">
        <v>49</v>
      </c>
      <c r="D34" s="1"/>
      <c r="E34" s="1"/>
      <c r="F34" s="1"/>
      <c r="G34" s="1"/>
      <c r="H34" s="1"/>
      <c r="I34" s="1"/>
      <c r="J34" s="1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ht="17" thickBot="1" x14ac:dyDescent="0.25">
      <c r="A35" s="59"/>
      <c r="B35" s="59"/>
      <c r="C35" s="59" t="s">
        <v>50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1:31" ht="16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188" t="s">
        <v>99</v>
      </c>
      <c r="M36" s="189"/>
      <c r="N36" s="190" t="s">
        <v>85</v>
      </c>
      <c r="O36" s="191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  <row r="37" spans="1:31" ht="16" x14ac:dyDescent="0.2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93" t="s">
        <v>82</v>
      </c>
      <c r="M37" s="94" t="s">
        <v>83</v>
      </c>
      <c r="N37" s="62" t="s">
        <v>82</v>
      </c>
      <c r="O37" s="95" t="s">
        <v>83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</row>
    <row r="38" spans="1:31" ht="16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72">
        <v>0</v>
      </c>
      <c r="L38" s="121">
        <f>G7</f>
        <v>10</v>
      </c>
      <c r="M38" s="96">
        <f>($H$7-(($H$7*L38)/$G$7))</f>
        <v>0</v>
      </c>
      <c r="N38" s="97">
        <f>G8</f>
        <v>1</v>
      </c>
      <c r="O38" s="98">
        <f>($H$8-($H$8*N38)/$G$8)</f>
        <v>0</v>
      </c>
      <c r="P38" s="9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ht="16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72">
        <v>1</v>
      </c>
      <c r="L39" s="18">
        <f>L38-$L$49</f>
        <v>8.75</v>
      </c>
      <c r="M39" s="96">
        <f>($H$7-(($H$7*L39)/$G$7))</f>
        <v>2.5</v>
      </c>
      <c r="N39" s="97">
        <f>N38-$N$49</f>
        <v>0.875</v>
      </c>
      <c r="O39" s="98">
        <f t="shared" ref="O39:O46" si="1">($H$8-($H$8*N39)/$G$8)</f>
        <v>1</v>
      </c>
      <c r="P39" s="9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ht="16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72">
        <v>2</v>
      </c>
      <c r="L40" s="18">
        <f t="shared" ref="L40:L46" si="2">L39-$L$49</f>
        <v>7.5</v>
      </c>
      <c r="M40" s="96">
        <f t="shared" ref="M40:M44" si="3">($H$7-(($H$7*L40)/$G$7))</f>
        <v>5</v>
      </c>
      <c r="N40" s="97">
        <f t="shared" ref="N40:N46" si="4">N39-$N$49</f>
        <v>0.75</v>
      </c>
      <c r="O40" s="98">
        <f t="shared" si="1"/>
        <v>2</v>
      </c>
      <c r="P40" s="9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ht="16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72">
        <v>3</v>
      </c>
      <c r="L41" s="18">
        <f t="shared" si="2"/>
        <v>6.25</v>
      </c>
      <c r="M41" s="96">
        <f t="shared" si="3"/>
        <v>7.5</v>
      </c>
      <c r="N41" s="97">
        <f t="shared" si="4"/>
        <v>0.625</v>
      </c>
      <c r="O41" s="98">
        <f t="shared" si="1"/>
        <v>3</v>
      </c>
      <c r="P41" s="9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ht="16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72">
        <v>4</v>
      </c>
      <c r="L42" s="18">
        <f t="shared" si="2"/>
        <v>5</v>
      </c>
      <c r="M42" s="96">
        <f t="shared" si="3"/>
        <v>10</v>
      </c>
      <c r="N42" s="97">
        <f t="shared" si="4"/>
        <v>0.5</v>
      </c>
      <c r="O42" s="98">
        <f t="shared" si="1"/>
        <v>4</v>
      </c>
      <c r="P42" s="9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ht="16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72">
        <v>5</v>
      </c>
      <c r="L43" s="18">
        <f t="shared" si="2"/>
        <v>3.75</v>
      </c>
      <c r="M43" s="96">
        <f t="shared" si="3"/>
        <v>12.5</v>
      </c>
      <c r="N43" s="97">
        <f t="shared" si="4"/>
        <v>0.375</v>
      </c>
      <c r="O43" s="98">
        <f t="shared" si="1"/>
        <v>5</v>
      </c>
      <c r="P43" s="9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ht="16" x14ac:dyDescent="0.2">
      <c r="A44" s="59"/>
      <c r="B44" s="59"/>
      <c r="C44" s="13"/>
      <c r="D44" s="101"/>
      <c r="E44" s="101"/>
      <c r="F44" s="101"/>
      <c r="G44" s="101"/>
      <c r="H44" s="101"/>
      <c r="I44" s="101"/>
      <c r="J44" s="101"/>
      <c r="K44" s="72">
        <v>6</v>
      </c>
      <c r="L44" s="18">
        <f t="shared" si="2"/>
        <v>2.5</v>
      </c>
      <c r="M44" s="96">
        <f t="shared" si="3"/>
        <v>15</v>
      </c>
      <c r="N44" s="97">
        <f t="shared" si="4"/>
        <v>0.25</v>
      </c>
      <c r="O44" s="98">
        <f t="shared" si="1"/>
        <v>6</v>
      </c>
      <c r="P44" s="9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ht="16" x14ac:dyDescent="0.2">
      <c r="A45" s="59"/>
      <c r="B45" s="59"/>
      <c r="C45" s="101"/>
      <c r="D45" s="101"/>
      <c r="E45" s="101" t="s">
        <v>63</v>
      </c>
      <c r="F45" s="102" t="s">
        <v>100</v>
      </c>
      <c r="G45" s="101"/>
      <c r="H45" s="101" t="s">
        <v>65</v>
      </c>
      <c r="I45" s="101"/>
      <c r="J45" s="101"/>
      <c r="K45" s="72">
        <v>7</v>
      </c>
      <c r="L45" s="18">
        <f t="shared" si="2"/>
        <v>1.25</v>
      </c>
      <c r="M45" s="96">
        <f>($H$7-(($H$7*L45)/$G$7))</f>
        <v>17.5</v>
      </c>
      <c r="N45" s="97">
        <f t="shared" si="4"/>
        <v>0.125</v>
      </c>
      <c r="O45" s="98">
        <f t="shared" si="1"/>
        <v>7</v>
      </c>
      <c r="P45" s="9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ht="16" x14ac:dyDescent="0.2">
      <c r="A46" s="59"/>
      <c r="B46" s="59"/>
      <c r="C46" s="101"/>
      <c r="D46" s="101"/>
      <c r="E46" s="101"/>
      <c r="F46" s="102"/>
      <c r="G46" s="101"/>
      <c r="H46" s="103" t="s">
        <v>66</v>
      </c>
      <c r="I46" s="104">
        <f>G55+G56+G57+G58</f>
        <v>22.5</v>
      </c>
      <c r="J46" s="101"/>
      <c r="K46" s="72">
        <v>8</v>
      </c>
      <c r="L46" s="18">
        <f t="shared" si="2"/>
        <v>0</v>
      </c>
      <c r="M46" s="96">
        <f>($H$7-(($H$7*L46)/$G$7))</f>
        <v>20</v>
      </c>
      <c r="N46" s="97">
        <f t="shared" si="4"/>
        <v>0</v>
      </c>
      <c r="O46" s="98">
        <f t="shared" si="1"/>
        <v>8</v>
      </c>
      <c r="P46" s="9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ht="16" x14ac:dyDescent="0.2">
      <c r="A47" s="59"/>
      <c r="B47" s="59"/>
      <c r="C47" s="101"/>
      <c r="D47" s="101"/>
      <c r="E47" s="101"/>
      <c r="F47" s="101" t="s">
        <v>67</v>
      </c>
      <c r="G47" s="101"/>
      <c r="H47" s="101"/>
      <c r="I47" s="101"/>
      <c r="J47" s="101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ht="16" x14ac:dyDescent="0.2">
      <c r="A48" s="59"/>
      <c r="B48" s="59"/>
      <c r="C48" s="87"/>
      <c r="D48" s="101"/>
      <c r="E48" s="101" t="s">
        <v>84</v>
      </c>
      <c r="F48" s="102" t="s">
        <v>101</v>
      </c>
      <c r="G48" s="102"/>
      <c r="H48" s="101"/>
      <c r="I48" s="105">
        <f>(G55/G7)+(G56/H7)</f>
        <v>1</v>
      </c>
      <c r="J48" s="101">
        <v>1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ht="16" x14ac:dyDescent="0.2">
      <c r="A49" s="59"/>
      <c r="B49" s="59"/>
      <c r="C49" s="87"/>
      <c r="D49" s="101"/>
      <c r="E49" s="101" t="s">
        <v>85</v>
      </c>
      <c r="F49" s="102" t="s">
        <v>102</v>
      </c>
      <c r="G49" s="102"/>
      <c r="H49" s="101"/>
      <c r="I49" s="105">
        <f>(G57/G8)+(G58/H8)</f>
        <v>0.99999999999999989</v>
      </c>
      <c r="J49" s="101">
        <v>1</v>
      </c>
      <c r="K49" s="59"/>
      <c r="L49" s="59">
        <f>(10)/8</f>
        <v>1.25</v>
      </c>
      <c r="M49" s="59"/>
      <c r="N49" s="59">
        <f>1/8</f>
        <v>0.125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ht="16" x14ac:dyDescent="0.2">
      <c r="A50" s="59"/>
      <c r="B50" s="59"/>
      <c r="C50" s="106"/>
      <c r="D50" s="101"/>
      <c r="E50" s="13" t="s">
        <v>90</v>
      </c>
      <c r="F50" s="107" t="s">
        <v>110</v>
      </c>
      <c r="G50" s="107"/>
      <c r="H50" s="107"/>
      <c r="I50" s="108">
        <f>(G55+G57)</f>
        <v>5.5</v>
      </c>
      <c r="J50" s="101">
        <v>5.5</v>
      </c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ht="16" x14ac:dyDescent="0.2">
      <c r="A51" s="59"/>
      <c r="B51" s="59"/>
      <c r="C51" s="109"/>
      <c r="D51" s="101"/>
      <c r="E51" s="13" t="s">
        <v>91</v>
      </c>
      <c r="F51" s="107" t="s">
        <v>111</v>
      </c>
      <c r="G51" s="107"/>
      <c r="H51" s="107"/>
      <c r="I51" s="104">
        <f>(G56+G58)</f>
        <v>17</v>
      </c>
      <c r="J51" s="101">
        <v>14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ht="16" x14ac:dyDescent="0.2">
      <c r="A52" s="59"/>
      <c r="B52" s="59"/>
      <c r="C52" s="101"/>
      <c r="D52" s="101"/>
      <c r="E52" s="101"/>
      <c r="F52" s="102"/>
      <c r="G52" s="101"/>
      <c r="H52" s="101"/>
      <c r="I52" s="101"/>
      <c r="J52" s="101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ht="17" thickBot="1" x14ac:dyDescent="0.25">
      <c r="A53" s="59"/>
      <c r="B53" s="59"/>
      <c r="C53" s="101"/>
      <c r="D53" s="101"/>
      <c r="E53" s="101"/>
      <c r="F53" s="102"/>
      <c r="G53" s="101"/>
      <c r="H53" s="101"/>
      <c r="I53" s="101"/>
      <c r="J53" s="101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ht="16" x14ac:dyDescent="0.2">
      <c r="A54" s="59"/>
      <c r="B54" s="59"/>
      <c r="C54" s="13"/>
      <c r="D54" s="101"/>
      <c r="E54" s="13" t="s">
        <v>72</v>
      </c>
      <c r="F54" s="110"/>
      <c r="G54" s="111" t="s">
        <v>73</v>
      </c>
      <c r="H54" s="112" t="s">
        <v>82</v>
      </c>
      <c r="I54" s="113" t="s">
        <v>83</v>
      </c>
      <c r="J54" s="101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ht="16" x14ac:dyDescent="0.2">
      <c r="A55" s="59"/>
      <c r="B55" s="59"/>
      <c r="C55" s="13" t="s">
        <v>103</v>
      </c>
      <c r="D55" s="13" t="s">
        <v>82</v>
      </c>
      <c r="E55" s="101">
        <v>1</v>
      </c>
      <c r="F55" s="114" t="s">
        <v>104</v>
      </c>
      <c r="G55" s="115">
        <v>5.5</v>
      </c>
      <c r="H55" s="115">
        <f>G55+G57</f>
        <v>5.5</v>
      </c>
      <c r="I55" s="116"/>
      <c r="J55" s="101">
        <v>5.5</v>
      </c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ht="16" x14ac:dyDescent="0.2">
      <c r="A56" s="59"/>
      <c r="B56" s="59"/>
      <c r="C56" s="13"/>
      <c r="D56" s="13" t="s">
        <v>83</v>
      </c>
      <c r="E56" s="101">
        <v>1</v>
      </c>
      <c r="F56" s="114" t="s">
        <v>105</v>
      </c>
      <c r="G56" s="115">
        <v>9.0000000000000018</v>
      </c>
      <c r="H56" s="115"/>
      <c r="I56" s="116">
        <f>G56+G58</f>
        <v>17</v>
      </c>
      <c r="J56" s="101">
        <v>9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</row>
    <row r="57" spans="1:31" ht="16" x14ac:dyDescent="0.2">
      <c r="A57" s="59"/>
      <c r="B57" s="59"/>
      <c r="C57" s="13" t="s">
        <v>106</v>
      </c>
      <c r="D57" s="13" t="s">
        <v>82</v>
      </c>
      <c r="E57" s="101">
        <v>1</v>
      </c>
      <c r="F57" s="114" t="s">
        <v>107</v>
      </c>
      <c r="G57" s="115">
        <v>0</v>
      </c>
      <c r="H57" s="115"/>
      <c r="I57" s="116"/>
      <c r="J57" s="101">
        <v>0</v>
      </c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</row>
    <row r="58" spans="1:31" ht="17" thickBot="1" x14ac:dyDescent="0.25">
      <c r="A58" s="59"/>
      <c r="B58" s="59"/>
      <c r="C58" s="101"/>
      <c r="D58" s="13" t="s">
        <v>83</v>
      </c>
      <c r="E58" s="101">
        <v>1</v>
      </c>
      <c r="F58" s="117" t="s">
        <v>108</v>
      </c>
      <c r="G58" s="118">
        <v>7.9999999999999991</v>
      </c>
      <c r="H58" s="118"/>
      <c r="I58" s="119"/>
      <c r="J58" s="101">
        <v>8</v>
      </c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</row>
    <row r="59" spans="1:31" ht="16" x14ac:dyDescent="0.2">
      <c r="A59" s="59"/>
      <c r="B59" s="59"/>
      <c r="C59" s="101"/>
      <c r="D59" s="101"/>
      <c r="E59" s="101"/>
      <c r="F59" s="101"/>
      <c r="G59" s="101"/>
      <c r="H59" s="101"/>
      <c r="I59" s="101"/>
      <c r="J59" s="101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ht="16" x14ac:dyDescent="0.2">
      <c r="A60" s="59"/>
      <c r="B60" s="59"/>
      <c r="C60" s="101"/>
      <c r="D60" s="101"/>
      <c r="E60" s="101"/>
      <c r="F60" s="101"/>
      <c r="G60" s="101"/>
      <c r="H60" s="101"/>
      <c r="I60" s="101"/>
      <c r="J60" s="101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ht="16" x14ac:dyDescent="0.2">
      <c r="A61" s="59"/>
      <c r="B61" s="59"/>
      <c r="C61" s="101"/>
      <c r="D61" s="101"/>
      <c r="E61" s="101"/>
      <c r="F61" s="101"/>
      <c r="G61" s="105">
        <v>22.5</v>
      </c>
      <c r="H61" s="101"/>
      <c r="I61" s="101"/>
      <c r="J61" s="105">
        <v>22.5</v>
      </c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">
      <c r="C62" s="120"/>
      <c r="D62" s="120"/>
      <c r="E62" s="120"/>
      <c r="F62" s="120"/>
      <c r="G62" s="120"/>
      <c r="H62" s="120"/>
      <c r="I62" s="120"/>
      <c r="J62" s="120"/>
    </row>
    <row r="63" spans="1:31" x14ac:dyDescent="0.2">
      <c r="C63" s="120"/>
      <c r="D63" s="120"/>
      <c r="E63" s="120"/>
      <c r="F63" s="120"/>
      <c r="G63" s="120"/>
      <c r="H63" s="120"/>
      <c r="I63" s="120"/>
      <c r="J63" s="120"/>
    </row>
    <row r="64" spans="1:31" x14ac:dyDescent="0.2">
      <c r="C64" s="120"/>
      <c r="D64" s="120"/>
      <c r="E64" s="120"/>
      <c r="F64" s="120"/>
      <c r="G64" s="120"/>
      <c r="H64" s="120"/>
      <c r="I64" s="120"/>
      <c r="J64" s="120"/>
    </row>
  </sheetData>
  <mergeCells count="18">
    <mergeCell ref="G4:H4"/>
    <mergeCell ref="I4:J4"/>
    <mergeCell ref="K4:L4"/>
    <mergeCell ref="G5:H5"/>
    <mergeCell ref="I5:J5"/>
    <mergeCell ref="K5:L5"/>
    <mergeCell ref="M23:N23"/>
    <mergeCell ref="I29:I30"/>
    <mergeCell ref="L36:M36"/>
    <mergeCell ref="N36:O36"/>
    <mergeCell ref="G9:H9"/>
    <mergeCell ref="G15:H15"/>
    <mergeCell ref="I15:J15"/>
    <mergeCell ref="K15:L15"/>
    <mergeCell ref="I16:J16"/>
    <mergeCell ref="G23:H23"/>
    <mergeCell ref="I23:J23"/>
    <mergeCell ref="K23:L2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4"/>
  <sheetViews>
    <sheetView topLeftCell="A29" workbookViewId="0">
      <selection activeCell="O59" sqref="O57:O59"/>
    </sheetView>
  </sheetViews>
  <sheetFormatPr baseColWidth="10" defaultColWidth="10.1640625" defaultRowHeight="15" x14ac:dyDescent="0.2"/>
  <cols>
    <col min="4" max="4" width="13.83203125" customWidth="1"/>
    <col min="5" max="5" width="14.33203125" customWidth="1"/>
    <col min="6" max="6" width="15.33203125" customWidth="1"/>
    <col min="7" max="7" width="16.5" customWidth="1"/>
    <col min="8" max="8" width="12.5" customWidth="1"/>
    <col min="9" max="9" width="16.6640625" bestFit="1" customWidth="1"/>
    <col min="10" max="10" width="15.5" customWidth="1"/>
    <col min="11" max="11" width="13.33203125" customWidth="1"/>
    <col min="12" max="12" width="23" customWidth="1"/>
    <col min="13" max="13" width="14.5" customWidth="1"/>
    <col min="14" max="14" width="21.1640625" customWidth="1"/>
    <col min="15" max="15" width="16" customWidth="1"/>
  </cols>
  <sheetData>
    <row r="1" spans="1:17" x14ac:dyDescent="0.2">
      <c r="A1" s="1" t="s">
        <v>75</v>
      </c>
      <c r="M1" s="1" t="s">
        <v>112</v>
      </c>
    </row>
    <row r="2" spans="1:17" x14ac:dyDescent="0.2">
      <c r="E2" s="1" t="s">
        <v>2</v>
      </c>
      <c r="J2" s="4" t="s">
        <v>113</v>
      </c>
      <c r="M2" s="1" t="s">
        <v>114</v>
      </c>
    </row>
    <row r="3" spans="1:17" x14ac:dyDescent="0.2">
      <c r="M3" t="s">
        <v>5</v>
      </c>
      <c r="N3" s="1"/>
    </row>
    <row r="4" spans="1:17" ht="24" x14ac:dyDescent="0.3">
      <c r="B4" s="122" t="s">
        <v>115</v>
      </c>
      <c r="C4" s="122"/>
      <c r="D4" s="122" t="s">
        <v>116</v>
      </c>
      <c r="G4" s="180"/>
      <c r="H4" s="181"/>
      <c r="I4" s="174" t="s">
        <v>8</v>
      </c>
      <c r="J4" s="174"/>
      <c r="K4" s="182"/>
      <c r="L4" s="182"/>
      <c r="N4" s="1"/>
    </row>
    <row r="5" spans="1:17" x14ac:dyDescent="0.2">
      <c r="G5" s="173" t="s">
        <v>117</v>
      </c>
      <c r="H5" s="165"/>
      <c r="I5" s="164"/>
      <c r="J5" s="175"/>
      <c r="K5" s="182"/>
      <c r="L5" s="182"/>
      <c r="N5" s="1" t="s">
        <v>9</v>
      </c>
    </row>
    <row r="6" spans="1:17" x14ac:dyDescent="0.2">
      <c r="C6" s="3" t="s">
        <v>118</v>
      </c>
      <c r="D6" s="3" t="s">
        <v>119</v>
      </c>
      <c r="G6" s="3" t="s">
        <v>118</v>
      </c>
      <c r="H6" s="3" t="s">
        <v>119</v>
      </c>
      <c r="I6" s="4" t="s">
        <v>120</v>
      </c>
      <c r="J6" s="4" t="s">
        <v>121</v>
      </c>
      <c r="K6" s="2"/>
      <c r="L6" s="2"/>
    </row>
    <row r="7" spans="1:17" x14ac:dyDescent="0.2">
      <c r="B7" s="1" t="s">
        <v>122</v>
      </c>
      <c r="C7" s="3">
        <f>60/G7*8</f>
        <v>8</v>
      </c>
      <c r="D7" s="3">
        <f>(60/H7)*8</f>
        <v>32</v>
      </c>
      <c r="F7" s="1" t="s">
        <v>122</v>
      </c>
      <c r="G7" s="3">
        <v>60</v>
      </c>
      <c r="H7" s="3">
        <v>15</v>
      </c>
      <c r="I7" s="3">
        <f>H7/G7</f>
        <v>0.25</v>
      </c>
      <c r="J7" s="123">
        <f>G7/H7</f>
        <v>4</v>
      </c>
      <c r="K7" s="3"/>
      <c r="L7" s="3"/>
      <c r="N7" s="1" t="s">
        <v>15</v>
      </c>
    </row>
    <row r="8" spans="1:17" x14ac:dyDescent="0.2">
      <c r="B8" s="1" t="s">
        <v>123</v>
      </c>
      <c r="C8" s="124">
        <f>60/G8*8</f>
        <v>24</v>
      </c>
      <c r="D8" s="124">
        <f>60/H8*8</f>
        <v>48</v>
      </c>
      <c r="F8" s="1" t="s">
        <v>123</v>
      </c>
      <c r="G8" s="124">
        <v>20</v>
      </c>
      <c r="H8" s="124">
        <v>10</v>
      </c>
      <c r="I8" s="5">
        <f>H8/G8</f>
        <v>0.5</v>
      </c>
      <c r="J8" s="125">
        <f>G8/H8</f>
        <v>2</v>
      </c>
      <c r="K8" s="3"/>
      <c r="L8" s="3"/>
      <c r="N8" t="s">
        <v>17</v>
      </c>
    </row>
    <row r="9" spans="1:17" x14ac:dyDescent="0.2">
      <c r="C9" s="179" t="s">
        <v>18</v>
      </c>
      <c r="D9" s="179"/>
      <c r="G9" s="179" t="s">
        <v>18</v>
      </c>
      <c r="H9" s="179"/>
      <c r="J9" s="1" t="s">
        <v>86</v>
      </c>
      <c r="N9" s="1" t="s">
        <v>19</v>
      </c>
    </row>
    <row r="10" spans="1:17" x14ac:dyDescent="0.2">
      <c r="A10" s="1" t="s">
        <v>20</v>
      </c>
      <c r="N10" s="1" t="s">
        <v>21</v>
      </c>
    </row>
    <row r="11" spans="1:17" x14ac:dyDescent="0.2">
      <c r="N11" t="s">
        <v>22</v>
      </c>
    </row>
    <row r="12" spans="1:17" x14ac:dyDescent="0.2">
      <c r="A12" t="s">
        <v>23</v>
      </c>
      <c r="L12">
        <f>8/480</f>
        <v>1.6666666666666666E-2</v>
      </c>
    </row>
    <row r="13" spans="1:17" ht="20" x14ac:dyDescent="0.2">
      <c r="A13" t="s">
        <v>24</v>
      </c>
      <c r="L13">
        <f>L12*60</f>
        <v>1</v>
      </c>
      <c r="Q13" s="8" t="s">
        <v>87</v>
      </c>
    </row>
    <row r="14" spans="1:17" x14ac:dyDescent="0.2">
      <c r="G14" s="1" t="s">
        <v>136</v>
      </c>
      <c r="Q14" s="1" t="s">
        <v>88</v>
      </c>
    </row>
    <row r="15" spans="1:17" x14ac:dyDescent="0.2">
      <c r="G15" s="171" t="s">
        <v>89</v>
      </c>
      <c r="H15" s="201"/>
      <c r="I15" s="170"/>
      <c r="J15" s="202"/>
      <c r="K15" s="170"/>
      <c r="L15" s="202"/>
      <c r="M15" s="10"/>
    </row>
    <row r="16" spans="1:17" x14ac:dyDescent="0.2">
      <c r="G16" s="3"/>
      <c r="H16" s="126"/>
      <c r="I16" s="202"/>
      <c r="J16" s="202"/>
      <c r="K16" s="19"/>
      <c r="L16" s="19"/>
    </row>
    <row r="17" spans="1:17" x14ac:dyDescent="0.2">
      <c r="A17" s="1" t="s">
        <v>31</v>
      </c>
      <c r="G17" s="3" t="s">
        <v>118</v>
      </c>
      <c r="H17" s="126" t="s">
        <v>119</v>
      </c>
      <c r="I17" s="19"/>
      <c r="J17" s="19"/>
      <c r="K17" s="19"/>
      <c r="L17" s="19"/>
      <c r="N17">
        <f>320/60</f>
        <v>5.333333333333333</v>
      </c>
    </row>
    <row r="18" spans="1:17" x14ac:dyDescent="0.2">
      <c r="F18" t="str">
        <f>F7</f>
        <v>Robinson</v>
      </c>
      <c r="G18" s="3">
        <f>G7/60*8</f>
        <v>8</v>
      </c>
      <c r="H18" s="127">
        <f>60/H7*8</f>
        <v>32</v>
      </c>
      <c r="I18" s="202" t="s">
        <v>124</v>
      </c>
      <c r="J18" s="202"/>
      <c r="K18" s="202"/>
      <c r="L18" s="202"/>
    </row>
    <row r="19" spans="1:17" x14ac:dyDescent="0.2">
      <c r="F19" t="str">
        <f>F8</f>
        <v>Sexta-Feira</v>
      </c>
      <c r="G19" s="3">
        <f>60/G8*8</f>
        <v>24</v>
      </c>
      <c r="H19" s="127">
        <f>60/H8*8</f>
        <v>48</v>
      </c>
      <c r="I19" s="19"/>
      <c r="J19" s="19"/>
      <c r="K19" s="19"/>
      <c r="L19" s="19"/>
      <c r="N19" s="128"/>
    </row>
    <row r="20" spans="1:17" x14ac:dyDescent="0.2">
      <c r="G20" s="19">
        <f>+G18+G19</f>
        <v>32</v>
      </c>
      <c r="H20" s="19">
        <f>+H18+H19</f>
        <v>80</v>
      </c>
      <c r="N20" s="43"/>
    </row>
    <row r="21" spans="1:17" x14ac:dyDescent="0.2">
      <c r="A21" t="s">
        <v>36</v>
      </c>
      <c r="J21" s="1"/>
    </row>
    <row r="22" spans="1:17" x14ac:dyDescent="0.2">
      <c r="J22" s="14"/>
    </row>
    <row r="23" spans="1:17" x14ac:dyDescent="0.2">
      <c r="G23" s="173" t="s">
        <v>93</v>
      </c>
      <c r="H23" s="165"/>
      <c r="I23" s="164" t="s">
        <v>38</v>
      </c>
      <c r="J23" s="165"/>
      <c r="K23" s="173" t="s">
        <v>94</v>
      </c>
      <c r="L23" s="165"/>
      <c r="M23" s="173" t="s">
        <v>125</v>
      </c>
      <c r="N23" s="165"/>
      <c r="O23" s="129" t="s">
        <v>126</v>
      </c>
      <c r="P23" s="130"/>
    </row>
    <row r="24" spans="1:17" x14ac:dyDescent="0.2">
      <c r="G24" s="3"/>
      <c r="H24" s="3"/>
      <c r="I24" s="3"/>
      <c r="J24" s="3"/>
      <c r="K24" s="126"/>
      <c r="L24" s="126"/>
      <c r="M24" s="126"/>
      <c r="N24" s="126"/>
      <c r="O24" s="131" t="s">
        <v>127</v>
      </c>
      <c r="P24" s="132"/>
    </row>
    <row r="25" spans="1:17" x14ac:dyDescent="0.2">
      <c r="D25" t="s">
        <v>137</v>
      </c>
      <c r="G25" s="3" t="s">
        <v>118</v>
      </c>
      <c r="H25" s="3" t="s">
        <v>119</v>
      </c>
      <c r="I25" s="3" t="s">
        <v>118</v>
      </c>
      <c r="J25" s="3" t="s">
        <v>119</v>
      </c>
      <c r="K25" s="3" t="s">
        <v>118</v>
      </c>
      <c r="L25" s="133" t="s">
        <v>119</v>
      </c>
      <c r="M25" s="3" t="s">
        <v>118</v>
      </c>
      <c r="N25" s="133" t="s">
        <v>119</v>
      </c>
      <c r="O25" s="4"/>
      <c r="P25" s="4"/>
    </row>
    <row r="26" spans="1:17" x14ac:dyDescent="0.2">
      <c r="C26" t="s">
        <v>128</v>
      </c>
      <c r="D26" t="s">
        <v>129</v>
      </c>
      <c r="F26" t="str">
        <f>F7</f>
        <v>Robinson</v>
      </c>
      <c r="G26" s="3">
        <v>4</v>
      </c>
      <c r="H26" s="11">
        <v>16</v>
      </c>
      <c r="I26" s="3">
        <v>0</v>
      </c>
      <c r="J26" s="11">
        <v>32</v>
      </c>
      <c r="K26" s="3">
        <v>4</v>
      </c>
      <c r="L26" s="3">
        <v>16</v>
      </c>
      <c r="M26" s="3">
        <v>0</v>
      </c>
      <c r="N26" s="3">
        <f>J26/H18*8</f>
        <v>8</v>
      </c>
      <c r="O26" s="3">
        <v>0</v>
      </c>
      <c r="P26" s="3"/>
    </row>
    <row r="27" spans="1:17" x14ac:dyDescent="0.2">
      <c r="C27">
        <f>(1-D27)</f>
        <v>0.83333333333333337</v>
      </c>
      <c r="D27">
        <f>J27/H19</f>
        <v>0.16666666666666666</v>
      </c>
      <c r="F27" t="str">
        <f>F8</f>
        <v>Sexta-Feira</v>
      </c>
      <c r="G27" s="3">
        <v>12</v>
      </c>
      <c r="H27" s="11">
        <v>24</v>
      </c>
      <c r="I27" s="3">
        <f>C27*G19</f>
        <v>20</v>
      </c>
      <c r="J27" s="134">
        <f>H28-J26</f>
        <v>8</v>
      </c>
      <c r="K27" s="3">
        <f>KI2627</f>
        <v>0</v>
      </c>
      <c r="L27" s="3">
        <v>0</v>
      </c>
      <c r="M27" s="135">
        <f>I27/C8*8</f>
        <v>6.666666666666667</v>
      </c>
      <c r="N27" s="16">
        <f>J27/H19*8</f>
        <v>1.3333333333333333</v>
      </c>
      <c r="O27" s="16">
        <f>8-M27-N27</f>
        <v>0</v>
      </c>
      <c r="P27" s="3"/>
    </row>
    <row r="28" spans="1:17" x14ac:dyDescent="0.2">
      <c r="F28" s="1" t="s">
        <v>96</v>
      </c>
      <c r="G28" s="19">
        <f>G26+G27</f>
        <v>16</v>
      </c>
      <c r="H28" s="136">
        <f>H26+H27</f>
        <v>40</v>
      </c>
      <c r="I28" s="19">
        <f>I26+I27</f>
        <v>20</v>
      </c>
      <c r="J28" s="19">
        <f>J26+J27</f>
        <v>40</v>
      </c>
      <c r="K28" s="19">
        <f>K26+K27</f>
        <v>4</v>
      </c>
      <c r="L28" s="19"/>
      <c r="M28" s="19"/>
      <c r="N28" s="19"/>
      <c r="O28" s="19"/>
    </row>
    <row r="29" spans="1:17" ht="26" x14ac:dyDescent="0.3">
      <c r="F29" s="1"/>
      <c r="G29" s="19"/>
      <c r="H29" s="137">
        <f>G28+H28</f>
        <v>56</v>
      </c>
      <c r="I29" s="138"/>
      <c r="J29" s="139">
        <f>J28+I28</f>
        <v>60</v>
      </c>
      <c r="K29" s="140"/>
      <c r="L29" s="10"/>
      <c r="M29" s="10"/>
      <c r="N29" s="10"/>
      <c r="O29" s="10"/>
      <c r="P29" s="141"/>
      <c r="Q29" s="141"/>
    </row>
    <row r="31" spans="1:17" x14ac:dyDescent="0.2">
      <c r="E31" s="1"/>
      <c r="O31" s="142"/>
      <c r="P31" s="142"/>
    </row>
    <row r="33" spans="2:16" x14ac:dyDescent="0.2">
      <c r="C33" s="1" t="s">
        <v>48</v>
      </c>
    </row>
    <row r="34" spans="2:16" x14ac:dyDescent="0.2">
      <c r="C34" s="1" t="s">
        <v>49</v>
      </c>
    </row>
    <row r="35" spans="2:16" ht="16" thickBot="1" x14ac:dyDescent="0.25">
      <c r="C35" t="s">
        <v>50</v>
      </c>
    </row>
    <row r="36" spans="2:16" x14ac:dyDescent="0.2">
      <c r="L36" s="166" t="s">
        <v>122</v>
      </c>
      <c r="M36" s="167"/>
      <c r="N36" s="168" t="s">
        <v>123</v>
      </c>
      <c r="O36" s="169"/>
    </row>
    <row r="37" spans="2:16" x14ac:dyDescent="0.2">
      <c r="L37" s="25" t="s">
        <v>128</v>
      </c>
      <c r="M37" s="26" t="s">
        <v>129</v>
      </c>
      <c r="N37" s="27" t="str">
        <f>L37</f>
        <v>peixe</v>
      </c>
      <c r="O37" s="28" t="str">
        <f>M37</f>
        <v>agua</v>
      </c>
    </row>
    <row r="38" spans="2:16" x14ac:dyDescent="0.2">
      <c r="K38" s="19">
        <v>0</v>
      </c>
      <c r="L38" s="29">
        <f>G18</f>
        <v>8</v>
      </c>
      <c r="M38" s="143">
        <f>($H$18-($H$18*L38)/$G$18)</f>
        <v>0</v>
      </c>
      <c r="N38" s="144">
        <v>24</v>
      </c>
      <c r="O38" s="30">
        <f>$H$19-($H$19*N38)/$G$19</f>
        <v>0</v>
      </c>
      <c r="P38" s="32">
        <f>L38+N38</f>
        <v>32</v>
      </c>
    </row>
    <row r="39" spans="2:16" x14ac:dyDescent="0.2">
      <c r="K39" s="19">
        <v>1</v>
      </c>
      <c r="L39" s="34">
        <f>L38-1</f>
        <v>7</v>
      </c>
      <c r="M39" s="143">
        <f>($H$18-($H$18*L39)/$G$18)</f>
        <v>4</v>
      </c>
      <c r="N39" s="144">
        <f>N38-3</f>
        <v>21</v>
      </c>
      <c r="O39" s="30">
        <f t="shared" ref="O39:O46" si="0">$H$19-($H$19*N39)/$G$19</f>
        <v>6</v>
      </c>
      <c r="P39" s="32">
        <f t="shared" ref="P39:P46" si="1">L39+N39</f>
        <v>28</v>
      </c>
    </row>
    <row r="40" spans="2:16" x14ac:dyDescent="0.2">
      <c r="K40" s="19">
        <v>2</v>
      </c>
      <c r="L40" s="34">
        <f t="shared" ref="L40:L46" si="2">L39-1</f>
        <v>6</v>
      </c>
      <c r="M40" s="143">
        <f t="shared" ref="M40:M46" si="3">($H$18-($H$18*L40)/$G$18)</f>
        <v>8</v>
      </c>
      <c r="N40" s="144">
        <f t="shared" ref="N40:N46" si="4">N39-3</f>
        <v>18</v>
      </c>
      <c r="O40" s="30">
        <f t="shared" si="0"/>
        <v>12</v>
      </c>
      <c r="P40" s="32">
        <f t="shared" si="1"/>
        <v>24</v>
      </c>
    </row>
    <row r="41" spans="2:16" x14ac:dyDescent="0.2">
      <c r="K41" s="19">
        <v>3</v>
      </c>
      <c r="L41" s="34">
        <f t="shared" si="2"/>
        <v>5</v>
      </c>
      <c r="M41" s="143">
        <f t="shared" si="3"/>
        <v>12</v>
      </c>
      <c r="N41" s="144">
        <v>15</v>
      </c>
      <c r="O41" s="30">
        <f t="shared" si="0"/>
        <v>18</v>
      </c>
      <c r="P41" s="32">
        <f t="shared" si="1"/>
        <v>20</v>
      </c>
    </row>
    <row r="42" spans="2:16" x14ac:dyDescent="0.2">
      <c r="K42" s="19">
        <v>4</v>
      </c>
      <c r="L42" s="34">
        <f t="shared" si="2"/>
        <v>4</v>
      </c>
      <c r="M42" s="143">
        <f t="shared" si="3"/>
        <v>16</v>
      </c>
      <c r="N42" s="144">
        <f t="shared" si="4"/>
        <v>12</v>
      </c>
      <c r="O42" s="30">
        <f t="shared" si="0"/>
        <v>24</v>
      </c>
      <c r="P42" s="32">
        <f t="shared" si="1"/>
        <v>16</v>
      </c>
    </row>
    <row r="43" spans="2:16" x14ac:dyDescent="0.2">
      <c r="B43" s="120"/>
      <c r="C43" s="120"/>
      <c r="D43" s="120"/>
      <c r="E43" s="120"/>
      <c r="F43" s="120"/>
      <c r="G43" s="120"/>
      <c r="H43" s="120"/>
      <c r="I43" s="120"/>
      <c r="J43" s="120"/>
      <c r="K43" s="19">
        <v>5</v>
      </c>
      <c r="L43" s="34">
        <f t="shared" si="2"/>
        <v>3</v>
      </c>
      <c r="M43" s="143">
        <f t="shared" si="3"/>
        <v>20</v>
      </c>
      <c r="N43" s="144">
        <f t="shared" si="4"/>
        <v>9</v>
      </c>
      <c r="O43" s="30">
        <f t="shared" si="0"/>
        <v>30</v>
      </c>
      <c r="P43" s="32">
        <f t="shared" si="1"/>
        <v>12</v>
      </c>
    </row>
    <row r="44" spans="2:16" x14ac:dyDescent="0.2">
      <c r="B44" s="120"/>
      <c r="C44" s="13"/>
      <c r="D44" s="120"/>
      <c r="E44" s="120"/>
      <c r="F44" s="120"/>
      <c r="G44" s="120"/>
      <c r="H44" s="120"/>
      <c r="I44" s="120"/>
      <c r="J44" s="120"/>
      <c r="K44" s="19">
        <v>6</v>
      </c>
      <c r="L44" s="34">
        <f t="shared" si="2"/>
        <v>2</v>
      </c>
      <c r="M44" s="143">
        <f t="shared" si="3"/>
        <v>24</v>
      </c>
      <c r="N44" s="144">
        <f t="shared" si="4"/>
        <v>6</v>
      </c>
      <c r="O44" s="30">
        <f t="shared" si="0"/>
        <v>36</v>
      </c>
      <c r="P44" s="32">
        <f t="shared" si="1"/>
        <v>8</v>
      </c>
    </row>
    <row r="45" spans="2:16" x14ac:dyDescent="0.2">
      <c r="B45" s="120"/>
      <c r="C45" s="120"/>
      <c r="D45" s="120"/>
      <c r="E45" s="120" t="s">
        <v>63</v>
      </c>
      <c r="F45" s="145" t="s">
        <v>64</v>
      </c>
      <c r="G45" s="120"/>
      <c r="H45" s="120" t="s">
        <v>65</v>
      </c>
      <c r="I45" s="120"/>
      <c r="J45" s="120"/>
      <c r="K45" s="19">
        <v>7</v>
      </c>
      <c r="L45" s="34">
        <f t="shared" si="2"/>
        <v>1</v>
      </c>
      <c r="M45" s="143">
        <f t="shared" si="3"/>
        <v>28</v>
      </c>
      <c r="N45" s="144">
        <f t="shared" si="4"/>
        <v>3</v>
      </c>
      <c r="O45" s="30">
        <f t="shared" si="0"/>
        <v>42</v>
      </c>
      <c r="P45" s="32">
        <f t="shared" si="1"/>
        <v>4</v>
      </c>
    </row>
    <row r="46" spans="2:16" x14ac:dyDescent="0.2">
      <c r="B46" s="120"/>
      <c r="C46" s="120"/>
      <c r="D46" s="120"/>
      <c r="E46" s="120"/>
      <c r="F46" s="145"/>
      <c r="G46" s="120"/>
      <c r="H46" s="146" t="s">
        <v>66</v>
      </c>
      <c r="I46" s="147">
        <f>(G55*E55)+(E56*G56)+(E57*G57)+(E58*G58)</f>
        <v>63.999999996251411</v>
      </c>
      <c r="J46" s="120"/>
      <c r="K46" s="19">
        <v>8</v>
      </c>
      <c r="L46" s="34">
        <f t="shared" si="2"/>
        <v>0</v>
      </c>
      <c r="M46" s="143">
        <f t="shared" si="3"/>
        <v>32</v>
      </c>
      <c r="N46" s="144">
        <f t="shared" si="4"/>
        <v>0</v>
      </c>
      <c r="O46" s="30">
        <f t="shared" si="0"/>
        <v>48</v>
      </c>
      <c r="P46" s="32">
        <f t="shared" si="1"/>
        <v>0</v>
      </c>
    </row>
    <row r="47" spans="2:16" x14ac:dyDescent="0.2">
      <c r="B47" s="120"/>
      <c r="C47" s="120"/>
      <c r="D47" s="120"/>
      <c r="E47" s="120"/>
      <c r="F47" s="120" t="s">
        <v>67</v>
      </c>
      <c r="G47" s="120"/>
      <c r="H47" s="120"/>
      <c r="I47" s="120"/>
      <c r="J47" s="120"/>
    </row>
    <row r="48" spans="2:16" x14ac:dyDescent="0.2">
      <c r="B48" s="120"/>
      <c r="C48" s="148"/>
      <c r="D48" s="120"/>
      <c r="E48" s="120" t="str">
        <f>F26</f>
        <v>Robinson</v>
      </c>
      <c r="F48" s="145" t="s">
        <v>130</v>
      </c>
      <c r="G48" s="120"/>
      <c r="H48" s="120"/>
      <c r="I48" s="149">
        <f>(G55*G7/480)+(G56*H7/480)</f>
        <v>0.99999999986717258</v>
      </c>
      <c r="J48" s="120">
        <v>1</v>
      </c>
    </row>
    <row r="49" spans="2:15" x14ac:dyDescent="0.2">
      <c r="B49" s="120"/>
      <c r="C49" s="148"/>
      <c r="D49" s="120"/>
      <c r="E49" s="120" t="str">
        <f>F27</f>
        <v>Sexta-Feira</v>
      </c>
      <c r="F49" s="145" t="s">
        <v>131</v>
      </c>
      <c r="G49" s="120"/>
      <c r="H49" s="120"/>
      <c r="I49" s="149">
        <f>(G57*G8/480)+(G58*H8/480)</f>
        <v>1.0000000000111477</v>
      </c>
      <c r="J49" s="120">
        <v>1</v>
      </c>
      <c r="L49">
        <f>(($H$7*L38)/$G$18)</f>
        <v>15</v>
      </c>
    </row>
    <row r="50" spans="2:15" x14ac:dyDescent="0.2">
      <c r="B50" s="120"/>
      <c r="C50" s="106"/>
      <c r="D50" s="120"/>
      <c r="E50" s="13" t="s">
        <v>129</v>
      </c>
      <c r="F50" s="150" t="s">
        <v>132</v>
      </c>
      <c r="G50" s="120"/>
      <c r="H50" s="120"/>
      <c r="I50" s="151">
        <f>G56+G58</f>
        <v>47.999999996251404</v>
      </c>
      <c r="J50" s="120">
        <v>40</v>
      </c>
    </row>
    <row r="51" spans="2:15" x14ac:dyDescent="0.2">
      <c r="B51" s="120"/>
      <c r="C51" s="109"/>
      <c r="D51" s="120"/>
      <c r="E51" s="13" t="s">
        <v>128</v>
      </c>
      <c r="F51" s="150" t="s">
        <v>133</v>
      </c>
      <c r="G51" s="120"/>
      <c r="H51" s="120"/>
      <c r="I51" s="147">
        <f>G55+G57</f>
        <v>16</v>
      </c>
      <c r="J51" s="120">
        <v>16</v>
      </c>
      <c r="O51">
        <f>30/8</f>
        <v>3.75</v>
      </c>
    </row>
    <row r="52" spans="2:15" x14ac:dyDescent="0.2">
      <c r="B52" s="120"/>
      <c r="C52" s="120"/>
      <c r="D52" s="120"/>
      <c r="E52" s="120"/>
      <c r="F52" s="145"/>
      <c r="G52" s="120"/>
      <c r="H52" s="120"/>
      <c r="I52" s="120"/>
      <c r="J52" s="120"/>
    </row>
    <row r="53" spans="2:15" ht="16" thickBot="1" x14ac:dyDescent="0.25">
      <c r="B53" s="120"/>
      <c r="C53" s="120"/>
      <c r="D53" s="120"/>
      <c r="E53" s="120"/>
      <c r="F53" s="145"/>
      <c r="G53" s="120"/>
      <c r="H53" s="120"/>
      <c r="I53" s="120"/>
      <c r="J53" s="120"/>
    </row>
    <row r="54" spans="2:15" x14ac:dyDescent="0.2">
      <c r="B54" s="120"/>
      <c r="C54" s="13"/>
      <c r="D54" s="120"/>
      <c r="E54" s="13" t="s">
        <v>72</v>
      </c>
      <c r="F54" s="152"/>
      <c r="G54" s="153"/>
      <c r="H54" s="154" t="s">
        <v>128</v>
      </c>
      <c r="I54" s="155" t="s">
        <v>121</v>
      </c>
      <c r="J54" s="120"/>
    </row>
    <row r="55" spans="2:15" x14ac:dyDescent="0.2">
      <c r="B55" s="120"/>
      <c r="C55" s="13" t="s">
        <v>134</v>
      </c>
      <c r="D55" s="13" t="s">
        <v>120</v>
      </c>
      <c r="E55" s="120">
        <v>1</v>
      </c>
      <c r="F55" s="156" t="s">
        <v>55</v>
      </c>
      <c r="G55" s="157">
        <v>1.6603425693086628E-11</v>
      </c>
      <c r="H55" s="158">
        <f>G55+G57</f>
        <v>16</v>
      </c>
      <c r="I55" s="159"/>
      <c r="J55" s="120">
        <v>5.5</v>
      </c>
    </row>
    <row r="56" spans="2:15" x14ac:dyDescent="0.2">
      <c r="B56" s="120"/>
      <c r="C56" s="13"/>
      <c r="D56" s="13" t="s">
        <v>121</v>
      </c>
      <c r="E56" s="120">
        <v>1</v>
      </c>
      <c r="F56" s="156" t="s">
        <v>56</v>
      </c>
      <c r="G56" s="157">
        <v>31.999999995683108</v>
      </c>
      <c r="H56" s="158"/>
      <c r="I56" s="159">
        <f>G56+G58</f>
        <v>47.999999996251404</v>
      </c>
      <c r="J56" s="120">
        <v>9</v>
      </c>
    </row>
    <row r="57" spans="2:15" x14ac:dyDescent="0.2">
      <c r="B57" s="120"/>
      <c r="C57" s="13" t="s">
        <v>135</v>
      </c>
      <c r="D57" s="13" t="s">
        <v>120</v>
      </c>
      <c r="E57" s="120">
        <v>1</v>
      </c>
      <c r="F57" s="156" t="s">
        <v>57</v>
      </c>
      <c r="G57" s="157">
        <v>15.999999999983398</v>
      </c>
      <c r="H57" s="158"/>
      <c r="I57" s="159"/>
      <c r="J57" s="120">
        <v>0</v>
      </c>
    </row>
    <row r="58" spans="2:15" ht="16" thickBot="1" x14ac:dyDescent="0.25">
      <c r="B58" s="120"/>
      <c r="C58" s="120"/>
      <c r="D58" s="13" t="s">
        <v>121</v>
      </c>
      <c r="E58" s="120">
        <v>1</v>
      </c>
      <c r="F58" s="160" t="s">
        <v>58</v>
      </c>
      <c r="G58" s="161">
        <v>16.000000000568299</v>
      </c>
      <c r="H58" s="162"/>
      <c r="I58" s="163"/>
      <c r="J58" s="120">
        <v>8</v>
      </c>
    </row>
    <row r="59" spans="2:15" x14ac:dyDescent="0.2">
      <c r="B59" s="120"/>
      <c r="C59" s="120"/>
      <c r="D59" s="120"/>
      <c r="E59" s="120"/>
      <c r="F59" s="120"/>
      <c r="G59" s="120"/>
      <c r="H59" s="120"/>
      <c r="I59" s="120"/>
      <c r="J59" s="120"/>
    </row>
    <row r="60" spans="2:15" x14ac:dyDescent="0.2">
      <c r="B60" s="120"/>
      <c r="C60" s="120"/>
      <c r="D60" s="120"/>
      <c r="E60" s="120"/>
      <c r="F60" s="120"/>
      <c r="G60" s="120"/>
      <c r="H60" s="120"/>
      <c r="I60" s="120"/>
      <c r="J60" s="120"/>
    </row>
    <row r="61" spans="2:15" x14ac:dyDescent="0.2">
      <c r="B61" s="120"/>
      <c r="C61" s="120"/>
      <c r="D61" s="120"/>
      <c r="E61" s="120"/>
      <c r="F61" s="120"/>
      <c r="G61" s="149">
        <f>SUM(G55:G58)</f>
        <v>63.999999996251411</v>
      </c>
      <c r="H61" s="120"/>
      <c r="I61" s="120"/>
      <c r="J61" s="149">
        <f>SUM(J55:J58)</f>
        <v>22.5</v>
      </c>
    </row>
    <row r="62" spans="2:15" x14ac:dyDescent="0.2">
      <c r="B62" s="120"/>
      <c r="C62" s="120"/>
      <c r="D62" s="120"/>
      <c r="E62" s="120"/>
      <c r="F62" s="120"/>
      <c r="G62" s="120"/>
      <c r="H62" s="120"/>
      <c r="I62" s="120"/>
      <c r="J62" s="120"/>
    </row>
    <row r="63" spans="2:15" x14ac:dyDescent="0.2">
      <c r="B63" s="120"/>
      <c r="C63" s="120"/>
      <c r="D63" s="120"/>
      <c r="E63" s="120"/>
      <c r="F63" s="120"/>
      <c r="G63" s="120"/>
      <c r="H63" s="120"/>
      <c r="I63" s="120"/>
      <c r="J63" s="120"/>
    </row>
    <row r="64" spans="2:15" x14ac:dyDescent="0.2">
      <c r="B64" s="120"/>
      <c r="C64" s="120"/>
      <c r="D64" s="120"/>
      <c r="E64" s="120"/>
      <c r="F64" s="120"/>
      <c r="G64" s="120"/>
      <c r="H64" s="120"/>
      <c r="I64" s="120"/>
      <c r="J64" s="120"/>
    </row>
  </sheetData>
  <mergeCells count="19">
    <mergeCell ref="G4:H4"/>
    <mergeCell ref="I4:J4"/>
    <mergeCell ref="K4:L4"/>
    <mergeCell ref="G5:H5"/>
    <mergeCell ref="I5:J5"/>
    <mergeCell ref="K5:L5"/>
    <mergeCell ref="L36:M36"/>
    <mergeCell ref="N36:O36"/>
    <mergeCell ref="G9:H9"/>
    <mergeCell ref="G15:H15"/>
    <mergeCell ref="I15:J15"/>
    <mergeCell ref="K15:L15"/>
    <mergeCell ref="I16:J16"/>
    <mergeCell ref="I18:L18"/>
    <mergeCell ref="C9:D9"/>
    <mergeCell ref="G23:H23"/>
    <mergeCell ref="I23:J23"/>
    <mergeCell ref="K23:L23"/>
    <mergeCell ref="M23:N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iraq iranj 8 8 4 4 </vt:lpstr>
      <vt:lpstr>ing portugal</vt:lpstr>
      <vt:lpstr>robinson e sexta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reinaldo.costa</dc:creator>
  <cp:lastModifiedBy>Microsoft Office User</cp:lastModifiedBy>
  <dcterms:created xsi:type="dcterms:W3CDTF">2022-09-15T12:52:22Z</dcterms:created>
  <dcterms:modified xsi:type="dcterms:W3CDTF">2024-05-23T11:50:52Z</dcterms:modified>
</cp:coreProperties>
</file>