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3CURSOS\LEB0306-METEORO\2023\Aula7 - ET\"/>
    </mc:Choice>
  </mc:AlternateContent>
  <xr:revisionPtr revIDLastSave="0" documentId="13_ncr:1_{C71211AF-1929-419F-B4FC-D2230CD7D748}" xr6:coauthVersionLast="47" xr6:coauthVersionMax="47" xr10:uidLastSave="{00000000-0000-0000-0000-000000000000}"/>
  <bookViews>
    <workbookView xWindow="28680" yWindow="-120" windowWidth="29040" windowHeight="15840" xr2:uid="{EC2EB6D1-40DA-4C71-BBF8-5F4DF3531646}"/>
  </bookViews>
  <sheets>
    <sheet name="Camargo" sheetId="2" r:id="rId1"/>
    <sheet name="Penman-Monteith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  <c r="F3" i="1"/>
  <c r="F2" i="1"/>
  <c r="E3" i="1"/>
  <c r="E2" i="1"/>
  <c r="D3" i="1"/>
  <c r="D2" i="1"/>
  <c r="C3" i="1"/>
  <c r="C2" i="1"/>
  <c r="B3" i="1"/>
  <c r="B2" i="1"/>
  <c r="C8" i="2"/>
  <c r="G8" i="2" s="1"/>
  <c r="C7" i="2"/>
  <c r="G7" i="2" s="1"/>
  <c r="E4" i="2"/>
  <c r="E3" i="2"/>
  <c r="E13" i="2"/>
  <c r="F13" i="2" s="1"/>
  <c r="E12" i="2"/>
  <c r="F12" i="2" s="1"/>
  <c r="D4" i="2"/>
  <c r="G13" i="2" s="1"/>
  <c r="D3" i="2"/>
  <c r="B12" i="2" s="1"/>
  <c r="C12" i="2" s="1"/>
  <c r="B13" i="2" l="1"/>
  <c r="C13" i="2" s="1"/>
  <c r="G12" i="2"/>
  <c r="D12" i="2"/>
  <c r="E8" i="2"/>
  <c r="F8" i="2" s="1"/>
  <c r="H8" i="2" s="1"/>
  <c r="E7" i="2"/>
  <c r="F7" i="2" s="1"/>
  <c r="H7" i="2" s="1"/>
  <c r="J12" i="2" l="1"/>
  <c r="D13" i="2"/>
  <c r="J13" i="2" s="1"/>
  <c r="J8" i="2" l="1"/>
  <c r="J7" i="2"/>
  <c r="G7" i="1"/>
  <c r="E7" i="1"/>
  <c r="F7" i="1" s="1"/>
  <c r="B7" i="1"/>
  <c r="G6" i="1"/>
  <c r="E6" i="1"/>
  <c r="F6" i="1" s="1"/>
  <c r="B6" i="1"/>
  <c r="C6" i="1" s="1"/>
  <c r="C7" i="1" l="1"/>
  <c r="D7" i="1" s="1"/>
  <c r="H7" i="1" s="1"/>
  <c r="D6" i="1"/>
  <c r="H6" i="1" s="1"/>
</calcChain>
</file>

<file path=xl/sharedStrings.xml><?xml version="1.0" encoding="utf-8"?>
<sst xmlns="http://schemas.openxmlformats.org/spreadsheetml/2006/main" count="48" uniqueCount="31">
  <si>
    <t>DPV</t>
  </si>
  <si>
    <t>Pressão (kPa)</t>
  </si>
  <si>
    <t>ϒ (kPa/C)</t>
  </si>
  <si>
    <t>s (kPa/C)</t>
  </si>
  <si>
    <t>Eto (mm/dia)</t>
  </si>
  <si>
    <t xml:space="preserve">Dia 10 </t>
  </si>
  <si>
    <t>Temp Med (C)</t>
  </si>
  <si>
    <t>UR med(%)</t>
  </si>
  <si>
    <t>Vel vento (m/s)</t>
  </si>
  <si>
    <t>SR (MJ/m2.d)</t>
  </si>
  <si>
    <t>G (MJ/m2.d)</t>
  </si>
  <si>
    <t>Dia 135</t>
  </si>
  <si>
    <t>Altitude</t>
  </si>
  <si>
    <t>δ (°)</t>
  </si>
  <si>
    <t>hns(°)</t>
  </si>
  <si>
    <t>(D/d)²</t>
  </si>
  <si>
    <t xml:space="preserve">Latitude (graus) </t>
  </si>
  <si>
    <t>Qo (MJ/m²d)</t>
  </si>
  <si>
    <t>Dia 10</t>
  </si>
  <si>
    <t>Tmax</t>
  </si>
  <si>
    <t>Tmin</t>
  </si>
  <si>
    <t>Camargo</t>
  </si>
  <si>
    <t>PM</t>
  </si>
  <si>
    <t>Tef</t>
  </si>
  <si>
    <t>Jo</t>
  </si>
  <si>
    <t>Jo'</t>
  </si>
  <si>
    <t>ETo C (mm/dia)</t>
  </si>
  <si>
    <t>ETo PM (mm/dia)</t>
  </si>
  <si>
    <t>es (kPa)</t>
  </si>
  <si>
    <t>ea (kPa)</t>
  </si>
  <si>
    <t>Resolução do exercício 1 sobre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</si>
</sst>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2EB0-688F-4CF4-8CC2-AACF0AF9A7A0}">
  <dimension ref="A1:L13"/>
  <sheetViews>
    <sheetView tabSelected="1" workbookViewId="0">
      <selection activeCell="G13" sqref="G13"/>
    </sheetView>
  </sheetViews>
  <sheetFormatPr defaultRowHeight="15" x14ac:dyDescent="0.25"/>
  <cols>
    <col min="1" max="1" width="15.42578125" bestFit="1" customWidth="1"/>
    <col min="2" max="2" width="13.5703125" bestFit="1" customWidth="1"/>
    <col min="3" max="3" width="10.85546875" bestFit="1" customWidth="1"/>
    <col min="4" max="4" width="15" bestFit="1" customWidth="1"/>
    <col min="5" max="5" width="12.85546875" bestFit="1" customWidth="1"/>
    <col min="6" max="6" width="12.5703125" bestFit="1" customWidth="1"/>
    <col min="7" max="7" width="11.5703125" bestFit="1" customWidth="1"/>
    <col min="8" max="8" width="15.5703125" bestFit="1" customWidth="1"/>
    <col min="9" max="9" width="15" bestFit="1" customWidth="1"/>
    <col min="10" max="10" width="16.42578125" bestFit="1" customWidth="1"/>
  </cols>
  <sheetData>
    <row r="1" spans="1:12" x14ac:dyDescent="0.25">
      <c r="A1" t="s">
        <v>30</v>
      </c>
    </row>
    <row r="2" spans="1:12" x14ac:dyDescent="0.25">
      <c r="B2" t="s">
        <v>19</v>
      </c>
      <c r="C2" t="s">
        <v>20</v>
      </c>
      <c r="D2" t="s">
        <v>6</v>
      </c>
      <c r="E2" t="s">
        <v>23</v>
      </c>
      <c r="F2" t="s">
        <v>7</v>
      </c>
      <c r="G2" t="s">
        <v>8</v>
      </c>
      <c r="H2" t="s">
        <v>9</v>
      </c>
      <c r="I2" t="s">
        <v>10</v>
      </c>
      <c r="J2" t="s">
        <v>12</v>
      </c>
      <c r="K2" t="s">
        <v>16</v>
      </c>
    </row>
    <row r="3" spans="1:12" x14ac:dyDescent="0.25">
      <c r="A3" s="2">
        <v>10</v>
      </c>
      <c r="B3" s="12">
        <v>33.6</v>
      </c>
      <c r="C3" s="12">
        <v>22.3</v>
      </c>
      <c r="D3" s="9">
        <f>AVERAGE(B3:C3)</f>
        <v>27.950000000000003</v>
      </c>
      <c r="E3" s="9">
        <f>0.36*(3*B3-C3)</f>
        <v>28.260000000000005</v>
      </c>
      <c r="F3" s="12">
        <v>72.599999999999994</v>
      </c>
      <c r="G3" s="11">
        <v>0.67</v>
      </c>
      <c r="H3" s="12">
        <v>15.7</v>
      </c>
      <c r="I3" s="11">
        <v>0.48</v>
      </c>
      <c r="J3" s="12">
        <v>528</v>
      </c>
      <c r="K3" s="4">
        <v>-22.725000000000001</v>
      </c>
      <c r="L3" s="10"/>
    </row>
    <row r="4" spans="1:12" x14ac:dyDescent="0.25">
      <c r="A4" s="2">
        <v>135</v>
      </c>
      <c r="B4" s="12">
        <v>24.6</v>
      </c>
      <c r="C4" s="12">
        <v>19.600000000000001</v>
      </c>
      <c r="D4" s="9">
        <f>AVERAGE(B4:C4)</f>
        <v>22.1</v>
      </c>
      <c r="E4" s="9">
        <f>0.36*(3*B4-C4)</f>
        <v>19.512000000000004</v>
      </c>
      <c r="F4" s="12">
        <v>82.1</v>
      </c>
      <c r="G4" s="11">
        <v>0.71</v>
      </c>
      <c r="H4" s="12">
        <v>6.3</v>
      </c>
      <c r="I4" s="11">
        <v>0.35</v>
      </c>
      <c r="J4" s="12">
        <v>528</v>
      </c>
      <c r="K4" s="4">
        <v>-22.725000000000001</v>
      </c>
      <c r="L4" s="10"/>
    </row>
    <row r="5" spans="1:12" x14ac:dyDescent="0.25">
      <c r="A5" s="2"/>
      <c r="B5" s="2"/>
      <c r="C5" s="2"/>
      <c r="K5" s="4"/>
    </row>
    <row r="6" spans="1:12" x14ac:dyDescent="0.25">
      <c r="A6" s="8" t="s">
        <v>21</v>
      </c>
      <c r="B6" s="2"/>
      <c r="C6" s="3" t="s">
        <v>13</v>
      </c>
      <c r="D6" s="3" t="s">
        <v>24</v>
      </c>
      <c r="E6" s="2" t="s">
        <v>15</v>
      </c>
      <c r="F6" s="2" t="s">
        <v>25</v>
      </c>
      <c r="G6" s="2" t="s">
        <v>14</v>
      </c>
      <c r="H6" s="2" t="s">
        <v>17</v>
      </c>
      <c r="I6" s="2"/>
      <c r="J6" s="5" t="s">
        <v>26</v>
      </c>
    </row>
    <row r="7" spans="1:12" x14ac:dyDescent="0.25">
      <c r="A7" t="s">
        <v>18</v>
      </c>
      <c r="C7" s="11">
        <f>(SIN(RADIANS(((360/365)*(A3-80))))*23.45)</f>
        <v>-21.898483015897597</v>
      </c>
      <c r="D7" s="2">
        <v>118.11</v>
      </c>
      <c r="E7" s="11">
        <f>1+0.033*COS(RADIANS((360/365)*A3))</f>
        <v>1.03251226352295</v>
      </c>
      <c r="F7" s="11">
        <f>E7*D7</f>
        <v>121.95002344469563</v>
      </c>
      <c r="G7" s="11">
        <f>DEGREES(ACOS(-TAN(RADIANS(K3))*TAN(RADIANS(C7))))</f>
        <v>99.692038992129397</v>
      </c>
      <c r="H7" s="11">
        <f>(F7/PI())*((PI()/180*G7)*SIN(RADIANS(K3))*SIN(RADIANS(C7))+(COS(RADIANS(K3))*COS(RADIANS(C7))*SIN(RADIANS(G7))))</f>
        <v>42.478136795476473</v>
      </c>
      <c r="I7" s="2"/>
      <c r="J7" s="7">
        <f>(0.01*H7*E3*1)/2.45</f>
        <v>4.8997230442455724</v>
      </c>
    </row>
    <row r="8" spans="1:12" x14ac:dyDescent="0.25">
      <c r="A8" t="s">
        <v>11</v>
      </c>
      <c r="C8" s="11">
        <f>(SIN(RADIANS(((360/365)*(A4-80))))*23.45)</f>
        <v>19.030590933722614</v>
      </c>
      <c r="D8" s="2">
        <v>118.11</v>
      </c>
      <c r="E8" s="11">
        <f>1+0.033*COS(RADIANS((360/365)*A4))</f>
        <v>0.97743065908638782</v>
      </c>
      <c r="F8" s="11">
        <f>E8*D8</f>
        <v>115.44433514469327</v>
      </c>
      <c r="G8" s="11">
        <f>DEGREES(ACOS(-TAN(RADIANS(K4))*TAN(RADIANS(C8))))</f>
        <v>81.693868386549312</v>
      </c>
      <c r="H8" s="11">
        <f>(F8/PI())*((PI()/180*G8)*SIN(RADIANS(K4))*SIN(RADIANS(C8))+(COS(RADIANS(K4))*COS(RADIANS(C8))*SIN(RADIANS(G8))))</f>
        <v>25.105845255907784</v>
      </c>
      <c r="I8" s="2"/>
      <c r="J8" s="7">
        <f>(0.01*H8*E4*1)/2.45</f>
        <v>1.999450010748052</v>
      </c>
    </row>
    <row r="11" spans="1:12" x14ac:dyDescent="0.25">
      <c r="A11" s="8" t="s">
        <v>22</v>
      </c>
      <c r="B11" s="1" t="s">
        <v>28</v>
      </c>
      <c r="C11" s="2" t="s">
        <v>29</v>
      </c>
      <c r="D11" s="2" t="s">
        <v>0</v>
      </c>
      <c r="E11" t="s">
        <v>1</v>
      </c>
      <c r="F11" s="3" t="s">
        <v>2</v>
      </c>
      <c r="G11" s="3" t="s">
        <v>3</v>
      </c>
      <c r="J11" s="6" t="s">
        <v>27</v>
      </c>
    </row>
    <row r="12" spans="1:12" x14ac:dyDescent="0.25">
      <c r="A12" t="s">
        <v>5</v>
      </c>
      <c r="B12" s="10">
        <f>0.6108*10^((7.5*D3)/(237.3+D3))</f>
        <v>3.7686968579075861</v>
      </c>
      <c r="C12" s="10">
        <f>B12*(F3/100)</f>
        <v>2.7360739188409076</v>
      </c>
      <c r="D12" s="10">
        <f>B12-C12</f>
        <v>1.0326229390666786</v>
      </c>
      <c r="E12" s="10">
        <f>101.3*(((293-0.0065*J3)/293)^5.26)</f>
        <v>95.212450378441673</v>
      </c>
      <c r="F12" s="10">
        <f>0.000665*E12</f>
        <v>6.3316279501663714E-2</v>
      </c>
      <c r="G12" s="10">
        <f>4098*(0.6108*EXP((17.27*D3)/(D3+237.3)))/((D3+237.3)^2)</f>
        <v>0.21952317339604849</v>
      </c>
      <c r="J12" s="7">
        <f>((0.408*(G12*(H3-I3)))+(F12*(900/(D3+273))*G3*D12))/(G12+(F12*(1+(0.34*G3))))</f>
        <v>5.0264896032223954</v>
      </c>
    </row>
    <row r="13" spans="1:12" x14ac:dyDescent="0.25">
      <c r="A13" t="s">
        <v>11</v>
      </c>
      <c r="B13" s="10">
        <f>0.6108*10^((7.5*D4)/(237.3+D4))</f>
        <v>2.6599506855408706</v>
      </c>
      <c r="C13" s="10">
        <f>B13*(F4/100)</f>
        <v>2.1838195128290545</v>
      </c>
      <c r="D13" s="10">
        <f>B13-C13</f>
        <v>0.47613117271181604</v>
      </c>
      <c r="E13" s="10">
        <f>101.3*(((293-0.0065*J4)/293)^5.26)</f>
        <v>95.212450378441673</v>
      </c>
      <c r="F13" s="10">
        <f>0.000665*E13</f>
        <v>6.3316279501663714E-2</v>
      </c>
      <c r="G13" s="10">
        <f>4098*(0.6108*EXP((17.27*D4)/(D4+237.3)))/((D4+237.3)^2)</f>
        <v>0.16200493064816465</v>
      </c>
      <c r="J13" s="7">
        <f>((0.408*(G13*(H4-I4)))+(F13*(900/(D4+273))*G4*D13))/(G13+(F13*(1+(0.34*G4))))</f>
        <v>1.9058654021978432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8528-2F58-41FB-AE19-2B6AE8CFBD31}">
  <dimension ref="A1:H7"/>
  <sheetViews>
    <sheetView workbookViewId="0">
      <selection activeCell="H6" sqref="H6"/>
    </sheetView>
  </sheetViews>
  <sheetFormatPr defaultRowHeight="15" x14ac:dyDescent="0.25"/>
  <cols>
    <col min="2" max="2" width="13.5703125" bestFit="1" customWidth="1"/>
    <col min="3" max="3" width="12" bestFit="1" customWidth="1"/>
    <col min="4" max="4" width="15" bestFit="1" customWidth="1"/>
    <col min="5" max="5" width="12.85546875" bestFit="1" customWidth="1"/>
    <col min="6" max="6" width="11.85546875" bestFit="1" customWidth="1"/>
    <col min="8" max="8" width="12.28515625" bestFit="1" customWidth="1"/>
  </cols>
  <sheetData>
    <row r="1" spans="1:8" x14ac:dyDescent="0.25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12</v>
      </c>
    </row>
    <row r="2" spans="1:8" x14ac:dyDescent="0.25">
      <c r="A2" t="s">
        <v>5</v>
      </c>
      <c r="B2" s="13">
        <f>Camargo!D3</f>
        <v>27.950000000000003</v>
      </c>
      <c r="C2">
        <f>Camargo!F3</f>
        <v>72.599999999999994</v>
      </c>
      <c r="D2" s="14">
        <f>Camargo!G3</f>
        <v>0.67</v>
      </c>
      <c r="E2">
        <f>Camargo!H3</f>
        <v>15.7</v>
      </c>
      <c r="F2" s="14">
        <f>Camargo!I3</f>
        <v>0.48</v>
      </c>
      <c r="G2">
        <f>Camargo!J3</f>
        <v>528</v>
      </c>
    </row>
    <row r="3" spans="1:8" x14ac:dyDescent="0.25">
      <c r="A3" t="s">
        <v>11</v>
      </c>
      <c r="B3" s="13">
        <f>Camargo!D4</f>
        <v>22.1</v>
      </c>
      <c r="C3">
        <f>Camargo!F4</f>
        <v>82.1</v>
      </c>
      <c r="D3" s="14">
        <f>Camargo!G4</f>
        <v>0.71</v>
      </c>
      <c r="E3">
        <f>Camargo!H4</f>
        <v>6.3</v>
      </c>
      <c r="F3" s="14">
        <f>Camargo!I4</f>
        <v>0.35</v>
      </c>
      <c r="G3">
        <f>Camargo!J4</f>
        <v>528</v>
      </c>
    </row>
    <row r="5" spans="1:8" x14ac:dyDescent="0.25">
      <c r="B5" s="1" t="s">
        <v>28</v>
      </c>
      <c r="C5" s="2" t="s">
        <v>29</v>
      </c>
      <c r="D5" s="2" t="s">
        <v>0</v>
      </c>
      <c r="E5" t="s">
        <v>1</v>
      </c>
      <c r="F5" s="3" t="s">
        <v>2</v>
      </c>
      <c r="G5" s="3" t="s">
        <v>3</v>
      </c>
      <c r="H5" s="6" t="s">
        <v>4</v>
      </c>
    </row>
    <row r="6" spans="1:8" x14ac:dyDescent="0.25">
      <c r="A6" t="s">
        <v>5</v>
      </c>
      <c r="B6" s="2">
        <f>0.6108*10^((7.5*B2)/(237.3+B2))</f>
        <v>3.7686968579075861</v>
      </c>
      <c r="C6" s="2">
        <f>B6*(C2/100)</f>
        <v>2.7360739188409076</v>
      </c>
      <c r="D6" s="2">
        <f>B6-C6</f>
        <v>1.0326229390666786</v>
      </c>
      <c r="E6">
        <f>101.3*(((293-0.0065*G2)/293)^5.26)</f>
        <v>95.212450378441673</v>
      </c>
      <c r="F6">
        <f>0.000665*E6</f>
        <v>6.3316279501663714E-2</v>
      </c>
      <c r="G6">
        <f>4098*(0.6108*EXP((17.27*B2)/(B2+237.3)))/((B2+237.3)^2)</f>
        <v>0.21952317339604849</v>
      </c>
      <c r="H6" s="7">
        <f>((0.408*(G6*(E2-F2)))+(F6*(900/(B2+273))*D2*D6))/(G6+(F6*(1+(0.34*D2))))</f>
        <v>5.0264896032223954</v>
      </c>
    </row>
    <row r="7" spans="1:8" x14ac:dyDescent="0.25">
      <c r="A7" t="s">
        <v>11</v>
      </c>
      <c r="B7" s="2">
        <f>0.6108*10^((7.5*B3)/(237.3+B3))</f>
        <v>2.6599506855408706</v>
      </c>
      <c r="C7" s="2">
        <f>B7*(C3/100)</f>
        <v>2.1838195128290545</v>
      </c>
      <c r="D7" s="2">
        <f>B7-C7</f>
        <v>0.47613117271181604</v>
      </c>
      <c r="E7">
        <f>101.3*(((293-0.0065*G3)/293)^5.26)</f>
        <v>95.212450378441673</v>
      </c>
      <c r="F7">
        <f>0.000665*E7</f>
        <v>6.3316279501663714E-2</v>
      </c>
      <c r="G7">
        <f>4098*(0.6108*EXP((17.27*B3)/(B3+237.3)))/((B3+237.3)^2)</f>
        <v>0.16200493064816465</v>
      </c>
      <c r="H7" s="7">
        <f>((0.408*(G7*(E3-F3)))+(F7*(900/(B3+273))*D3*D7))/(G7+(F7*(1+(0.34*D3))))</f>
        <v>1.9058654021978432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Camargo</vt:lpstr>
      <vt:lpstr>Penman-Monteith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Fabio Marin</cp:lastModifiedBy>
  <dcterms:created xsi:type="dcterms:W3CDTF">2020-10-05T03:15:53Z</dcterms:created>
  <dcterms:modified xsi:type="dcterms:W3CDTF">2023-05-17T18:32:56Z</dcterms:modified>
</cp:coreProperties>
</file>