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ne\Dropbox\dados\optica moderna 2023\"/>
    </mc:Choice>
  </mc:AlternateContent>
  <xr:revisionPtr revIDLastSave="0" documentId="13_ncr:1_{47B24017-BFD0-496E-93E7-BCC36CD6CF3C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6" sheetId="6" r:id="rId5"/>
  </sheets>
  <definedNames>
    <definedName name="Be">Plan6!$B$2</definedName>
    <definedName name="Bo">Plan6!$B$1</definedName>
    <definedName name="OSNR1">Plan6!$D$4</definedName>
    <definedName name="solver_adj" localSheetId="0" hidden="1">Plan1!$Q$14</definedName>
    <definedName name="solver_adj" localSheetId="1" hidden="1">Plan2!$B$17,Plan2!$C$17</definedName>
    <definedName name="solver_adj" localSheetId="3" hidden="1">Plan4!$B$17,Plan4!$C$17</definedName>
    <definedName name="solver_adj" localSheetId="4" hidden="1">Plan6!$D$7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drv" localSheetId="4" hidden="1">1</definedName>
    <definedName name="solver_eng" localSheetId="0" hidden="1">1</definedName>
    <definedName name="solver_eng" localSheetId="3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est" localSheetId="4" hidden="1">1</definedName>
    <definedName name="solver_itr" localSheetId="0" hidden="1">100</definedName>
    <definedName name="solver_itr" localSheetId="1" hidden="1">100</definedName>
    <definedName name="solver_itr" localSheetId="3" hidden="1">100</definedName>
    <definedName name="solver_itr" localSheetId="4" hidden="1">100</definedName>
    <definedName name="solver_lhs1" localSheetId="1" hidden="1">Plan2!$B$17</definedName>
    <definedName name="solver_lhs1" localSheetId="3" hidden="1">Plan4!$G$17</definedName>
    <definedName name="solver_lhs2" localSheetId="1" hidden="1">Plan2!$G$17</definedName>
    <definedName name="solver_lhs3" localSheetId="1" hidden="1">Plan2!$B$17</definedName>
    <definedName name="solver_lin" localSheetId="0" hidden="1">2</definedName>
    <definedName name="solver_lin" localSheetId="1" hidden="1">2</definedName>
    <definedName name="solver_lin" localSheetId="3" hidden="1">2</definedName>
    <definedName name="solver_lin" localSheetId="4" hidden="1">2</definedName>
    <definedName name="solver_mip" localSheetId="0" hidden="1">2147483647</definedName>
    <definedName name="solver_mip" localSheetId="3" hidden="1">2147483647</definedName>
    <definedName name="solver_mni" localSheetId="0" hidden="1">30</definedName>
    <definedName name="solver_mni" localSheetId="3" hidden="1">30</definedName>
    <definedName name="solver_mrt" localSheetId="0" hidden="1">0.075</definedName>
    <definedName name="solver_mrt" localSheetId="3" hidden="1">0.075</definedName>
    <definedName name="solver_msl" localSheetId="0" hidden="1">2</definedName>
    <definedName name="solver_msl" localSheetId="3" hidden="1">2</definedName>
    <definedName name="solver_neg" localSheetId="0" hidden="1">2</definedName>
    <definedName name="solver_neg" localSheetId="1" hidden="1">2</definedName>
    <definedName name="solver_neg" localSheetId="3" hidden="1">2</definedName>
    <definedName name="solver_neg" localSheetId="4" hidden="1">2</definedName>
    <definedName name="solver_nod" localSheetId="0" hidden="1">2147483647</definedName>
    <definedName name="solver_nod" localSheetId="3" hidden="1">2147483647</definedName>
    <definedName name="solver_num" localSheetId="0" hidden="1">0</definedName>
    <definedName name="solver_num" localSheetId="1" hidden="1">2</definedName>
    <definedName name="solver_num" localSheetId="3" hidden="1">1</definedName>
    <definedName name="solver_num" localSheetId="4" hidden="1">0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nwt" localSheetId="4" hidden="1">1</definedName>
    <definedName name="solver_opt" localSheetId="0" hidden="1">Plan1!$S$14</definedName>
    <definedName name="solver_opt" localSheetId="1" hidden="1">Plan2!$F$17</definedName>
    <definedName name="solver_opt" localSheetId="3" hidden="1">Plan4!$F$17</definedName>
    <definedName name="solver_opt" localSheetId="4" hidden="1">Plan6!$F$7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3" hidden="1">1</definedName>
    <definedName name="solver_rel1" localSheetId="1" hidden="1">3</definedName>
    <definedName name="solver_rel1" localSheetId="3" hidden="1">2</definedName>
    <definedName name="solver_rel2" localSheetId="1" hidden="1">2</definedName>
    <definedName name="solver_rel3" localSheetId="1" hidden="1">3</definedName>
    <definedName name="solver_rhs1" localSheetId="1" hidden="1">1</definedName>
    <definedName name="solver_rhs1" localSheetId="3" hidden="1">0</definedName>
    <definedName name="solver_rhs2" localSheetId="1" hidden="1">0</definedName>
    <definedName name="solver_rhs3" localSheetId="1" hidden="1">1</definedName>
    <definedName name="solver_rlx" localSheetId="0" hidden="1">1</definedName>
    <definedName name="solver_rlx" localSheetId="3" hidden="1">1</definedName>
    <definedName name="solver_rsd" localSheetId="0" hidden="1">0</definedName>
    <definedName name="solver_rsd" localSheetId="3" hidden="1">0</definedName>
    <definedName name="solver_scl" localSheetId="0" hidden="1">2</definedName>
    <definedName name="solver_scl" localSheetId="1" hidden="1">2</definedName>
    <definedName name="solver_scl" localSheetId="3" hidden="1">2</definedName>
    <definedName name="solver_scl" localSheetId="4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3" hidden="1">100</definedName>
    <definedName name="solver_tim" localSheetId="0" hidden="1">100</definedName>
    <definedName name="solver_tim" localSheetId="1" hidden="1">100</definedName>
    <definedName name="solver_tim" localSheetId="3" hidden="1">100</definedName>
    <definedName name="solver_tim" localSheetId="4" hidden="1">100</definedName>
    <definedName name="solver_tol" localSheetId="0" hidden="1">0.05</definedName>
    <definedName name="solver_tol" localSheetId="1" hidden="1">0.05</definedName>
    <definedName name="solver_tol" localSheetId="3" hidden="1">0.05</definedName>
    <definedName name="solver_tol" localSheetId="4" hidden="1">0.05</definedName>
    <definedName name="solver_typ" localSheetId="0" hidden="1">3</definedName>
    <definedName name="solver_typ" localSheetId="1" hidden="1">3</definedName>
    <definedName name="solver_typ" localSheetId="3" hidden="1">3</definedName>
    <definedName name="solver_typ" localSheetId="4" hidden="1">3</definedName>
    <definedName name="solver_val" localSheetId="0" hidden="1">0</definedName>
    <definedName name="solver_val" localSheetId="1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F14" i="4"/>
  <c r="F3" i="4"/>
  <c r="C5" i="4" l="1"/>
  <c r="F5" i="4" l="1"/>
  <c r="C5" i="2"/>
  <c r="G6" i="6"/>
  <c r="G7" i="6"/>
  <c r="E5" i="6"/>
  <c r="E6" i="6"/>
  <c r="E7" i="6"/>
  <c r="E4" i="6"/>
  <c r="G5" i="6"/>
  <c r="G4" i="6"/>
  <c r="A5" i="6"/>
  <c r="A6" i="6" s="1"/>
  <c r="B4" i="6"/>
  <c r="C4" i="6" s="1"/>
  <c r="I4" i="6" s="1"/>
  <c r="H17" i="4"/>
  <c r="I17" i="4"/>
  <c r="I23" i="4"/>
  <c r="H23" i="4"/>
  <c r="I22" i="4"/>
  <c r="H22" i="4"/>
  <c r="I21" i="4"/>
  <c r="H21" i="4"/>
  <c r="I20" i="4"/>
  <c r="H20" i="4"/>
  <c r="A20" i="4"/>
  <c r="A21" i="4" s="1"/>
  <c r="A22" i="4" s="1"/>
  <c r="I19" i="4"/>
  <c r="H19" i="4"/>
  <c r="I18" i="4"/>
  <c r="H18" i="4"/>
  <c r="B14" i="4"/>
  <c r="F12" i="4"/>
  <c r="I10" i="4"/>
  <c r="I9" i="4"/>
  <c r="F4" i="4"/>
  <c r="C2" i="4"/>
  <c r="B14" i="2"/>
  <c r="I10" i="2"/>
  <c r="I9" i="2"/>
  <c r="I8" i="2"/>
  <c r="I19" i="2"/>
  <c r="I20" i="2"/>
  <c r="I21" i="2"/>
  <c r="I22" i="2"/>
  <c r="I23" i="2"/>
  <c r="I24" i="2"/>
  <c r="I25" i="2"/>
  <c r="I26" i="2"/>
  <c r="I27" i="2"/>
  <c r="H19" i="2"/>
  <c r="H20" i="2"/>
  <c r="H21" i="2"/>
  <c r="H22" i="2"/>
  <c r="H23" i="2"/>
  <c r="H24" i="2"/>
  <c r="H25" i="2"/>
  <c r="H26" i="2"/>
  <c r="H27" i="2"/>
  <c r="A20" i="2"/>
  <c r="A21" i="2" s="1"/>
  <c r="A22" i="2" s="1"/>
  <c r="A23" i="2" s="1"/>
  <c r="A24" i="2" s="1"/>
  <c r="A25" i="2" s="1"/>
  <c r="A26" i="2" s="1"/>
  <c r="A27" i="2" s="1"/>
  <c r="I18" i="2"/>
  <c r="H18" i="2"/>
  <c r="C2" i="3"/>
  <c r="C5" i="3"/>
  <c r="D5" i="3" s="1"/>
  <c r="A6" i="3"/>
  <c r="C6" i="3" s="1"/>
  <c r="D6" i="3" s="1"/>
  <c r="A5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A19" i="3" s="1"/>
  <c r="B7" i="3"/>
  <c r="A7" i="3" s="1"/>
  <c r="I17" i="2"/>
  <c r="H17" i="2"/>
  <c r="F12" i="2"/>
  <c r="F13" i="2" s="1"/>
  <c r="C2" i="2"/>
  <c r="F4" i="2"/>
  <c r="P7" i="1"/>
  <c r="P8" i="1"/>
  <c r="P9" i="1"/>
  <c r="P10" i="1"/>
  <c r="P11" i="1"/>
  <c r="P12" i="1"/>
  <c r="P13" i="1"/>
  <c r="P14" i="1"/>
  <c r="P6" i="1"/>
  <c r="Q3" i="1"/>
  <c r="Q2" i="1"/>
  <c r="O7" i="1"/>
  <c r="O8" i="1"/>
  <c r="O9" i="1"/>
  <c r="O6" i="1"/>
  <c r="N10" i="1"/>
  <c r="N11" i="1" s="1"/>
  <c r="B6" i="1"/>
  <c r="E6" i="1"/>
  <c r="B7" i="1"/>
  <c r="E7" i="1"/>
  <c r="B8" i="1"/>
  <c r="E8" i="1"/>
  <c r="B9" i="1"/>
  <c r="E9" i="1"/>
  <c r="B10" i="1"/>
  <c r="E10" i="1"/>
  <c r="B11" i="1"/>
  <c r="E11" i="1"/>
  <c r="B12" i="1"/>
  <c r="E12" i="1"/>
  <c r="B13" i="1"/>
  <c r="E13" i="1"/>
  <c r="C3" i="1"/>
  <c r="B27" i="1"/>
  <c r="E27" i="1"/>
  <c r="B29" i="1"/>
  <c r="E29" i="1"/>
  <c r="B21" i="1"/>
  <c r="E21" i="1"/>
  <c r="B23" i="1"/>
  <c r="E23" i="1"/>
  <c r="B25" i="1"/>
  <c r="E25" i="1"/>
  <c r="B15" i="1"/>
  <c r="E15" i="1"/>
  <c r="B17" i="1"/>
  <c r="E17" i="1"/>
  <c r="B19" i="1"/>
  <c r="E19" i="1"/>
  <c r="E14" i="1"/>
  <c r="B14" i="1"/>
  <c r="A16" i="1"/>
  <c r="E16" i="1" s="1"/>
  <c r="C2" i="1"/>
  <c r="R8" i="1" l="1"/>
  <c r="S8" i="1" s="1"/>
  <c r="E17" i="4"/>
  <c r="O10" i="1"/>
  <c r="E5" i="3"/>
  <c r="R7" i="1"/>
  <c r="S7" i="1" s="1"/>
  <c r="F13" i="4"/>
  <c r="E7" i="3"/>
  <c r="G17" i="4"/>
  <c r="N12" i="1"/>
  <c r="O11" i="1"/>
  <c r="R11" i="1" s="1"/>
  <c r="S11" i="1" s="1"/>
  <c r="E19" i="3"/>
  <c r="C19" i="3"/>
  <c r="D19" i="3" s="1"/>
  <c r="A7" i="6"/>
  <c r="B7" i="6" s="1"/>
  <c r="C7" i="6" s="1"/>
  <c r="I7" i="6" s="1"/>
  <c r="B6" i="6"/>
  <c r="C6" i="6" s="1"/>
  <c r="I6" i="6" s="1"/>
  <c r="B5" i="6"/>
  <c r="C5" i="6" s="1"/>
  <c r="I5" i="6" s="1"/>
  <c r="B20" i="3"/>
  <c r="A20" i="3" s="1"/>
  <c r="A14" i="3"/>
  <c r="A10" i="3"/>
  <c r="C7" i="3"/>
  <c r="D7" i="3" s="1"/>
  <c r="R9" i="1"/>
  <c r="S9" i="1" s="1"/>
  <c r="A17" i="3"/>
  <c r="A13" i="3"/>
  <c r="A9" i="3"/>
  <c r="E6" i="3"/>
  <c r="F4" i="6"/>
  <c r="R6" i="1"/>
  <c r="S6" i="1" s="1"/>
  <c r="A15" i="3"/>
  <c r="A11" i="3"/>
  <c r="R10" i="1"/>
  <c r="S10" i="1" s="1"/>
  <c r="A18" i="3"/>
  <c r="A16" i="3"/>
  <c r="A12" i="3"/>
  <c r="A8" i="3"/>
  <c r="I8" i="4"/>
  <c r="J17" i="4"/>
  <c r="K17" i="4" s="1"/>
  <c r="L17" i="4" s="1"/>
  <c r="I6" i="2"/>
  <c r="I5" i="2"/>
  <c r="I7" i="2"/>
  <c r="I7" i="4"/>
  <c r="A23" i="4"/>
  <c r="D23" i="4" s="1"/>
  <c r="F23" i="4" s="1"/>
  <c r="I6" i="4"/>
  <c r="J23" i="4"/>
  <c r="K23" i="4" s="1"/>
  <c r="L23" i="4" s="1"/>
  <c r="J21" i="4"/>
  <c r="K21" i="4" s="1"/>
  <c r="L21" i="4" s="1"/>
  <c r="E18" i="4"/>
  <c r="G18" i="4" s="1"/>
  <c r="E19" i="4"/>
  <c r="G19" i="4" s="1"/>
  <c r="E21" i="4"/>
  <c r="G21" i="4" s="1"/>
  <c r="E20" i="4"/>
  <c r="G20" i="4" s="1"/>
  <c r="D21" i="4"/>
  <c r="F21" i="4" s="1"/>
  <c r="E22" i="4"/>
  <c r="G22" i="4" s="1"/>
  <c r="E20" i="2"/>
  <c r="G20" i="2" s="1"/>
  <c r="E17" i="2"/>
  <c r="G17" i="2" s="1"/>
  <c r="E27" i="2"/>
  <c r="G27" i="2" s="1"/>
  <c r="E25" i="2"/>
  <c r="G25" i="2" s="1"/>
  <c r="E23" i="2"/>
  <c r="G23" i="2" s="1"/>
  <c r="E21" i="2"/>
  <c r="G21" i="2" s="1"/>
  <c r="E19" i="2"/>
  <c r="G19" i="2" s="1"/>
  <c r="E18" i="2"/>
  <c r="G18" i="2" s="1"/>
  <c r="E26" i="2"/>
  <c r="G26" i="2" s="1"/>
  <c r="E24" i="2"/>
  <c r="G24" i="2" s="1"/>
  <c r="E22" i="2"/>
  <c r="G22" i="2" s="1"/>
  <c r="M18" i="2"/>
  <c r="J9" i="2" s="1"/>
  <c r="M20" i="2"/>
  <c r="J7" i="2" s="1"/>
  <c r="M22" i="2"/>
  <c r="J5" i="2" s="1"/>
  <c r="J18" i="2"/>
  <c r="K18" i="2" s="1"/>
  <c r="L18" i="2" s="1"/>
  <c r="J20" i="2"/>
  <c r="K20" i="2" s="1"/>
  <c r="L20" i="2" s="1"/>
  <c r="J22" i="2"/>
  <c r="K22" i="2" s="1"/>
  <c r="L22" i="2" s="1"/>
  <c r="M17" i="2"/>
  <c r="J10" i="2" s="1"/>
  <c r="J24" i="2"/>
  <c r="K24" i="2" s="1"/>
  <c r="L24" i="2" s="1"/>
  <c r="J26" i="2"/>
  <c r="K26" i="2" s="1"/>
  <c r="L26" i="2" s="1"/>
  <c r="D20" i="2"/>
  <c r="F20" i="2" s="1"/>
  <c r="D22" i="2"/>
  <c r="F22" i="2" s="1"/>
  <c r="D24" i="2"/>
  <c r="F24" i="2" s="1"/>
  <c r="D26" i="2"/>
  <c r="F26" i="2" s="1"/>
  <c r="D18" i="2"/>
  <c r="F18" i="2" s="1"/>
  <c r="D17" i="2"/>
  <c r="F17" i="2" s="1"/>
  <c r="M19" i="2"/>
  <c r="J8" i="2" s="1"/>
  <c r="M21" i="2"/>
  <c r="J6" i="2" s="1"/>
  <c r="J19" i="2"/>
  <c r="K19" i="2" s="1"/>
  <c r="L19" i="2" s="1"/>
  <c r="J21" i="2"/>
  <c r="K21" i="2" s="1"/>
  <c r="L21" i="2" s="1"/>
  <c r="J17" i="2"/>
  <c r="K17" i="2" s="1"/>
  <c r="L17" i="2" s="1"/>
  <c r="J23" i="2"/>
  <c r="K23" i="2" s="1"/>
  <c r="L23" i="2" s="1"/>
  <c r="J25" i="2"/>
  <c r="K25" i="2" s="1"/>
  <c r="L25" i="2" s="1"/>
  <c r="J27" i="2"/>
  <c r="K27" i="2" s="1"/>
  <c r="L27" i="2" s="1"/>
  <c r="D19" i="2"/>
  <c r="F19" i="2" s="1"/>
  <c r="D21" i="2"/>
  <c r="F21" i="2" s="1"/>
  <c r="D23" i="2"/>
  <c r="F23" i="2" s="1"/>
  <c r="D25" i="2"/>
  <c r="F25" i="2" s="1"/>
  <c r="D27" i="2"/>
  <c r="F27" i="2" s="1"/>
  <c r="D6" i="1"/>
  <c r="C6" i="1" s="1"/>
  <c r="D21" i="1"/>
  <c r="C21" i="1" s="1"/>
  <c r="D19" i="1"/>
  <c r="D17" i="1"/>
  <c r="D15" i="1"/>
  <c r="C15" i="1" s="1"/>
  <c r="D13" i="1"/>
  <c r="C13" i="1" s="1"/>
  <c r="D11" i="1"/>
  <c r="C11" i="1" s="1"/>
  <c r="D9" i="1"/>
  <c r="C9" i="1" s="1"/>
  <c r="D7" i="1"/>
  <c r="C7" i="1" s="1"/>
  <c r="D29" i="1"/>
  <c r="D27" i="1"/>
  <c r="C27" i="1" s="1"/>
  <c r="D25" i="1"/>
  <c r="D23" i="1"/>
  <c r="D14" i="1"/>
  <c r="C14" i="1" s="1"/>
  <c r="D12" i="1"/>
  <c r="C12" i="1" s="1"/>
  <c r="D10" i="1"/>
  <c r="C10" i="1" s="1"/>
  <c r="D8" i="1"/>
  <c r="C8" i="1" s="1"/>
  <c r="C19" i="1"/>
  <c r="C17" i="1"/>
  <c r="C23" i="1"/>
  <c r="C29" i="1"/>
  <c r="C25" i="1"/>
  <c r="A18" i="1"/>
  <c r="B16" i="1"/>
  <c r="F7" i="6" l="1"/>
  <c r="M18" i="4"/>
  <c r="J10" i="4" s="1"/>
  <c r="M19" i="4"/>
  <c r="J9" i="4" s="1"/>
  <c r="M20" i="4"/>
  <c r="J8" i="4" s="1"/>
  <c r="M21" i="4"/>
  <c r="J7" i="4" s="1"/>
  <c r="M22" i="4"/>
  <c r="J6" i="4" s="1"/>
  <c r="M23" i="4"/>
  <c r="J5" i="4" s="1"/>
  <c r="M17" i="4"/>
  <c r="D19" i="4"/>
  <c r="F19" i="4" s="1"/>
  <c r="J20" i="4"/>
  <c r="K20" i="4" s="1"/>
  <c r="L20" i="4" s="1"/>
  <c r="D18" i="4"/>
  <c r="F18" i="4" s="1"/>
  <c r="F6" i="6"/>
  <c r="D22" i="4"/>
  <c r="F22" i="4" s="1"/>
  <c r="J22" i="4"/>
  <c r="K22" i="4" s="1"/>
  <c r="L22" i="4" s="1"/>
  <c r="J18" i="4"/>
  <c r="F17" i="4"/>
  <c r="D20" i="4"/>
  <c r="F20" i="4" s="1"/>
  <c r="J19" i="4"/>
  <c r="K19" i="4" s="1"/>
  <c r="L19" i="4" s="1"/>
  <c r="E12" i="3"/>
  <c r="C12" i="3"/>
  <c r="D12" i="3" s="1"/>
  <c r="E10" i="3"/>
  <c r="C10" i="3"/>
  <c r="D10" i="3" s="1"/>
  <c r="D16" i="1"/>
  <c r="C16" i="1" s="1"/>
  <c r="E16" i="3"/>
  <c r="C16" i="3"/>
  <c r="D16" i="3" s="1"/>
  <c r="E9" i="3"/>
  <c r="C9" i="3"/>
  <c r="D9" i="3" s="1"/>
  <c r="E14" i="3"/>
  <c r="C14" i="3"/>
  <c r="D14" i="3" s="1"/>
  <c r="C11" i="3"/>
  <c r="D11" i="3" s="1"/>
  <c r="E11" i="3"/>
  <c r="E13" i="3"/>
  <c r="C13" i="3"/>
  <c r="D13" i="3" s="1"/>
  <c r="F5" i="6"/>
  <c r="E20" i="3"/>
  <c r="C20" i="3"/>
  <c r="D20" i="3" s="1"/>
  <c r="E8" i="3"/>
  <c r="C8" i="3"/>
  <c r="D8" i="3" s="1"/>
  <c r="E18" i="3"/>
  <c r="C18" i="3"/>
  <c r="D18" i="3" s="1"/>
  <c r="E15" i="3"/>
  <c r="C15" i="3"/>
  <c r="D15" i="3" s="1"/>
  <c r="E17" i="3"/>
  <c r="C17" i="3"/>
  <c r="D17" i="3" s="1"/>
  <c r="N13" i="1"/>
  <c r="O12" i="1"/>
  <c r="R12" i="1" s="1"/>
  <c r="S12" i="1" s="1"/>
  <c r="K18" i="4"/>
  <c r="L18" i="4" s="1"/>
  <c r="I5" i="4"/>
  <c r="E23" i="4"/>
  <c r="G23" i="4" s="1"/>
  <c r="A20" i="1"/>
  <c r="E18" i="1"/>
  <c r="B18" i="1"/>
  <c r="D18" i="1" l="1"/>
  <c r="C18" i="1" s="1"/>
  <c r="N14" i="1"/>
  <c r="O14" i="1" s="1"/>
  <c r="R14" i="1" s="1"/>
  <c r="S14" i="1" s="1"/>
  <c r="O13" i="1"/>
  <c r="R13" i="1" s="1"/>
  <c r="S13" i="1" s="1"/>
  <c r="A22" i="1"/>
  <c r="B20" i="1"/>
  <c r="E20" i="1"/>
  <c r="D20" i="1" l="1"/>
  <c r="C20" i="1" s="1"/>
  <c r="A24" i="1"/>
  <c r="B22" i="1"/>
  <c r="E22" i="1"/>
  <c r="D22" i="1" l="1"/>
  <c r="C22" i="1" s="1"/>
  <c r="A26" i="1"/>
  <c r="B24" i="1"/>
  <c r="E24" i="1"/>
  <c r="D24" i="1" l="1"/>
  <c r="C24" i="1" s="1"/>
  <c r="A28" i="1"/>
  <c r="B26" i="1"/>
  <c r="E26" i="1"/>
  <c r="D26" i="1" l="1"/>
  <c r="C26" i="1" s="1"/>
  <c r="A30" i="1"/>
  <c r="B28" i="1"/>
  <c r="E28" i="1"/>
  <c r="D28" i="1" l="1"/>
  <c r="C28" i="1" s="1"/>
  <c r="B30" i="1"/>
  <c r="E30" i="1"/>
  <c r="D30" i="1" l="1"/>
  <c r="C30" i="1" s="1"/>
</calcChain>
</file>

<file path=xl/sharedStrings.xml><?xml version="1.0" encoding="utf-8"?>
<sst xmlns="http://schemas.openxmlformats.org/spreadsheetml/2006/main" count="115" uniqueCount="73">
  <si>
    <t>G</t>
  </si>
  <si>
    <t>Gmax</t>
  </si>
  <si>
    <t>db</t>
  </si>
  <si>
    <t>Psat</t>
  </si>
  <si>
    <t>G db</t>
  </si>
  <si>
    <t>Pin mW</t>
  </si>
  <si>
    <t>Grel</t>
  </si>
  <si>
    <t>Pin dBm</t>
  </si>
  <si>
    <t>mW/rel</t>
  </si>
  <si>
    <t>Pin (dBm)</t>
  </si>
  <si>
    <t>Pin (mW)</t>
  </si>
  <si>
    <t>dB /dBm</t>
  </si>
  <si>
    <t>rel/mW</t>
  </si>
  <si>
    <t>GdB</t>
  </si>
  <si>
    <t>alfa</t>
  </si>
  <si>
    <t>km</t>
  </si>
  <si>
    <t>dB/km</t>
  </si>
  <si>
    <t>dB/dBm</t>
  </si>
  <si>
    <t>h</t>
  </si>
  <si>
    <t>Bo</t>
  </si>
  <si>
    <t>η</t>
  </si>
  <si>
    <t>c</t>
  </si>
  <si>
    <t>k</t>
  </si>
  <si>
    <t>Pn</t>
  </si>
  <si>
    <t>nsp</t>
  </si>
  <si>
    <t>Lambda</t>
  </si>
  <si>
    <t>Fc</t>
  </si>
  <si>
    <t>Pout</t>
  </si>
  <si>
    <t>F1</t>
  </si>
  <si>
    <t>F2</t>
  </si>
  <si>
    <t>F1 - Pout</t>
  </si>
  <si>
    <t>F2-G</t>
  </si>
  <si>
    <t>Pout (dBm)</t>
  </si>
  <si>
    <t>OSNR</t>
  </si>
  <si>
    <t>X</t>
  </si>
  <si>
    <t>K/k</t>
  </si>
  <si>
    <t>valores</t>
  </si>
  <si>
    <t>G rel</t>
  </si>
  <si>
    <t>G dB</t>
  </si>
  <si>
    <t>PPlump</t>
  </si>
  <si>
    <t>PP dB</t>
  </si>
  <si>
    <t>dB</t>
  </si>
  <si>
    <r>
      <t>Km</t>
    </r>
    <r>
      <rPr>
        <vertAlign val="superscript"/>
        <sz val="11"/>
        <color theme="1"/>
        <rFont val="Calibri"/>
        <family val="2"/>
        <scheme val="minor"/>
      </rPr>
      <t>-1</t>
    </r>
  </si>
  <si>
    <t>l (km)</t>
  </si>
  <si>
    <t>function</t>
  </si>
  <si>
    <t>objective</t>
  </si>
  <si>
    <t>k (km)</t>
  </si>
  <si>
    <t>K Limit</t>
  </si>
  <si>
    <t>K</t>
  </si>
  <si>
    <t>limit Pout (mW)</t>
  </si>
  <si>
    <t>Pout (mW)</t>
  </si>
  <si>
    <t>BER</t>
  </si>
  <si>
    <t>gama</t>
  </si>
  <si>
    <t>OSNR2</t>
  </si>
  <si>
    <t>OSNR1</t>
  </si>
  <si>
    <t>dif</t>
  </si>
  <si>
    <t>OSNR(dB)</t>
  </si>
  <si>
    <t>gamacalc</t>
  </si>
  <si>
    <t>Bo=</t>
  </si>
  <si>
    <t>Be =</t>
  </si>
  <si>
    <t>erro</t>
  </si>
  <si>
    <t>L</t>
  </si>
  <si>
    <t>Pout formula</t>
  </si>
  <si>
    <t>G formula</t>
  </si>
  <si>
    <t xml:space="preserve">L </t>
  </si>
  <si>
    <t>hertz</t>
  </si>
  <si>
    <t>mW</t>
  </si>
  <si>
    <r>
      <t>km</t>
    </r>
    <r>
      <rPr>
        <vertAlign val="superscript"/>
        <sz val="11"/>
        <color theme="1"/>
        <rFont val="Calibri"/>
        <family val="2"/>
        <scheme val="minor"/>
      </rPr>
      <t>-1</t>
    </r>
  </si>
  <si>
    <t>micra</t>
  </si>
  <si>
    <t>m/s</t>
  </si>
  <si>
    <t>G (dB)</t>
  </si>
  <si>
    <t>L Limit</t>
  </si>
  <si>
    <t>minimo Pout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</si>
</sst>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1" xfId="0" applyBorder="1"/>
    <xf numFmtId="166" fontId="0" fillId="0" borderId="1" xfId="0" applyNumberFormat="1" applyBorder="1"/>
    <xf numFmtId="11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11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0" fillId="3" borderId="1" xfId="0" applyFill="1" applyBorder="1"/>
    <xf numFmtId="11" fontId="0" fillId="0" borderId="0" xfId="0" applyNumberFormat="1"/>
    <xf numFmtId="165" fontId="0" fillId="0" borderId="1" xfId="0" applyNumberFormat="1" applyBorder="1"/>
    <xf numFmtId="164" fontId="0" fillId="0" borderId="3" xfId="0" applyNumberFormat="1" applyBorder="1"/>
    <xf numFmtId="2" fontId="0" fillId="0" borderId="3" xfId="0" applyNumberFormat="1" applyBorder="1"/>
    <xf numFmtId="11" fontId="0" fillId="0" borderId="4" xfId="0" applyNumberFormat="1" applyBorder="1"/>
    <xf numFmtId="0" fontId="0" fillId="0" borderId="4" xfId="0" applyBorder="1"/>
    <xf numFmtId="2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18280163433179E-2"/>
          <c:y val="3.68098159509203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 (dBm)</c:v>
          </c:tx>
          <c:cat>
            <c:numRef>
              <c:f>Plan1!$N$6:$N$14</c:f>
              <c:numCache>
                <c:formatCode>General</c:formatCode>
                <c:ptCount val="9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</c:numCache>
            </c:numRef>
          </c:cat>
          <c:val>
            <c:numRef>
              <c:f>Plan1!$P$6:$P$14</c:f>
              <c:numCache>
                <c:formatCode>#,#00</c:formatCode>
                <c:ptCount val="9"/>
                <c:pt idx="0">
                  <c:v>29.932302409652571</c:v>
                </c:pt>
                <c:pt idx="1">
                  <c:v>29.792700344920245</c:v>
                </c:pt>
                <c:pt idx="2">
                  <c:v>29.401050073371554</c:v>
                </c:pt>
                <c:pt idx="3">
                  <c:v>28.471367451698853</c:v>
                </c:pt>
                <c:pt idx="4">
                  <c:v>26.750076537729093</c:v>
                </c:pt>
                <c:pt idx="5">
                  <c:v>24.241577278092919</c:v>
                </c:pt>
                <c:pt idx="6">
                  <c:v>21.133340747333587</c:v>
                </c:pt>
                <c:pt idx="7">
                  <c:v>17.623760213260375</c:v>
                </c:pt>
                <c:pt idx="8">
                  <c:v>13.877931799543466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3-4839-8CF5-B219FCAE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51976"/>
        <c:axId val="354546488"/>
      </c:lineChart>
      <c:catAx>
        <c:axId val="354551976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354546488"/>
        <c:crosses val="autoZero"/>
        <c:auto val="1"/>
        <c:lblAlgn val="ctr"/>
        <c:lblOffset val="100"/>
        <c:noMultiLvlLbl val="0"/>
      </c:catAx>
      <c:valAx>
        <c:axId val="354546488"/>
        <c:scaling>
          <c:orientation val="minMax"/>
        </c:scaling>
        <c:delete val="0"/>
        <c:axPos val="l"/>
        <c:majorGridlines/>
        <c:numFmt formatCode="#,#00" sourceLinked="1"/>
        <c:majorTickMark val="out"/>
        <c:minorTickMark val="none"/>
        <c:tickLblPos val="nextTo"/>
        <c:crossAx val="354551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0240594925634"/>
          <c:y val="7.4548702245552642E-2"/>
          <c:w val="0.87644203849518809"/>
          <c:h val="0.8326195683872849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cat>
            <c:numRef>
              <c:f>Plan1!$N$6:$N$14</c:f>
              <c:numCache>
                <c:formatCode>General</c:formatCode>
                <c:ptCount val="9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</c:numCache>
            </c:numRef>
          </c:cat>
          <c:val>
            <c:numRef>
              <c:f>Plan1!$P$6:$P$14</c:f>
              <c:numCache>
                <c:formatCode>#,#00</c:formatCode>
                <c:ptCount val="9"/>
                <c:pt idx="0">
                  <c:v>29.932302409652571</c:v>
                </c:pt>
                <c:pt idx="1">
                  <c:v>29.792700344920245</c:v>
                </c:pt>
                <c:pt idx="2">
                  <c:v>29.401050073371554</c:v>
                </c:pt>
                <c:pt idx="3">
                  <c:v>28.471367451698853</c:v>
                </c:pt>
                <c:pt idx="4">
                  <c:v>26.750076537729093</c:v>
                </c:pt>
                <c:pt idx="5">
                  <c:v>24.241577278092919</c:v>
                </c:pt>
                <c:pt idx="6">
                  <c:v>21.133340747333587</c:v>
                </c:pt>
                <c:pt idx="7">
                  <c:v>17.623760213260375</c:v>
                </c:pt>
                <c:pt idx="8">
                  <c:v>13.877931799543466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8-4558-9D85-988F2582B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551192"/>
        <c:axId val="354553936"/>
      </c:lineChart>
      <c:catAx>
        <c:axId val="35455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553936"/>
        <c:crosses val="autoZero"/>
        <c:auto val="1"/>
        <c:lblAlgn val="ctr"/>
        <c:lblOffset val="100"/>
        <c:noMultiLvlLbl val="0"/>
      </c:catAx>
      <c:valAx>
        <c:axId val="354553936"/>
        <c:scaling>
          <c:orientation val="minMax"/>
        </c:scaling>
        <c:delete val="0"/>
        <c:axPos val="l"/>
        <c:majorGridlines/>
        <c:numFmt formatCode="#,#00" sourceLinked="1"/>
        <c:majorTickMark val="out"/>
        <c:minorTickMark val="none"/>
        <c:tickLblPos val="nextTo"/>
        <c:crossAx val="354551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Plan2!$J$4</c:f>
              <c:strCache>
                <c:ptCount val="1"/>
                <c:pt idx="0">
                  <c:v>Pout (mW)</c:v>
                </c:pt>
              </c:strCache>
            </c:strRef>
          </c:tx>
          <c:marker>
            <c:symbol val="none"/>
          </c:marker>
          <c:cat>
            <c:numRef>
              <c:f>Plan2!$I$5:$I$10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cat>
          <c:val>
            <c:numRef>
              <c:f>Plan2!$J$5:$J$10</c:f>
              <c:numCache>
                <c:formatCode>0.0</c:formatCode>
                <c:ptCount val="6"/>
                <c:pt idx="0">
                  <c:v>4.4913526289063181</c:v>
                </c:pt>
                <c:pt idx="1">
                  <c:v>5.3664683066475805</c:v>
                </c:pt>
                <c:pt idx="2">
                  <c:v>7.1880452142281923</c:v>
                </c:pt>
                <c:pt idx="3">
                  <c:v>10.248220332422571</c:v>
                </c:pt>
                <c:pt idx="4">
                  <c:v>15.196954410715453</c:v>
                </c:pt>
                <c:pt idx="5">
                  <c:v>23.159460442170076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8-45BC-BB3D-1A0693DE4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546880"/>
        <c:axId val="354550408"/>
      </c:lineChart>
      <c:catAx>
        <c:axId val="354546880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354550408"/>
        <c:crosses val="autoZero"/>
        <c:auto val="1"/>
        <c:lblAlgn val="ctr"/>
        <c:lblOffset val="100"/>
        <c:noMultiLvlLbl val="0"/>
      </c:catAx>
      <c:valAx>
        <c:axId val="3545504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54546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503879533306517"/>
          <c:y val="0.21795166229221349"/>
          <c:w val="0.66892935330661663"/>
          <c:h val="0.68921660834062393"/>
        </c:manualLayout>
      </c:layout>
      <c:lineChart>
        <c:grouping val="standard"/>
        <c:varyColors val="0"/>
        <c:ser>
          <c:idx val="1"/>
          <c:order val="0"/>
          <c:tx>
            <c:strRef>
              <c:f>Plan2!$J$4</c:f>
              <c:strCache>
                <c:ptCount val="1"/>
                <c:pt idx="0">
                  <c:v>Pout (mW)</c:v>
                </c:pt>
              </c:strCache>
            </c:strRef>
          </c:tx>
          <c:marker>
            <c:symbol val="none"/>
          </c:marker>
          <c:cat>
            <c:numRef>
              <c:f>Plan2!$I$5:$I$10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cat>
          <c:val>
            <c:numRef>
              <c:f>Plan2!$J$5:$J$10</c:f>
              <c:numCache>
                <c:formatCode>0.0</c:formatCode>
                <c:ptCount val="6"/>
                <c:pt idx="0">
                  <c:v>4.4913526289063181</c:v>
                </c:pt>
                <c:pt idx="1">
                  <c:v>5.3664683066475805</c:v>
                </c:pt>
                <c:pt idx="2">
                  <c:v>7.1880452142281923</c:v>
                </c:pt>
                <c:pt idx="3">
                  <c:v>10.248220332422571</c:v>
                </c:pt>
                <c:pt idx="4">
                  <c:v>15.196954410715453</c:v>
                </c:pt>
                <c:pt idx="5">
                  <c:v>23.159460442170076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B7-42AC-82BB-AD574E3C4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606064"/>
        <c:axId val="306219288"/>
      </c:lineChart>
      <c:catAx>
        <c:axId val="35160606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306219288"/>
        <c:crosses val="autoZero"/>
        <c:auto val="1"/>
        <c:lblAlgn val="ctr"/>
        <c:lblOffset val="100"/>
        <c:noMultiLvlLbl val="0"/>
      </c:catAx>
      <c:valAx>
        <c:axId val="3062192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5160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9</xdr:row>
      <xdr:rowOff>161925</xdr:rowOff>
    </xdr:from>
    <xdr:to>
      <xdr:col>12</xdr:col>
      <xdr:colOff>428624</xdr:colOff>
      <xdr:row>26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13</xdr:row>
      <xdr:rowOff>114300</xdr:rowOff>
    </xdr:from>
    <xdr:to>
      <xdr:col>16</xdr:col>
      <xdr:colOff>28575</xdr:colOff>
      <xdr:row>28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0</xdr:row>
      <xdr:rowOff>133350</xdr:rowOff>
    </xdr:from>
    <xdr:to>
      <xdr:col>17</xdr:col>
      <xdr:colOff>485775</xdr:colOff>
      <xdr:row>15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50800</xdr:colOff>
      <xdr:row>18</xdr:row>
      <xdr:rowOff>16933</xdr:rowOff>
    </xdr:from>
    <xdr:to>
      <xdr:col>21</xdr:col>
      <xdr:colOff>305859</xdr:colOff>
      <xdr:row>32</xdr:row>
      <xdr:rowOff>93133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I6" workbookViewId="0">
      <selection activeCell="P10" sqref="P10"/>
    </sheetView>
  </sheetViews>
  <sheetFormatPr defaultRowHeight="15" x14ac:dyDescent="0.25"/>
  <cols>
    <col min="4" max="4" width="16.7109375" bestFit="1" customWidth="1"/>
    <col min="15" max="15" width="12" customWidth="1"/>
    <col min="16" max="16" width="12.5703125" bestFit="1" customWidth="1"/>
    <col min="19" max="19" width="12.7109375" bestFit="1" customWidth="1"/>
  </cols>
  <sheetData>
    <row r="1" spans="1:19" x14ac:dyDescent="0.25">
      <c r="B1" t="s">
        <v>2</v>
      </c>
      <c r="C1" t="s">
        <v>8</v>
      </c>
      <c r="P1" t="s">
        <v>11</v>
      </c>
      <c r="Q1" t="s">
        <v>12</v>
      </c>
    </row>
    <row r="2" spans="1:19" x14ac:dyDescent="0.25">
      <c r="A2" t="s">
        <v>1</v>
      </c>
      <c r="B2">
        <v>31</v>
      </c>
      <c r="C2">
        <f>10^(B2/10)</f>
        <v>1258.925411794168</v>
      </c>
      <c r="O2" t="s">
        <v>1</v>
      </c>
      <c r="P2">
        <v>30</v>
      </c>
      <c r="Q2">
        <f>10^(P2/10)</f>
        <v>1000</v>
      </c>
    </row>
    <row r="3" spans="1:19" x14ac:dyDescent="0.25">
      <c r="A3" t="s">
        <v>3</v>
      </c>
      <c r="B3">
        <v>5</v>
      </c>
      <c r="C3">
        <f>10^(B3/10)</f>
        <v>3.1622776601683795</v>
      </c>
      <c r="O3" t="s">
        <v>3</v>
      </c>
      <c r="P3">
        <v>8</v>
      </c>
      <c r="Q3">
        <f>10^(P3/10)</f>
        <v>6.3095734448019343</v>
      </c>
    </row>
    <row r="5" spans="1:19" x14ac:dyDescent="0.25">
      <c r="A5" t="s">
        <v>4</v>
      </c>
      <c r="B5" t="s">
        <v>6</v>
      </c>
      <c r="C5" t="s">
        <v>7</v>
      </c>
      <c r="D5" t="s">
        <v>5</v>
      </c>
      <c r="E5" t="s">
        <v>0</v>
      </c>
      <c r="N5" t="s">
        <v>9</v>
      </c>
      <c r="O5" t="s">
        <v>10</v>
      </c>
      <c r="P5" t="s">
        <v>13</v>
      </c>
      <c r="Q5" t="s">
        <v>6</v>
      </c>
      <c r="R5" t="s">
        <v>44</v>
      </c>
      <c r="S5" t="s">
        <v>45</v>
      </c>
    </row>
    <row r="6" spans="1:19" x14ac:dyDescent="0.25">
      <c r="A6">
        <v>30.9</v>
      </c>
      <c r="B6" s="1">
        <f t="shared" ref="B6:B12" si="0">10^(A6/10)</f>
        <v>1230.2687708123824</v>
      </c>
      <c r="C6" s="1">
        <f t="shared" ref="C6:C12" si="1">10*LOG(D6)</f>
        <v>-42.274311599470948</v>
      </c>
      <c r="D6" s="3">
        <f>($C$3*LN($C$2/B6))/(B6-1)</f>
        <v>5.9233697081556466E-5</v>
      </c>
      <c r="E6">
        <f t="shared" ref="E6:E12" si="2">A6</f>
        <v>30.9</v>
      </c>
      <c r="N6">
        <v>-40</v>
      </c>
      <c r="O6" s="3">
        <f>10^(N6/10)</f>
        <v>1E-4</v>
      </c>
      <c r="P6" s="1">
        <f>10*LOG10(Q6)</f>
        <v>29.932302409652571</v>
      </c>
      <c r="Q6">
        <v>984.53291697934844</v>
      </c>
      <c r="R6">
        <f>1+($Q$3/O6)*LN($Q$2/Q6)</f>
        <v>984.53291633200706</v>
      </c>
      <c r="S6">
        <f>Q6-R6</f>
        <v>6.4734138049971079E-7</v>
      </c>
    </row>
    <row r="7" spans="1:19" x14ac:dyDescent="0.25">
      <c r="A7">
        <v>30.8</v>
      </c>
      <c r="B7" s="1">
        <f t="shared" si="0"/>
        <v>1202.2644346174138</v>
      </c>
      <c r="C7" s="1">
        <f t="shared" si="1"/>
        <v>-39.16392934907978</v>
      </c>
      <c r="D7" s="3">
        <f t="shared" ref="D7:D30" si="3">($C$3*LN($C$2/B7))/(B7-1)</f>
        <v>1.2122915139048146E-4</v>
      </c>
      <c r="E7">
        <f t="shared" si="2"/>
        <v>30.8</v>
      </c>
      <c r="N7">
        <v>-35</v>
      </c>
      <c r="O7" s="3">
        <f t="shared" ref="O7:O14" si="4">10^(N7/10)</f>
        <v>3.1622776601683783E-4</v>
      </c>
      <c r="P7" s="1">
        <f t="shared" ref="P7:P14" si="5">10*LOG10(Q7)</f>
        <v>29.792700344920245</v>
      </c>
      <c r="Q7">
        <v>953.38877535844415</v>
      </c>
      <c r="R7">
        <f t="shared" ref="R7:R14" si="6">1+($Q$3/O7)*LN($Q$2/Q7)</f>
        <v>953.38877517865092</v>
      </c>
      <c r="S7">
        <f t="shared" ref="S7:S14" si="7">Q7-R7</f>
        <v>1.7979323274630588E-7</v>
      </c>
    </row>
    <row r="8" spans="1:19" x14ac:dyDescent="0.25">
      <c r="A8">
        <v>30.7</v>
      </c>
      <c r="B8" s="1">
        <f t="shared" si="0"/>
        <v>1174.8975549395295</v>
      </c>
      <c r="C8" s="1">
        <f t="shared" si="1"/>
        <v>-37.302932546289533</v>
      </c>
      <c r="D8" s="3">
        <f t="shared" si="3"/>
        <v>1.8608301984035438E-4</v>
      </c>
      <c r="E8">
        <f t="shared" si="2"/>
        <v>30.7</v>
      </c>
      <c r="N8">
        <v>-30</v>
      </c>
      <c r="O8" s="3">
        <f t="shared" si="4"/>
        <v>1E-3</v>
      </c>
      <c r="P8" s="1">
        <f t="shared" si="5"/>
        <v>29.401050073371554</v>
      </c>
      <c r="Q8">
        <v>871.17420424829356</v>
      </c>
      <c r="R8">
        <f t="shared" si="6"/>
        <v>871.17420420800624</v>
      </c>
      <c r="S8">
        <f t="shared" si="7"/>
        <v>4.0287318370246794E-8</v>
      </c>
    </row>
    <row r="9" spans="1:19" x14ac:dyDescent="0.25">
      <c r="A9">
        <v>30.6</v>
      </c>
      <c r="B9" s="1">
        <f t="shared" si="0"/>
        <v>1148.1536214968839</v>
      </c>
      <c r="C9" s="1">
        <f t="shared" si="1"/>
        <v>-35.953459004727847</v>
      </c>
      <c r="D9" s="3">
        <f t="shared" si="3"/>
        <v>2.5389497147593854E-4</v>
      </c>
      <c r="E9">
        <f t="shared" si="2"/>
        <v>30.6</v>
      </c>
      <c r="N9">
        <v>-25</v>
      </c>
      <c r="O9" s="3">
        <f t="shared" si="4"/>
        <v>3.1622776601683764E-3</v>
      </c>
      <c r="P9" s="1">
        <f t="shared" si="5"/>
        <v>28.471367451698853</v>
      </c>
      <c r="Q9">
        <v>703.29372928544808</v>
      </c>
      <c r="R9">
        <f t="shared" si="6"/>
        <v>703.29373021128708</v>
      </c>
      <c r="S9">
        <f t="shared" si="7"/>
        <v>-9.2583900368481409E-7</v>
      </c>
    </row>
    <row r="10" spans="1:19" x14ac:dyDescent="0.25">
      <c r="A10">
        <v>30.5</v>
      </c>
      <c r="B10" s="1">
        <f t="shared" si="0"/>
        <v>1122.0184543019636</v>
      </c>
      <c r="C10" s="1">
        <f t="shared" si="1"/>
        <v>-34.884270690113546</v>
      </c>
      <c r="D10" s="3">
        <f t="shared" si="3"/>
        <v>3.2476777577875949E-4</v>
      </c>
      <c r="E10">
        <f t="shared" si="2"/>
        <v>30.5</v>
      </c>
      <c r="N10">
        <f>N9+5</f>
        <v>-20</v>
      </c>
      <c r="O10" s="3">
        <f t="shared" si="4"/>
        <v>0.01</v>
      </c>
      <c r="P10" s="1">
        <f t="shared" si="5"/>
        <v>26.750076537729093</v>
      </c>
      <c r="Q10">
        <v>473.15959759885641</v>
      </c>
      <c r="R10">
        <f t="shared" si="6"/>
        <v>473.15959745376887</v>
      </c>
      <c r="S10">
        <f t="shared" si="7"/>
        <v>1.450875402042584E-7</v>
      </c>
    </row>
    <row r="11" spans="1:19" x14ac:dyDescent="0.25">
      <c r="A11">
        <v>30.4</v>
      </c>
      <c r="B11" s="1">
        <f t="shared" si="0"/>
        <v>1096.4781961431863</v>
      </c>
      <c r="C11" s="1">
        <f t="shared" si="1"/>
        <v>-33.992367989168287</v>
      </c>
      <c r="D11" s="3">
        <f t="shared" si="3"/>
        <v>3.9880739347513468E-4</v>
      </c>
      <c r="E11">
        <f t="shared" si="2"/>
        <v>30.4</v>
      </c>
      <c r="N11">
        <f t="shared" ref="N11:N14" si="8">N10+5</f>
        <v>-15</v>
      </c>
      <c r="O11" s="3">
        <f t="shared" si="4"/>
        <v>3.1622776601683784E-2</v>
      </c>
      <c r="P11" s="1">
        <f t="shared" si="5"/>
        <v>24.241577278092919</v>
      </c>
      <c r="Q11">
        <v>265.55698412365007</v>
      </c>
      <c r="R11">
        <f t="shared" si="6"/>
        <v>265.55698447583001</v>
      </c>
      <c r="S11">
        <f t="shared" si="7"/>
        <v>-3.5217993854530505E-7</v>
      </c>
    </row>
    <row r="12" spans="1:19" x14ac:dyDescent="0.25">
      <c r="A12">
        <v>30.2</v>
      </c>
      <c r="B12" s="1">
        <f t="shared" si="0"/>
        <v>1047.1285480509</v>
      </c>
      <c r="C12" s="1">
        <f t="shared" si="1"/>
        <v>-32.542793781314124</v>
      </c>
      <c r="D12" s="3">
        <f t="shared" si="3"/>
        <v>5.5682743110515155E-4</v>
      </c>
      <c r="E12">
        <f t="shared" si="2"/>
        <v>30.2</v>
      </c>
      <c r="N12">
        <f t="shared" si="8"/>
        <v>-10</v>
      </c>
      <c r="O12" s="3">
        <f t="shared" si="4"/>
        <v>0.1</v>
      </c>
      <c r="P12" s="1">
        <f t="shared" si="5"/>
        <v>21.133340747333587</v>
      </c>
      <c r="Q12">
        <v>129.8177491214326</v>
      </c>
      <c r="R12">
        <f t="shared" si="6"/>
        <v>129.81774946704078</v>
      </c>
      <c r="S12">
        <f t="shared" si="7"/>
        <v>-3.4560818562567874E-7</v>
      </c>
    </row>
    <row r="13" spans="1:19" x14ac:dyDescent="0.25">
      <c r="A13">
        <v>30</v>
      </c>
      <c r="B13" s="1">
        <f>10^(A13/10)</f>
        <v>1000</v>
      </c>
      <c r="C13" s="1">
        <f>10*LOG(D13)</f>
        <v>-31.373497995265179</v>
      </c>
      <c r="D13" s="3">
        <f t="shared" si="3"/>
        <v>7.2887021023141339E-4</v>
      </c>
      <c r="E13">
        <f>A13</f>
        <v>30</v>
      </c>
      <c r="N13">
        <f t="shared" si="8"/>
        <v>-5</v>
      </c>
      <c r="O13" s="3">
        <f t="shared" si="4"/>
        <v>0.31622776601683794</v>
      </c>
      <c r="P13" s="1">
        <f t="shared" si="5"/>
        <v>17.623760213260375</v>
      </c>
      <c r="Q13">
        <v>57.859679190767402</v>
      </c>
      <c r="R13">
        <f t="shared" si="6"/>
        <v>57.859679034561466</v>
      </c>
      <c r="S13">
        <f t="shared" si="7"/>
        <v>1.5620593529774851E-7</v>
      </c>
    </row>
    <row r="14" spans="1:19" x14ac:dyDescent="0.25">
      <c r="A14">
        <v>29</v>
      </c>
      <c r="B14" s="1">
        <f>10^(A14/10)</f>
        <v>794.32823472428208</v>
      </c>
      <c r="C14" s="1">
        <f>10*LOG(D14)</f>
        <v>-27.362072268327854</v>
      </c>
      <c r="D14" s="3">
        <f t="shared" si="3"/>
        <v>1.8356622344955175E-3</v>
      </c>
      <c r="E14">
        <f>A14</f>
        <v>29</v>
      </c>
      <c r="N14">
        <f t="shared" si="8"/>
        <v>0</v>
      </c>
      <c r="O14" s="3">
        <f t="shared" si="4"/>
        <v>1</v>
      </c>
      <c r="P14" s="1">
        <f t="shared" si="5"/>
        <v>13.877931799543466</v>
      </c>
      <c r="Q14">
        <v>24.422672173778864</v>
      </c>
      <c r="R14">
        <f t="shared" si="6"/>
        <v>24.422672318352703</v>
      </c>
      <c r="S14">
        <f t="shared" si="7"/>
        <v>-1.4457383912258592E-7</v>
      </c>
    </row>
    <row r="15" spans="1:19" x14ac:dyDescent="0.25">
      <c r="A15">
        <v>28</v>
      </c>
      <c r="B15" s="1">
        <f t="shared" ref="B15:B19" si="9">10^(A15/10)</f>
        <v>630.95734448019323</v>
      </c>
      <c r="C15" s="1">
        <f t="shared" ref="C15:C19" si="10">10*LOG(D15)</f>
        <v>-24.599742001867689</v>
      </c>
      <c r="D15" s="3">
        <f t="shared" si="3"/>
        <v>3.4675744940572302E-3</v>
      </c>
      <c r="E15">
        <f t="shared" ref="E15:E19" si="11">A15</f>
        <v>28</v>
      </c>
    </row>
    <row r="16" spans="1:19" x14ac:dyDescent="0.25">
      <c r="A16">
        <f>A14-2</f>
        <v>27</v>
      </c>
      <c r="B16" s="1">
        <f t="shared" si="9"/>
        <v>501.18723362727269</v>
      </c>
      <c r="C16" s="1">
        <f t="shared" si="10"/>
        <v>-22.34856922928866</v>
      </c>
      <c r="D16" s="3">
        <f t="shared" si="3"/>
        <v>5.8229502159887047E-3</v>
      </c>
      <c r="E16">
        <f t="shared" si="11"/>
        <v>27</v>
      </c>
      <c r="Q16">
        <v>0</v>
      </c>
    </row>
    <row r="17" spans="1:16" x14ac:dyDescent="0.25">
      <c r="A17">
        <v>26</v>
      </c>
      <c r="B17" s="1">
        <f t="shared" si="9"/>
        <v>398.10717055349761</v>
      </c>
      <c r="C17" s="1">
        <f t="shared" si="10"/>
        <v>-20.377220361429821</v>
      </c>
      <c r="D17" s="3">
        <f t="shared" si="3"/>
        <v>9.1680709140341005E-3</v>
      </c>
      <c r="E17">
        <f t="shared" si="11"/>
        <v>26</v>
      </c>
    </row>
    <row r="18" spans="1:16" x14ac:dyDescent="0.25">
      <c r="A18">
        <f>A16-2</f>
        <v>25</v>
      </c>
      <c r="B18" s="1">
        <f t="shared" si="9"/>
        <v>316.22776601683825</v>
      </c>
      <c r="C18" s="1">
        <f t="shared" si="10"/>
        <v>-18.582575251176763</v>
      </c>
      <c r="D18" s="3">
        <f t="shared" si="3"/>
        <v>1.3859337631741844E-2</v>
      </c>
      <c r="E18">
        <f t="shared" si="11"/>
        <v>25</v>
      </c>
    </row>
    <row r="19" spans="1:16" x14ac:dyDescent="0.25">
      <c r="A19">
        <v>24</v>
      </c>
      <c r="B19" s="1">
        <f t="shared" si="9"/>
        <v>251.18864315095806</v>
      </c>
      <c r="C19" s="1">
        <f t="shared" si="10"/>
        <v>-16.909538630992628</v>
      </c>
      <c r="D19" s="3">
        <f t="shared" si="3"/>
        <v>2.037258492613854E-2</v>
      </c>
      <c r="E19">
        <f t="shared" si="11"/>
        <v>24</v>
      </c>
      <c r="P19" s="2"/>
    </row>
    <row r="20" spans="1:16" x14ac:dyDescent="0.25">
      <c r="A20">
        <f>A18-2</f>
        <v>23</v>
      </c>
      <c r="B20" s="1">
        <f>10^(A20/10)</f>
        <v>199.52623149688802</v>
      </c>
      <c r="C20" s="1">
        <f>10*LOG(D20)</f>
        <v>-15.325122230232715</v>
      </c>
      <c r="D20" s="3">
        <f t="shared" si="3"/>
        <v>2.9341869214198797E-2</v>
      </c>
      <c r="E20">
        <f>A20</f>
        <v>23</v>
      </c>
      <c r="P20" s="2"/>
    </row>
    <row r="21" spans="1:16" x14ac:dyDescent="0.25">
      <c r="A21">
        <v>22</v>
      </c>
      <c r="B21" s="1">
        <f t="shared" ref="B21:B30" si="12">10^(A21/10)</f>
        <v>158.48931924611153</v>
      </c>
      <c r="C21" s="1">
        <f t="shared" ref="C21:C30" si="13">10*LOG(D21)</f>
        <v>-13.807929076073716</v>
      </c>
      <c r="D21" s="3">
        <f t="shared" si="3"/>
        <v>4.1610898387018216E-2</v>
      </c>
      <c r="E21">
        <f t="shared" ref="E21:E26" si="14">A21</f>
        <v>22</v>
      </c>
      <c r="P21" s="2"/>
    </row>
    <row r="22" spans="1:16" x14ac:dyDescent="0.25">
      <c r="A22">
        <f>A20-2</f>
        <v>21</v>
      </c>
      <c r="B22" s="1">
        <f t="shared" si="12"/>
        <v>125.89254117941677</v>
      </c>
      <c r="C22" s="1">
        <f t="shared" si="13"/>
        <v>-12.343208135549908</v>
      </c>
      <c r="D22" s="3">
        <f t="shared" si="3"/>
        <v>5.8301427222555657E-2</v>
      </c>
      <c r="E22">
        <f t="shared" si="14"/>
        <v>21</v>
      </c>
      <c r="P22" s="2"/>
    </row>
    <row r="23" spans="1:16" x14ac:dyDescent="0.25">
      <c r="A23">
        <v>20</v>
      </c>
      <c r="B23" s="1">
        <f t="shared" si="12"/>
        <v>100</v>
      </c>
      <c r="C23" s="1">
        <f t="shared" si="13"/>
        <v>-10.920268207398616</v>
      </c>
      <c r="D23" s="3">
        <f>($C$3*LN($C$2/B23))/(B23-1)</f>
        <v>8.0904593335686711E-2</v>
      </c>
      <c r="E23">
        <f t="shared" si="14"/>
        <v>20</v>
      </c>
      <c r="P23" s="2"/>
    </row>
    <row r="24" spans="1:16" x14ac:dyDescent="0.25">
      <c r="A24">
        <f>A22-2</f>
        <v>19</v>
      </c>
      <c r="B24" s="1">
        <f t="shared" si="12"/>
        <v>79.432823472428197</v>
      </c>
      <c r="C24" s="1">
        <f t="shared" si="13"/>
        <v>-9.5310091454100885</v>
      </c>
      <c r="D24" s="3">
        <f t="shared" si="3"/>
        <v>0.11140356413824321</v>
      </c>
      <c r="E24">
        <f t="shared" si="14"/>
        <v>19</v>
      </c>
      <c r="P24" s="2"/>
    </row>
    <row r="25" spans="1:16" x14ac:dyDescent="0.25">
      <c r="A25">
        <v>18</v>
      </c>
      <c r="B25" s="1">
        <f t="shared" si="12"/>
        <v>63.095734448019364</v>
      </c>
      <c r="C25" s="1">
        <f t="shared" si="13"/>
        <v>-8.1690272713625056</v>
      </c>
      <c r="D25" s="3">
        <f t="shared" si="3"/>
        <v>0.1524394147910311</v>
      </c>
      <c r="E25">
        <f t="shared" si="14"/>
        <v>18</v>
      </c>
    </row>
    <row r="26" spans="1:16" x14ac:dyDescent="0.25">
      <c r="A26">
        <f>A24-2</f>
        <v>17</v>
      </c>
      <c r="B26" s="1">
        <f t="shared" si="12"/>
        <v>50.118723362727238</v>
      </c>
      <c r="C26" s="1">
        <f t="shared" si="13"/>
        <v>-6.8290334622023021</v>
      </c>
      <c r="D26" s="3">
        <f t="shared" si="3"/>
        <v>0.20753753482184395</v>
      </c>
      <c r="E26">
        <f t="shared" si="14"/>
        <v>17</v>
      </c>
    </row>
    <row r="27" spans="1:16" x14ac:dyDescent="0.25">
      <c r="A27">
        <v>16</v>
      </c>
      <c r="B27" s="1">
        <f t="shared" si="12"/>
        <v>39.810717055349755</v>
      </c>
      <c r="C27" s="1">
        <f t="shared" si="13"/>
        <v>-5.506447189556205</v>
      </c>
      <c r="D27" s="3">
        <f t="shared" si="3"/>
        <v>0.28142020887532593</v>
      </c>
      <c r="E27">
        <f t="shared" ref="E27:E30" si="15">A27</f>
        <v>16</v>
      </c>
    </row>
    <row r="28" spans="1:16" x14ac:dyDescent="0.25">
      <c r="A28">
        <f>A26-2</f>
        <v>15</v>
      </c>
      <c r="B28" s="1">
        <f t="shared" si="12"/>
        <v>31.622776601683803</v>
      </c>
      <c r="C28" s="1">
        <f t="shared" si="13"/>
        <v>-4.1970889476255628</v>
      </c>
      <c r="D28" s="3">
        <f t="shared" si="3"/>
        <v>0.38044432064002615</v>
      </c>
      <c r="E28">
        <f t="shared" si="15"/>
        <v>15</v>
      </c>
    </row>
    <row r="29" spans="1:16" x14ac:dyDescent="0.25">
      <c r="A29">
        <v>14</v>
      </c>
      <c r="B29" s="1">
        <f t="shared" si="12"/>
        <v>25.118864315095799</v>
      </c>
      <c r="C29" s="1">
        <f t="shared" si="13"/>
        <v>-2.8969224424862445</v>
      </c>
      <c r="D29" s="3">
        <f t="shared" si="3"/>
        <v>0.51322494370568372</v>
      </c>
      <c r="E29">
        <f t="shared" si="15"/>
        <v>14</v>
      </c>
    </row>
    <row r="30" spans="1:16" x14ac:dyDescent="0.25">
      <c r="A30">
        <f>A28-2</f>
        <v>13</v>
      </c>
      <c r="B30" s="1">
        <f t="shared" si="12"/>
        <v>19.952623149688804</v>
      </c>
      <c r="C30" s="1">
        <f t="shared" si="13"/>
        <v>-1.6018113346143925</v>
      </c>
      <c r="D30" s="3">
        <f t="shared" si="3"/>
        <v>0.6915424855369664</v>
      </c>
      <c r="E30">
        <f t="shared" si="15"/>
        <v>13</v>
      </c>
    </row>
    <row r="31" spans="1:16" x14ac:dyDescent="0.25">
      <c r="B31" s="1"/>
      <c r="C31" s="1"/>
      <c r="D31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>
      <selection activeCell="F13" sqref="F13"/>
    </sheetView>
  </sheetViews>
  <sheetFormatPr defaultRowHeight="15" x14ac:dyDescent="0.25"/>
  <cols>
    <col min="3" max="3" width="11.7109375" customWidth="1"/>
    <col min="4" max="4" width="12" bestFit="1" customWidth="1"/>
    <col min="6" max="6" width="12.5703125" customWidth="1"/>
    <col min="8" max="8" width="11.7109375" customWidth="1"/>
    <col min="9" max="9" width="12.5703125" customWidth="1"/>
    <col min="10" max="10" width="12" bestFit="1" customWidth="1"/>
    <col min="11" max="11" width="11.140625" customWidth="1"/>
    <col min="13" max="13" width="15.140625" customWidth="1"/>
    <col min="14" max="14" width="12" bestFit="1" customWidth="1"/>
    <col min="15" max="15" width="12.7109375" customWidth="1"/>
  </cols>
  <sheetData>
    <row r="1" spans="1:14" x14ac:dyDescent="0.25">
      <c r="A1" s="4"/>
      <c r="B1" s="8" t="s">
        <v>17</v>
      </c>
      <c r="C1" s="8" t="s">
        <v>12</v>
      </c>
      <c r="D1" s="8" t="s">
        <v>15</v>
      </c>
      <c r="E1" s="8" t="s">
        <v>16</v>
      </c>
      <c r="F1" s="8" t="s">
        <v>36</v>
      </c>
    </row>
    <row r="2" spans="1:14" x14ac:dyDescent="0.25">
      <c r="A2" s="9" t="s">
        <v>1</v>
      </c>
      <c r="B2" s="4">
        <v>32</v>
      </c>
      <c r="C2" s="21">
        <f>10^(B2/10)</f>
        <v>1584.8931924611156</v>
      </c>
      <c r="D2" s="4"/>
      <c r="E2" s="4"/>
      <c r="F2" s="4"/>
    </row>
    <row r="3" spans="1:14" x14ac:dyDescent="0.25">
      <c r="A3" s="9" t="s">
        <v>61</v>
      </c>
      <c r="B3" s="4"/>
      <c r="C3" s="4"/>
      <c r="D3" s="4">
        <v>150</v>
      </c>
      <c r="E3" s="4"/>
      <c r="F3" s="4"/>
    </row>
    <row r="4" spans="1:14" x14ac:dyDescent="0.25">
      <c r="A4" s="9" t="s">
        <v>14</v>
      </c>
      <c r="B4" s="4"/>
      <c r="C4" s="4"/>
      <c r="D4" s="4"/>
      <c r="E4" s="4">
        <v>0.2</v>
      </c>
      <c r="F4" s="5">
        <f>E4/(10*LOG(EXP(1)))</f>
        <v>4.6051701859880917E-2</v>
      </c>
      <c r="I4" s="4" t="s">
        <v>22</v>
      </c>
      <c r="J4" s="4" t="s">
        <v>50</v>
      </c>
    </row>
    <row r="5" spans="1:14" x14ac:dyDescent="0.25">
      <c r="A5" s="9" t="s">
        <v>3</v>
      </c>
      <c r="B5" s="4">
        <v>15</v>
      </c>
      <c r="C5" s="14">
        <f>10^(B5/10)</f>
        <v>31.622776601683803</v>
      </c>
      <c r="D5" s="4"/>
      <c r="E5" s="4"/>
      <c r="F5" s="4"/>
      <c r="I5" s="4">
        <f>A22</f>
        <v>20</v>
      </c>
      <c r="J5" s="15">
        <f>M22</f>
        <v>4.4913526289063181</v>
      </c>
    </row>
    <row r="6" spans="1:14" x14ac:dyDescent="0.25">
      <c r="A6" s="9" t="s">
        <v>18</v>
      </c>
      <c r="B6" s="4"/>
      <c r="C6" s="4"/>
      <c r="D6" s="4"/>
      <c r="E6" s="4"/>
      <c r="F6" s="6">
        <v>6.6259999999999998E-34</v>
      </c>
      <c r="I6" s="4">
        <f>A21</f>
        <v>30</v>
      </c>
      <c r="J6" s="15">
        <f>M21</f>
        <v>5.3664683066475805</v>
      </c>
    </row>
    <row r="7" spans="1:14" x14ac:dyDescent="0.25">
      <c r="A7" s="9" t="s">
        <v>19</v>
      </c>
      <c r="B7" s="4"/>
      <c r="C7" s="4"/>
      <c r="D7" s="4"/>
      <c r="E7" s="4"/>
      <c r="F7" s="6">
        <v>100000000000</v>
      </c>
      <c r="I7" s="4">
        <f>A20</f>
        <v>40</v>
      </c>
      <c r="J7" s="15">
        <f>M20</f>
        <v>7.1880452142281923</v>
      </c>
    </row>
    <row r="8" spans="1:14" x14ac:dyDescent="0.25">
      <c r="A8" s="9" t="s">
        <v>25</v>
      </c>
      <c r="B8" s="4"/>
      <c r="C8" s="4"/>
      <c r="D8" s="4"/>
      <c r="E8" s="4"/>
      <c r="F8" s="6">
        <v>1.5400000000000001E-6</v>
      </c>
      <c r="I8" s="4">
        <f>A19</f>
        <v>50</v>
      </c>
      <c r="J8" s="15">
        <f>M19</f>
        <v>10.248220332422571</v>
      </c>
    </row>
    <row r="9" spans="1:14" x14ac:dyDescent="0.25">
      <c r="A9" s="10" t="s">
        <v>20</v>
      </c>
      <c r="B9" s="4"/>
      <c r="C9" s="4"/>
      <c r="D9" s="4"/>
      <c r="E9" s="4"/>
      <c r="F9" s="6">
        <v>1</v>
      </c>
      <c r="I9" s="4">
        <f>A18</f>
        <v>60</v>
      </c>
      <c r="J9" s="15">
        <f>M18</f>
        <v>15.196954410715453</v>
      </c>
    </row>
    <row r="10" spans="1:14" x14ac:dyDescent="0.25">
      <c r="A10" s="10" t="s">
        <v>21</v>
      </c>
      <c r="B10" s="4"/>
      <c r="C10" s="4"/>
      <c r="D10" s="4"/>
      <c r="E10" s="4"/>
      <c r="F10" s="6">
        <v>300000000</v>
      </c>
      <c r="I10" s="4">
        <f>A17</f>
        <v>70</v>
      </c>
      <c r="J10" s="15">
        <f>M17</f>
        <v>23.159460442170076</v>
      </c>
    </row>
    <row r="11" spans="1:14" x14ac:dyDescent="0.25">
      <c r="A11" s="10" t="s">
        <v>24</v>
      </c>
      <c r="B11" s="4"/>
      <c r="C11" s="4"/>
      <c r="D11" s="4"/>
      <c r="E11" s="4"/>
      <c r="F11" s="6">
        <v>1.8</v>
      </c>
    </row>
    <row r="12" spans="1:14" x14ac:dyDescent="0.25">
      <c r="A12" s="9" t="s">
        <v>26</v>
      </c>
      <c r="B12" s="4"/>
      <c r="C12" s="4"/>
      <c r="D12" s="4"/>
      <c r="E12" s="4"/>
      <c r="F12" s="6">
        <f>F9*F10/F8</f>
        <v>194805194805194.78</v>
      </c>
    </row>
    <row r="13" spans="1:14" x14ac:dyDescent="0.25">
      <c r="A13" s="9" t="s">
        <v>23</v>
      </c>
      <c r="B13" s="4"/>
      <c r="C13" s="4"/>
      <c r="D13" s="4"/>
      <c r="E13" s="4"/>
      <c r="F13" s="6">
        <f>F11*F12*F6</f>
        <v>2.3234025974025973E-19</v>
      </c>
    </row>
    <row r="14" spans="1:14" x14ac:dyDescent="0.25">
      <c r="A14" s="9" t="s">
        <v>33</v>
      </c>
      <c r="B14" s="15">
        <f>10*LOG(C14)</f>
        <v>16.989700043360187</v>
      </c>
      <c r="C14" s="4">
        <v>50</v>
      </c>
      <c r="D14" s="4"/>
      <c r="E14" s="4"/>
      <c r="F14" s="4"/>
      <c r="M14" t="s">
        <v>48</v>
      </c>
      <c r="N14">
        <v>700</v>
      </c>
    </row>
    <row r="16" spans="1:14" x14ac:dyDescent="0.25">
      <c r="A16" s="19" t="s">
        <v>46</v>
      </c>
      <c r="B16" s="7" t="s">
        <v>0</v>
      </c>
      <c r="C16" s="7" t="s">
        <v>27</v>
      </c>
      <c r="D16" s="7" t="s">
        <v>28</v>
      </c>
      <c r="E16" s="7" t="s">
        <v>29</v>
      </c>
      <c r="F16" s="7" t="s">
        <v>30</v>
      </c>
      <c r="G16" s="7" t="s">
        <v>31</v>
      </c>
      <c r="H16" s="7" t="s">
        <v>13</v>
      </c>
      <c r="I16" s="7" t="s">
        <v>32</v>
      </c>
      <c r="J16" s="11" t="s">
        <v>34</v>
      </c>
      <c r="K16" s="4" t="s">
        <v>47</v>
      </c>
      <c r="L16" s="4" t="s">
        <v>35</v>
      </c>
      <c r="M16" t="s">
        <v>49</v>
      </c>
    </row>
    <row r="17" spans="1:13" x14ac:dyDescent="0.25">
      <c r="A17" s="4">
        <v>70</v>
      </c>
      <c r="B17" s="15">
        <v>997.79067536813204</v>
      </c>
      <c r="C17" s="15">
        <v>11.5721820497326</v>
      </c>
      <c r="D17" s="6">
        <f>(C17*EXP(-$F$4*A17)*B17)+2*$F$13*$F$7*(B17-1)*1000</f>
        <v>459.72535528346532</v>
      </c>
      <c r="E17" s="4">
        <f>1+($C$5/(C17*EXP(-1*$F$4*A17)))*LN($C$2/B17)</f>
        <v>32.762250132530369</v>
      </c>
      <c r="F17" s="6">
        <f>D17-C17</f>
        <v>448.15317323373273</v>
      </c>
      <c r="G17" s="4">
        <f>E17-B17</f>
        <v>-965.02842523560162</v>
      </c>
      <c r="H17" s="14">
        <f>10*LOG(B17)</f>
        <v>29.990394410191897</v>
      </c>
      <c r="I17" s="14">
        <f>10*LOG(C17)</f>
        <v>10.634152572065362</v>
      </c>
      <c r="J17" s="4">
        <f>2*$F$13*$F$7*(B17-1)*1000</f>
        <v>4.6318920884340142E-2</v>
      </c>
      <c r="K17" s="14">
        <f>C17*A17/($C$14*J17)</f>
        <v>349.77185479083596</v>
      </c>
      <c r="L17" s="14">
        <f>K17/A17</f>
        <v>4.9967407827262278</v>
      </c>
      <c r="M17">
        <f>(2*$C$14*$F$13*$F$7*(B17-1)*$N$14/A17)*1000</f>
        <v>23.159460442170076</v>
      </c>
    </row>
    <row r="18" spans="1:13" x14ac:dyDescent="0.25">
      <c r="A18" s="4">
        <v>60</v>
      </c>
      <c r="B18" s="15">
        <v>561.64157533578157</v>
      </c>
      <c r="C18" s="15">
        <v>17.334234436507128</v>
      </c>
      <c r="D18" s="6">
        <f>(C18*EXP(-$F$4*A18)*B18)+2*$F$13*$F$7*(B18-1)*1000</f>
        <v>614.30257115161123</v>
      </c>
      <c r="E18" s="4">
        <f>1+($C$5/(C18*EXP(-1*$F$4*A18)))*LN($C$2/B18)</f>
        <v>30.994739992091173</v>
      </c>
      <c r="F18" s="6">
        <f>D18-C18</f>
        <v>596.9683367151041</v>
      </c>
      <c r="G18" s="4">
        <f>E18-B18</f>
        <v>-530.64683534369044</v>
      </c>
      <c r="H18" s="14">
        <f>10*LOG(B18)</f>
        <v>27.494592488201182</v>
      </c>
      <c r="I18" s="14">
        <f>10*LOG(C18)</f>
        <v>12.389046658745988</v>
      </c>
      <c r="J18" s="4">
        <f t="shared" ref="J18:J22" si="0">2*$F$13*$F$7*(B18-1)*1000</f>
        <v>2.6051921846940777E-2</v>
      </c>
      <c r="K18" s="14">
        <f t="shared" ref="K18:K21" si="1">C18*A18/($C$14*J18)</f>
        <v>798.44709522845358</v>
      </c>
      <c r="L18" s="14">
        <f>K18/A18</f>
        <v>13.307451587140893</v>
      </c>
      <c r="M18">
        <f t="shared" ref="M18:M22" si="2">(2*$C$14*$F$13*$F$7*(B18-1)*$N$14/A18)*1000</f>
        <v>15.196954410715453</v>
      </c>
    </row>
    <row r="19" spans="1:13" x14ac:dyDescent="0.25">
      <c r="A19" s="4">
        <v>50</v>
      </c>
      <c r="B19" s="15">
        <v>316.06194356868087</v>
      </c>
      <c r="C19" s="15">
        <v>23.116317892776785</v>
      </c>
      <c r="D19" s="6">
        <f t="shared" ref="D19:D27" si="3">(C19*EXP(-$F$4*A19)*B19)+2*$F$13*$F$7*(B19-1)*1000</f>
        <v>730.63347644901091</v>
      </c>
      <c r="E19" s="4">
        <f t="shared" ref="E19:E27" si="4">1+($C$5/(C19*EXP(-1*$F$4*A19)))*LN($C$2/B19)</f>
        <v>23.056488681279774</v>
      </c>
      <c r="F19" s="6">
        <f t="shared" ref="F19:F27" si="5">D19-C19</f>
        <v>707.51715855623411</v>
      </c>
      <c r="G19" s="4">
        <f t="shared" ref="G19:G27" si="6">E19-B19</f>
        <v>-293.00545488740113</v>
      </c>
      <c r="H19" s="14">
        <f t="shared" ref="H19:H27" si="7">10*LOG(B19)</f>
        <v>24.997722063959934</v>
      </c>
      <c r="I19" s="14">
        <f t="shared" ref="I19:I27" si="8">10*LOG(C19)</f>
        <v>13.639186582000171</v>
      </c>
      <c r="J19" s="4">
        <f t="shared" si="0"/>
        <v>1.4640314760603674E-2</v>
      </c>
      <c r="K19" s="14">
        <f t="shared" si="1"/>
        <v>1578.949515141682</v>
      </c>
      <c r="L19" s="14">
        <f t="shared" ref="L19:L27" si="9">K19/A19</f>
        <v>31.578990302833642</v>
      </c>
      <c r="M19">
        <f t="shared" si="2"/>
        <v>10.248220332422571</v>
      </c>
    </row>
    <row r="20" spans="1:13" x14ac:dyDescent="0.25">
      <c r="A20" s="4">
        <f t="shared" ref="A20:A26" si="10">A19-10</f>
        <v>40</v>
      </c>
      <c r="B20" s="15">
        <v>177.78616752525991</v>
      </c>
      <c r="C20" s="15">
        <v>28.954286570535938</v>
      </c>
      <c r="D20" s="6">
        <f t="shared" si="3"/>
        <v>815.8591892792839</v>
      </c>
      <c r="E20" s="4">
        <f t="shared" si="4"/>
        <v>16.075546587801789</v>
      </c>
      <c r="F20" s="6">
        <f t="shared" si="5"/>
        <v>786.90490270874795</v>
      </c>
      <c r="G20" s="4">
        <f t="shared" si="6"/>
        <v>-161.71062093745812</v>
      </c>
      <c r="H20" s="14">
        <f t="shared" si="7"/>
        <v>22.49897968101331</v>
      </c>
      <c r="I20" s="14">
        <f t="shared" si="8"/>
        <v>14.617128684475443</v>
      </c>
      <c r="J20" s="4">
        <f t="shared" si="0"/>
        <v>8.2149088162607915E-3</v>
      </c>
      <c r="K20" s="14">
        <f t="shared" si="1"/>
        <v>2819.6818460819054</v>
      </c>
      <c r="L20" s="14">
        <f t="shared" si="9"/>
        <v>70.492046152047635</v>
      </c>
      <c r="M20">
        <f t="shared" si="2"/>
        <v>7.1880452142281923</v>
      </c>
    </row>
    <row r="21" spans="1:13" x14ac:dyDescent="0.25">
      <c r="A21" s="4">
        <f t="shared" si="10"/>
        <v>30</v>
      </c>
      <c r="B21" s="15">
        <v>99.98908571137838</v>
      </c>
      <c r="C21" s="15">
        <v>34.892602347773085</v>
      </c>
      <c r="D21" s="6">
        <f t="shared" si="3"/>
        <v>876.37148415257263</v>
      </c>
      <c r="E21" s="4">
        <f t="shared" si="4"/>
        <v>10.96966875455815</v>
      </c>
      <c r="F21" s="6">
        <f t="shared" si="5"/>
        <v>841.47888180479958</v>
      </c>
      <c r="G21" s="4">
        <f t="shared" si="6"/>
        <v>-89.019416956820237</v>
      </c>
      <c r="H21" s="14">
        <f t="shared" si="7"/>
        <v>19.999525972598946</v>
      </c>
      <c r="I21" s="14">
        <f t="shared" si="8"/>
        <v>15.427333610540511</v>
      </c>
      <c r="J21" s="4">
        <f t="shared" si="0"/>
        <v>4.5998299771264966E-3</v>
      </c>
      <c r="K21" s="14">
        <f t="shared" si="1"/>
        <v>4551.3772275866268</v>
      </c>
      <c r="L21" s="14">
        <f t="shared" si="9"/>
        <v>151.71257425288755</v>
      </c>
      <c r="M21">
        <f t="shared" si="2"/>
        <v>5.3664683066475805</v>
      </c>
    </row>
    <row r="22" spans="1:13" x14ac:dyDescent="0.25">
      <c r="A22" s="4">
        <f t="shared" si="10"/>
        <v>20</v>
      </c>
      <c r="B22" s="15">
        <v>56.231220353008347</v>
      </c>
      <c r="C22" s="15">
        <v>41.027464875893052</v>
      </c>
      <c r="D22" s="6">
        <f t="shared" si="3"/>
        <v>918.44552991975877</v>
      </c>
      <c r="E22" s="4">
        <f t="shared" si="4"/>
        <v>7.4642142897344073</v>
      </c>
      <c r="F22" s="6">
        <f t="shared" si="5"/>
        <v>877.41806504386568</v>
      </c>
      <c r="G22" s="4">
        <f t="shared" si="6"/>
        <v>-48.767006063273939</v>
      </c>
      <c r="H22" s="14">
        <f t="shared" si="7"/>
        <v>17.499775088486594</v>
      </c>
      <c r="I22" s="14">
        <f t="shared" si="8"/>
        <v>16.130746823477196</v>
      </c>
      <c r="J22" s="4">
        <f t="shared" si="0"/>
        <v>2.5664872165178957E-3</v>
      </c>
      <c r="K22" s="14">
        <f>C22*A22/($C$14*J22)</f>
        <v>6394.3376942367831</v>
      </c>
      <c r="L22" s="14">
        <f t="shared" si="9"/>
        <v>319.71688471183916</v>
      </c>
      <c r="M22">
        <f t="shared" si="2"/>
        <v>4.4913526289063181</v>
      </c>
    </row>
    <row r="23" spans="1:13" x14ac:dyDescent="0.25">
      <c r="A23">
        <f t="shared" si="10"/>
        <v>10</v>
      </c>
      <c r="B23">
        <v>561.64157533578157</v>
      </c>
      <c r="C23">
        <v>17.334234436507128</v>
      </c>
      <c r="D23" s="16">
        <f t="shared" si="3"/>
        <v>6142.7912442194902</v>
      </c>
      <c r="E23" s="17">
        <f t="shared" si="4"/>
        <v>3.9994739992091168</v>
      </c>
      <c r="F23" s="16">
        <f t="shared" si="5"/>
        <v>6125.4570097829828</v>
      </c>
      <c r="G23" s="17">
        <f t="shared" si="6"/>
        <v>-557.64210133657241</v>
      </c>
      <c r="H23" s="18">
        <f t="shared" si="7"/>
        <v>27.494592488201182</v>
      </c>
      <c r="I23" s="18">
        <f t="shared" si="8"/>
        <v>12.389046658745988</v>
      </c>
      <c r="J23" s="17">
        <f t="shared" ref="J23:J27" si="11">2*$F$13*$F$7*(B23-1)</f>
        <v>2.6051921846940778E-5</v>
      </c>
      <c r="K23" s="2">
        <f t="shared" ref="K23:K27" si="12">C23*A23/($C$14*J23)</f>
        <v>133074.51587140892</v>
      </c>
      <c r="L23" s="2">
        <f t="shared" si="9"/>
        <v>13307.451587140891</v>
      </c>
    </row>
    <row r="24" spans="1:13" x14ac:dyDescent="0.25">
      <c r="A24">
        <f t="shared" si="10"/>
        <v>0</v>
      </c>
      <c r="B24">
        <v>561.64157533578157</v>
      </c>
      <c r="C24">
        <v>17.334234436507128</v>
      </c>
      <c r="D24" s="6">
        <f t="shared" si="3"/>
        <v>9735.6527880814629</v>
      </c>
      <c r="E24" s="4">
        <f t="shared" si="4"/>
        <v>2.8925401493783696</v>
      </c>
      <c r="F24" s="6">
        <f t="shared" si="5"/>
        <v>9718.3185536449564</v>
      </c>
      <c r="G24" s="4">
        <f t="shared" si="6"/>
        <v>-558.74903518640315</v>
      </c>
      <c r="H24" s="14">
        <f t="shared" si="7"/>
        <v>27.494592488201182</v>
      </c>
      <c r="I24" s="14">
        <f t="shared" si="8"/>
        <v>12.389046658745988</v>
      </c>
      <c r="J24" s="4">
        <f t="shared" si="11"/>
        <v>2.6051921846940778E-5</v>
      </c>
      <c r="K24" s="2">
        <f t="shared" si="12"/>
        <v>0</v>
      </c>
      <c r="L24" s="2" t="e">
        <f t="shared" si="9"/>
        <v>#DIV/0!</v>
      </c>
    </row>
    <row r="25" spans="1:13" x14ac:dyDescent="0.25">
      <c r="A25">
        <f>A24-10</f>
        <v>-10</v>
      </c>
      <c r="B25">
        <v>561.64157533578157</v>
      </c>
      <c r="C25">
        <v>17.334234436507128</v>
      </c>
      <c r="D25" s="6">
        <f t="shared" si="3"/>
        <v>15429.954590403633</v>
      </c>
      <c r="E25" s="4">
        <f t="shared" si="4"/>
        <v>2.1941121069739244</v>
      </c>
      <c r="F25" s="6">
        <f t="shared" si="5"/>
        <v>15412.620355967127</v>
      </c>
      <c r="G25" s="4">
        <f t="shared" si="6"/>
        <v>-559.44746322880769</v>
      </c>
      <c r="H25" s="14">
        <f t="shared" si="7"/>
        <v>27.494592488201182</v>
      </c>
      <c r="I25" s="14">
        <f t="shared" si="8"/>
        <v>12.389046658745988</v>
      </c>
      <c r="J25" s="4">
        <f t="shared" si="11"/>
        <v>2.6051921846940778E-5</v>
      </c>
      <c r="K25" s="2">
        <f t="shared" si="12"/>
        <v>-133074.51587140892</v>
      </c>
      <c r="L25" s="2">
        <f t="shared" si="9"/>
        <v>13307.451587140891</v>
      </c>
    </row>
    <row r="26" spans="1:13" x14ac:dyDescent="0.25">
      <c r="A26">
        <f t="shared" si="10"/>
        <v>-20</v>
      </c>
      <c r="B26">
        <v>561.64157533578157</v>
      </c>
      <c r="C26">
        <v>17.334234436507128</v>
      </c>
      <c r="D26" s="6">
        <f t="shared" si="3"/>
        <v>24454.814752723087</v>
      </c>
      <c r="E26" s="4">
        <f t="shared" si="4"/>
        <v>1.7534338040279156</v>
      </c>
      <c r="F26" s="6">
        <f t="shared" si="5"/>
        <v>24437.480518286578</v>
      </c>
      <c r="G26" s="4">
        <f t="shared" si="6"/>
        <v>-559.8881415317536</v>
      </c>
      <c r="H26" s="14">
        <f t="shared" si="7"/>
        <v>27.494592488201182</v>
      </c>
      <c r="I26" s="14">
        <f t="shared" si="8"/>
        <v>12.389046658745988</v>
      </c>
      <c r="J26" s="4">
        <f t="shared" si="11"/>
        <v>2.6051921846940778E-5</v>
      </c>
      <c r="K26" s="2">
        <f t="shared" si="12"/>
        <v>-266149.03174281784</v>
      </c>
      <c r="L26" s="2">
        <f t="shared" si="9"/>
        <v>13307.451587140891</v>
      </c>
    </row>
    <row r="27" spans="1:13" x14ac:dyDescent="0.25">
      <c r="A27">
        <f>A26-10</f>
        <v>-30</v>
      </c>
      <c r="B27">
        <v>561.64157533578157</v>
      </c>
      <c r="C27">
        <v>17.334234436507128</v>
      </c>
      <c r="D27" s="6">
        <f t="shared" si="3"/>
        <v>38758.254186896695</v>
      </c>
      <c r="E27" s="4">
        <f t="shared" si="4"/>
        <v>1.475384592231064</v>
      </c>
      <c r="F27" s="6">
        <f t="shared" si="5"/>
        <v>38740.919952460186</v>
      </c>
      <c r="G27" s="4">
        <f t="shared" si="6"/>
        <v>-560.16619074355049</v>
      </c>
      <c r="H27" s="14">
        <f t="shared" si="7"/>
        <v>27.494592488201182</v>
      </c>
      <c r="I27" s="14">
        <f t="shared" si="8"/>
        <v>12.389046658745988</v>
      </c>
      <c r="J27" s="4">
        <f t="shared" si="11"/>
        <v>2.6051921846940778E-5</v>
      </c>
      <c r="K27" s="2">
        <f t="shared" si="12"/>
        <v>-399223.54761422676</v>
      </c>
      <c r="L27" s="2">
        <f t="shared" si="9"/>
        <v>13307.451587140891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workbookViewId="0">
      <selection activeCell="C2" sqref="C2"/>
    </sheetView>
  </sheetViews>
  <sheetFormatPr defaultRowHeight="15" x14ac:dyDescent="0.25"/>
  <cols>
    <col min="1" max="1" width="10.5703125" bestFit="1" customWidth="1"/>
    <col min="3" max="3" width="9.5703125" bestFit="1" customWidth="1"/>
  </cols>
  <sheetData>
    <row r="1" spans="1:5" ht="17.25" x14ac:dyDescent="0.25">
      <c r="B1" t="s">
        <v>41</v>
      </c>
      <c r="C1" t="s">
        <v>42</v>
      </c>
    </row>
    <row r="2" spans="1:5" x14ac:dyDescent="0.25">
      <c r="A2" t="s">
        <v>14</v>
      </c>
      <c r="B2">
        <v>0.3</v>
      </c>
      <c r="C2" s="12">
        <f>B2/(10*LOG(EXP(1)))</f>
        <v>6.9077552789821361E-2</v>
      </c>
    </row>
    <row r="4" spans="1:5" x14ac:dyDescent="0.25">
      <c r="A4" t="s">
        <v>37</v>
      </c>
      <c r="B4" t="s">
        <v>38</v>
      </c>
      <c r="C4" t="s">
        <v>39</v>
      </c>
      <c r="D4" t="s">
        <v>40</v>
      </c>
      <c r="E4" s="13" t="s">
        <v>43</v>
      </c>
    </row>
    <row r="5" spans="1:5" x14ac:dyDescent="0.25">
      <c r="A5">
        <f>10^(B5/10)</f>
        <v>1</v>
      </c>
      <c r="B5">
        <v>0</v>
      </c>
      <c r="C5">
        <f>1</f>
        <v>1</v>
      </c>
      <c r="D5" s="2">
        <f>10*LOG(C5)</f>
        <v>0</v>
      </c>
      <c r="E5">
        <f>LN(A5)/$C$2</f>
        <v>0</v>
      </c>
    </row>
    <row r="6" spans="1:5" x14ac:dyDescent="0.25">
      <c r="A6" s="2">
        <f t="shared" ref="A6:A20" si="0">10^(B6/10)</f>
        <v>1.5848931924611136</v>
      </c>
      <c r="B6">
        <v>2</v>
      </c>
      <c r="C6" s="3">
        <f>(A6-1)/LN(A6)</f>
        <v>1.2700794299431912</v>
      </c>
      <c r="D6" s="2">
        <f t="shared" ref="D6:D20" si="1">10*LOG(C6)</f>
        <v>1.038308823003073</v>
      </c>
      <c r="E6">
        <f t="shared" ref="E6:E20" si="2">LN(A6)/$C$2</f>
        <v>6.6666666666666687</v>
      </c>
    </row>
    <row r="7" spans="1:5" x14ac:dyDescent="0.25">
      <c r="A7" s="2">
        <f t="shared" si="0"/>
        <v>2.5118864315095806</v>
      </c>
      <c r="B7">
        <f>B6+2</f>
        <v>4</v>
      </c>
      <c r="C7" s="3">
        <f t="shared" ref="C7:C20" si="3">(A7-1)/LN(A7)</f>
        <v>1.6415098361725236</v>
      </c>
      <c r="D7" s="2">
        <f t="shared" si="1"/>
        <v>2.1524348943066589</v>
      </c>
      <c r="E7">
        <f t="shared" si="2"/>
        <v>13.333333333333337</v>
      </c>
    </row>
    <row r="8" spans="1:5" x14ac:dyDescent="0.25">
      <c r="A8" s="2">
        <f t="shared" si="0"/>
        <v>3.9810717055349727</v>
      </c>
      <c r="B8">
        <f t="shared" ref="B8:B19" si="4">B7+2</f>
        <v>6</v>
      </c>
      <c r="C8" s="3">
        <f t="shared" si="3"/>
        <v>2.1577716531195903</v>
      </c>
      <c r="D8" s="2">
        <f t="shared" si="1"/>
        <v>3.3400548342507808</v>
      </c>
      <c r="E8">
        <f t="shared" si="2"/>
        <v>20.000000000000004</v>
      </c>
    </row>
    <row r="9" spans="1:5" x14ac:dyDescent="0.25">
      <c r="A9" s="2">
        <f t="shared" si="0"/>
        <v>6.3095734448019343</v>
      </c>
      <c r="B9">
        <f t="shared" si="4"/>
        <v>8</v>
      </c>
      <c r="C9" s="3">
        <f t="shared" si="3"/>
        <v>2.8823980604218997</v>
      </c>
      <c r="D9" s="2">
        <f t="shared" si="1"/>
        <v>4.5975395687597835</v>
      </c>
      <c r="E9">
        <f t="shared" si="2"/>
        <v>26.666666666666675</v>
      </c>
    </row>
    <row r="10" spans="1:5" x14ac:dyDescent="0.25">
      <c r="A10" s="2">
        <f t="shared" si="0"/>
        <v>10</v>
      </c>
      <c r="B10">
        <f t="shared" si="4"/>
        <v>10</v>
      </c>
      <c r="C10" s="3">
        <f t="shared" si="3"/>
        <v>3.908650337129266</v>
      </c>
      <c r="D10" s="2">
        <f t="shared" si="1"/>
        <v>5.9202682073986157</v>
      </c>
      <c r="E10">
        <f t="shared" si="2"/>
        <v>33.333333333333343</v>
      </c>
    </row>
    <row r="11" spans="1:5" x14ac:dyDescent="0.25">
      <c r="A11" s="2">
        <f t="shared" si="0"/>
        <v>15.848931924611136</v>
      </c>
      <c r="B11">
        <f t="shared" si="4"/>
        <v>12</v>
      </c>
      <c r="C11" s="3">
        <f t="shared" si="3"/>
        <v>5.3740076641797074</v>
      </c>
      <c r="D11" s="2">
        <f t="shared" si="1"/>
        <v>7.3029828146979234</v>
      </c>
      <c r="E11">
        <f t="shared" si="2"/>
        <v>40.000000000000007</v>
      </c>
    </row>
    <row r="12" spans="1:5" x14ac:dyDescent="0.25">
      <c r="A12" s="2">
        <f t="shared" si="0"/>
        <v>25.118864315095799</v>
      </c>
      <c r="B12">
        <f t="shared" si="4"/>
        <v>14</v>
      </c>
      <c r="C12" s="3">
        <f t="shared" si="3"/>
        <v>7.4819212012995422</v>
      </c>
      <c r="D12" s="2">
        <f t="shared" si="1"/>
        <v>8.7401312994866061</v>
      </c>
      <c r="E12">
        <f t="shared" si="2"/>
        <v>46.666666666666671</v>
      </c>
    </row>
    <row r="13" spans="1:5" x14ac:dyDescent="0.25">
      <c r="A13" s="2">
        <f t="shared" si="0"/>
        <v>39.810717055349755</v>
      </c>
      <c r="B13">
        <f t="shared" si="4"/>
        <v>16</v>
      </c>
      <c r="C13" s="3">
        <f t="shared" si="3"/>
        <v>10.534550159904262</v>
      </c>
      <c r="D13" s="2">
        <f t="shared" si="1"/>
        <v>10.226159953553768</v>
      </c>
      <c r="E13">
        <f t="shared" si="2"/>
        <v>53.33333333333335</v>
      </c>
    </row>
    <row r="14" spans="1:5" x14ac:dyDescent="0.25">
      <c r="A14" s="2">
        <f t="shared" si="0"/>
        <v>63.095734448019364</v>
      </c>
      <c r="B14">
        <f t="shared" si="4"/>
        <v>18</v>
      </c>
      <c r="C14" s="3">
        <f t="shared" si="3"/>
        <v>14.982130455835819</v>
      </c>
      <c r="D14" s="2">
        <f t="shared" si="1"/>
        <v>11.755735743397812</v>
      </c>
      <c r="E14">
        <f t="shared" si="2"/>
        <v>60.000000000000014</v>
      </c>
    </row>
    <row r="15" spans="1:5" x14ac:dyDescent="0.25">
      <c r="A15" s="2">
        <f t="shared" si="0"/>
        <v>100</v>
      </c>
      <c r="B15">
        <f t="shared" si="4"/>
        <v>20</v>
      </c>
      <c r="C15" s="3">
        <f t="shared" si="3"/>
        <v>21.497576854210962</v>
      </c>
      <c r="D15" s="2">
        <f t="shared" si="1"/>
        <v>13.323895102341055</v>
      </c>
      <c r="E15">
        <f t="shared" si="2"/>
        <v>66.666666666666686</v>
      </c>
    </row>
    <row r="16" spans="1:5" x14ac:dyDescent="0.25">
      <c r="A16" s="2">
        <f t="shared" si="0"/>
        <v>158.48931924611153</v>
      </c>
      <c r="B16">
        <f t="shared" si="4"/>
        <v>22</v>
      </c>
      <c r="C16" s="3">
        <f t="shared" si="3"/>
        <v>31.089428321493553</v>
      </c>
      <c r="D16" s="2">
        <f t="shared" si="1"/>
        <v>14.926127362244902</v>
      </c>
      <c r="E16">
        <f t="shared" si="2"/>
        <v>73.333333333333357</v>
      </c>
    </row>
    <row r="17" spans="1:5" x14ac:dyDescent="0.25">
      <c r="A17" s="2">
        <f t="shared" si="0"/>
        <v>251.18864315095806</v>
      </c>
      <c r="B17">
        <f t="shared" si="4"/>
        <v>24</v>
      </c>
      <c r="C17" s="3">
        <f t="shared" si="3"/>
        <v>45.273144648051201</v>
      </c>
      <c r="D17" s="2">
        <f t="shared" si="1"/>
        <v>16.558406614019137</v>
      </c>
      <c r="E17">
        <f t="shared" si="2"/>
        <v>80.000000000000014</v>
      </c>
    </row>
    <row r="18" spans="1:5" x14ac:dyDescent="0.25">
      <c r="A18" s="2">
        <f t="shared" si="0"/>
        <v>398.10717055349761</v>
      </c>
      <c r="B18">
        <f t="shared" si="4"/>
        <v>26</v>
      </c>
      <c r="C18" s="3">
        <f t="shared" si="3"/>
        <v>66.331328036768255</v>
      </c>
      <c r="D18" s="2">
        <f t="shared" si="1"/>
        <v>18.217186925081826</v>
      </c>
      <c r="E18">
        <f t="shared" si="2"/>
        <v>86.666666666666686</v>
      </c>
    </row>
    <row r="19" spans="1:5" x14ac:dyDescent="0.25">
      <c r="A19" s="2">
        <f t="shared" si="0"/>
        <v>630.95734448019323</v>
      </c>
      <c r="B19">
        <f t="shared" si="4"/>
        <v>28</v>
      </c>
      <c r="C19" s="3">
        <f t="shared" si="3"/>
        <v>97.70964233649066</v>
      </c>
      <c r="D19" s="2">
        <f t="shared" si="1"/>
        <v>19.899374235642124</v>
      </c>
      <c r="E19">
        <f t="shared" si="2"/>
        <v>93.333333333333343</v>
      </c>
    </row>
    <row r="20" spans="1:5" x14ac:dyDescent="0.25">
      <c r="A20" s="2">
        <f t="shared" si="0"/>
        <v>1000</v>
      </c>
      <c r="B20">
        <f>B19+2</f>
        <v>30</v>
      </c>
      <c r="C20" s="3">
        <f t="shared" si="3"/>
        <v>144.62006247378287</v>
      </c>
      <c r="D20" s="2">
        <f t="shared" si="1"/>
        <v>21.602285448068564</v>
      </c>
      <c r="E20">
        <f t="shared" si="2"/>
        <v>100.00000000000001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topLeftCell="A16" zoomScale="90" zoomScaleNormal="90" workbookViewId="0">
      <selection activeCell="D17" sqref="D17"/>
    </sheetView>
  </sheetViews>
  <sheetFormatPr defaultRowHeight="15" x14ac:dyDescent="0.25"/>
  <cols>
    <col min="3" max="3" width="11.7109375" customWidth="1"/>
    <col min="4" max="4" width="12" bestFit="1" customWidth="1"/>
    <col min="6" max="6" width="12.5703125" customWidth="1"/>
    <col min="8" max="8" width="11.7109375" customWidth="1"/>
    <col min="9" max="9" width="12.5703125" customWidth="1"/>
    <col min="10" max="10" width="12" bestFit="1" customWidth="1"/>
    <col min="11" max="11" width="14.42578125" customWidth="1"/>
    <col min="12" max="12" width="16.140625" customWidth="1"/>
    <col min="13" max="13" width="18" customWidth="1"/>
    <col min="14" max="14" width="12" bestFit="1" customWidth="1"/>
    <col min="15" max="15" width="12.7109375" customWidth="1"/>
  </cols>
  <sheetData>
    <row r="1" spans="1:13" x14ac:dyDescent="0.25">
      <c r="A1" s="4"/>
      <c r="B1" s="8" t="s">
        <v>17</v>
      </c>
      <c r="C1" s="8" t="s">
        <v>12</v>
      </c>
      <c r="D1" s="8" t="s">
        <v>15</v>
      </c>
      <c r="E1" s="8" t="s">
        <v>16</v>
      </c>
      <c r="F1" s="8" t="s">
        <v>36</v>
      </c>
    </row>
    <row r="2" spans="1:13" x14ac:dyDescent="0.25">
      <c r="A2" s="9" t="s">
        <v>1</v>
      </c>
      <c r="B2" s="4">
        <v>25</v>
      </c>
      <c r="C2" s="4">
        <f>10^(B2/10)</f>
        <v>316.22776601683825</v>
      </c>
      <c r="D2" s="4"/>
      <c r="E2" s="4"/>
      <c r="F2" s="4"/>
    </row>
    <row r="3" spans="1:13" x14ac:dyDescent="0.25">
      <c r="A3" s="9" t="s">
        <v>64</v>
      </c>
      <c r="B3" s="4"/>
      <c r="C3" s="4"/>
      <c r="D3" s="4">
        <v>400</v>
      </c>
      <c r="E3" s="4"/>
      <c r="F3" s="4">
        <f>D3</f>
        <v>400</v>
      </c>
      <c r="G3" t="s">
        <v>15</v>
      </c>
    </row>
    <row r="4" spans="1:13" ht="17.25" x14ac:dyDescent="0.25">
      <c r="A4" s="9" t="s">
        <v>14</v>
      </c>
      <c r="B4" s="4"/>
      <c r="C4" s="4"/>
      <c r="D4" s="4"/>
      <c r="E4" s="4">
        <v>0.3</v>
      </c>
      <c r="F4" s="5">
        <f>E4/(10*LOG(EXP(1)))</f>
        <v>6.9077552789821361E-2</v>
      </c>
      <c r="G4" t="s">
        <v>67</v>
      </c>
      <c r="I4" s="4" t="s">
        <v>22</v>
      </c>
      <c r="J4" s="4" t="s">
        <v>50</v>
      </c>
    </row>
    <row r="5" spans="1:13" x14ac:dyDescent="0.25">
      <c r="A5" s="9" t="s">
        <v>3</v>
      </c>
      <c r="B5" s="4">
        <v>15</v>
      </c>
      <c r="C5" s="4">
        <f>10^(B5/10)</f>
        <v>31.622776601683803</v>
      </c>
      <c r="D5" s="4"/>
      <c r="E5" s="4"/>
      <c r="F5" s="4">
        <f>C5</f>
        <v>31.622776601683803</v>
      </c>
      <c r="G5" t="s">
        <v>66</v>
      </c>
      <c r="I5" s="4">
        <f>A23</f>
        <v>20</v>
      </c>
      <c r="J5" s="15">
        <f>M23</f>
        <v>0.14545067898005873</v>
      </c>
    </row>
    <row r="6" spans="1:13" x14ac:dyDescent="0.25">
      <c r="A6" s="9" t="s">
        <v>18</v>
      </c>
      <c r="B6" s="4"/>
      <c r="C6" s="4"/>
      <c r="D6" s="4"/>
      <c r="E6" s="4"/>
      <c r="F6" s="6">
        <v>6.6259999999999998E-34</v>
      </c>
      <c r="I6" s="4">
        <f>A22</f>
        <v>30</v>
      </c>
      <c r="J6" s="15">
        <f>M22</f>
        <v>0.23122526975784335</v>
      </c>
    </row>
    <row r="7" spans="1:13" x14ac:dyDescent="0.25">
      <c r="A7" s="9" t="s">
        <v>19</v>
      </c>
      <c r="B7" s="4"/>
      <c r="C7" s="4"/>
      <c r="D7" s="4"/>
      <c r="E7" s="4"/>
      <c r="F7" s="6">
        <v>100000000000</v>
      </c>
      <c r="G7" t="s">
        <v>65</v>
      </c>
      <c r="I7" s="4">
        <f>A21</f>
        <v>40</v>
      </c>
      <c r="J7" s="15">
        <f>M21</f>
        <v>0.37949775074812642</v>
      </c>
    </row>
    <row r="8" spans="1:13" x14ac:dyDescent="0.25">
      <c r="A8" s="9" t="s">
        <v>25</v>
      </c>
      <c r="B8" s="4"/>
      <c r="C8" s="4"/>
      <c r="D8" s="4"/>
      <c r="E8" s="4"/>
      <c r="F8" s="6">
        <v>1.5400000000000001E-6</v>
      </c>
      <c r="G8" t="s">
        <v>68</v>
      </c>
      <c r="I8" s="4">
        <f>A20</f>
        <v>50</v>
      </c>
      <c r="J8" s="15">
        <f>M20</f>
        <v>0.64032883489258774</v>
      </c>
    </row>
    <row r="9" spans="1:13" x14ac:dyDescent="0.25">
      <c r="A9" s="10" t="s">
        <v>20</v>
      </c>
      <c r="B9" s="4"/>
      <c r="C9" s="4"/>
      <c r="D9" s="4"/>
      <c r="E9" s="4"/>
      <c r="F9" s="6">
        <v>1</v>
      </c>
      <c r="I9" s="4">
        <f>A19</f>
        <v>60</v>
      </c>
      <c r="J9" s="15">
        <f>M19</f>
        <v>1.1060333964483129</v>
      </c>
    </row>
    <row r="10" spans="1:13" x14ac:dyDescent="0.25">
      <c r="A10" s="10" t="s">
        <v>21</v>
      </c>
      <c r="B10" s="4"/>
      <c r="C10" s="4"/>
      <c r="D10" s="4"/>
      <c r="E10" s="4"/>
      <c r="F10" s="6">
        <v>300000000</v>
      </c>
      <c r="G10" t="s">
        <v>69</v>
      </c>
      <c r="I10" s="4">
        <f>A18</f>
        <v>70</v>
      </c>
      <c r="J10" s="15">
        <f>M18</f>
        <v>1.947934282083533</v>
      </c>
    </row>
    <row r="11" spans="1:13" x14ac:dyDescent="0.25">
      <c r="A11" s="10" t="s">
        <v>24</v>
      </c>
      <c r="B11" s="4"/>
      <c r="C11" s="4"/>
      <c r="D11" s="4"/>
      <c r="E11" s="4"/>
      <c r="F11" s="6">
        <v>1.8</v>
      </c>
    </row>
    <row r="12" spans="1:13" x14ac:dyDescent="0.25">
      <c r="A12" s="9" t="s">
        <v>26</v>
      </c>
      <c r="B12" s="4"/>
      <c r="C12" s="4"/>
      <c r="D12" s="4"/>
      <c r="E12" s="4"/>
      <c r="F12" s="6">
        <f>F9*F10/F8</f>
        <v>194805194805194.78</v>
      </c>
      <c r="G12" t="s">
        <v>65</v>
      </c>
    </row>
    <row r="13" spans="1:13" x14ac:dyDescent="0.25">
      <c r="A13" s="9" t="s">
        <v>23</v>
      </c>
      <c r="B13" s="4"/>
      <c r="C13" s="4"/>
      <c r="D13" s="4"/>
      <c r="E13" s="4"/>
      <c r="F13" s="6">
        <f>F11*F12*F6</f>
        <v>2.3234025974025973E-19</v>
      </c>
    </row>
    <row r="14" spans="1:13" x14ac:dyDescent="0.25">
      <c r="A14" s="9" t="s">
        <v>33</v>
      </c>
      <c r="B14" s="15">
        <f>10*LOG(C14)</f>
        <v>16.989700043360187</v>
      </c>
      <c r="C14" s="4">
        <v>50</v>
      </c>
      <c r="D14" s="4"/>
      <c r="E14" s="4"/>
      <c r="F14" s="4">
        <f>C14</f>
        <v>50</v>
      </c>
    </row>
    <row r="16" spans="1:13" x14ac:dyDescent="0.25">
      <c r="A16" s="19" t="s">
        <v>43</v>
      </c>
      <c r="B16" s="7" t="s">
        <v>0</v>
      </c>
      <c r="C16" s="7" t="s">
        <v>50</v>
      </c>
      <c r="D16" s="7" t="s">
        <v>62</v>
      </c>
      <c r="E16" s="7" t="s">
        <v>63</v>
      </c>
      <c r="F16" s="7" t="s">
        <v>30</v>
      </c>
      <c r="G16" s="7" t="s">
        <v>31</v>
      </c>
      <c r="H16" s="7" t="s">
        <v>70</v>
      </c>
      <c r="I16" s="7" t="s">
        <v>32</v>
      </c>
      <c r="J16" s="11" t="s">
        <v>34</v>
      </c>
      <c r="K16" s="4" t="s">
        <v>71</v>
      </c>
      <c r="L16" s="4" t="s">
        <v>35</v>
      </c>
      <c r="M16" s="4" t="s">
        <v>72</v>
      </c>
    </row>
    <row r="17" spans="1:13" x14ac:dyDescent="0.25">
      <c r="A17" s="4">
        <v>80</v>
      </c>
      <c r="B17" s="15">
        <v>250.79315096525212</v>
      </c>
      <c r="C17" s="14">
        <v>7.3721988073474414</v>
      </c>
      <c r="D17" s="6">
        <f>(C17*EXP(-1*$F$4*A17)*B17)+2*$F$13*$F$7*(B17-1)*1000</f>
        <v>7.3721988086090091</v>
      </c>
      <c r="E17" s="4">
        <f>1+($C$5/(C17*EXP(-1*$F$4*A17)))*LN($C$2/B17)</f>
        <v>250.79315091861886</v>
      </c>
      <c r="F17" s="6">
        <f>D17-C17</f>
        <v>1.2615677391636382E-9</v>
      </c>
      <c r="G17" s="4">
        <f>E17-B17</f>
        <v>-4.663326080844854E-8</v>
      </c>
      <c r="H17" s="14">
        <f t="shared" ref="H17:I19" si="0">10*LOG(B17)</f>
        <v>23.993156719568724</v>
      </c>
      <c r="I17" s="14">
        <f t="shared" si="0"/>
        <v>8.6759703839860425</v>
      </c>
      <c r="J17" s="4">
        <f>2*$F$13*$F$7*(B17-1)*1000</f>
        <v>1.1607401115320918E-2</v>
      </c>
      <c r="K17" s="14">
        <f>(C17*A17/($C$14*J17))-A17</f>
        <v>936.20664045000478</v>
      </c>
      <c r="L17" s="14">
        <f>(K17/A17)+1</f>
        <v>12.70258300562506</v>
      </c>
      <c r="M17" s="14">
        <f>(2*$C$14*$F$13*$F$7*(B17-1)*(($F$3/A17)+1))*1000</f>
        <v>3.4822203345962754</v>
      </c>
    </row>
    <row r="18" spans="1:13" x14ac:dyDescent="0.25">
      <c r="A18" s="4">
        <v>70</v>
      </c>
      <c r="B18" s="15">
        <v>125.86767128693354</v>
      </c>
      <c r="C18" s="14">
        <v>29.371005738076775</v>
      </c>
      <c r="D18" s="6">
        <f>(C18*EXP(-$F$4*A18)*B18)+2*$F$13*$F$7*(B18-1)*1000</f>
        <v>29.371005895096577</v>
      </c>
      <c r="E18" s="4">
        <f>1+($C$5/(C18*EXP(-1*$F$4*A18)))*LN($C$2/B18)</f>
        <v>125.86767088514789</v>
      </c>
      <c r="F18" s="6">
        <f>D18-C18</f>
        <v>1.5701980160542917E-7</v>
      </c>
      <c r="G18" s="4">
        <f>E18-B18</f>
        <v>-4.0178565541282296E-7</v>
      </c>
      <c r="H18" s="14">
        <f t="shared" si="0"/>
        <v>20.999141972673101</v>
      </c>
      <c r="I18" s="14">
        <f t="shared" si="0"/>
        <v>14.679188181271092</v>
      </c>
      <c r="J18" s="4">
        <f>2*$F$13*$F$7*(B18-1)*1000</f>
        <v>5.8023574359935019E-3</v>
      </c>
      <c r="K18" s="14">
        <f>(C18*A18/($C$14*J18))-A18</f>
        <v>7016.6726993124066</v>
      </c>
      <c r="L18" s="14">
        <f>(K18/A18)+1</f>
        <v>101.23818141874867</v>
      </c>
      <c r="M18" s="14">
        <f t="shared" ref="M18:M23" si="1">(2*$C$14*$F$13*$F$7*(B18-1)*(($F$3/A18)+1))*1000</f>
        <v>1.947934282083533</v>
      </c>
    </row>
    <row r="19" spans="1:13" x14ac:dyDescent="0.25">
      <c r="A19" s="4">
        <v>60</v>
      </c>
      <c r="B19" s="15">
        <v>63.092220170955947</v>
      </c>
      <c r="C19" s="14">
        <v>51.795442927876181</v>
      </c>
      <c r="D19" s="6">
        <f>(C19*EXP(-$F$4*A19)*B19)+2*$F$13*$F$7*(B19-1)*1000</f>
        <v>51.795443353740993</v>
      </c>
      <c r="E19" s="4">
        <f>1+($C$5/(C19*EXP(-1*$F$4*A19)))*LN($C$2/B19)</f>
        <v>63.092219636269867</v>
      </c>
      <c r="F19" s="6">
        <f>D19-C19</f>
        <v>4.2586481185935554E-7</v>
      </c>
      <c r="G19" s="4">
        <f>E19-B19</f>
        <v>-5.3468608030016185E-7</v>
      </c>
      <c r="H19" s="14">
        <f t="shared" si="0"/>
        <v>17.999758101929537</v>
      </c>
      <c r="I19" s="14">
        <f t="shared" si="0"/>
        <v>17.142915512831163</v>
      </c>
      <c r="J19" s="4">
        <f t="shared" ref="J19:J23" si="2">2*$F$13*$F$7*(B19-1)*1000</f>
        <v>2.8853045124738598E-3</v>
      </c>
      <c r="K19" s="14">
        <f t="shared" ref="K19:K23" si="3">(C19*A19/($C$14*J19))-A19</f>
        <v>21481.757982473791</v>
      </c>
      <c r="L19" s="14">
        <f t="shared" ref="L19:L23" si="4">(K19/A19)+1</f>
        <v>359.02929970789654</v>
      </c>
      <c r="M19" s="14">
        <f t="shared" si="1"/>
        <v>1.1060333964483129</v>
      </c>
    </row>
    <row r="20" spans="1:13" x14ac:dyDescent="0.25">
      <c r="A20" s="4">
        <f>A19-10</f>
        <v>50</v>
      </c>
      <c r="B20" s="15">
        <v>31.622178179940384</v>
      </c>
      <c r="C20" s="14">
        <v>75.193999079176237</v>
      </c>
      <c r="D20" s="6">
        <f t="shared" ref="D20:D23" si="5">(C20*EXP(-$F$4*A20)*B20)+2*$F$13*$F$7*(B20-1)*1000</f>
        <v>75.19399907916835</v>
      </c>
      <c r="E20" s="4">
        <f t="shared" ref="E20:E23" si="6">1+($C$5/(C20*EXP(-1*$F$4*A20)))*LN($C$2/B20)</f>
        <v>31.622177901532531</v>
      </c>
      <c r="F20" s="6">
        <f t="shared" ref="F20:F23" si="7">D20-C20</f>
        <v>-7.8870243669371121E-12</v>
      </c>
      <c r="G20" s="4">
        <f t="shared" ref="G20:G23" si="8">E20-B20</f>
        <v>-2.7840785321586736E-7</v>
      </c>
      <c r="H20" s="14">
        <f t="shared" ref="H20:I23" si="9">10*LOG(B20)</f>
        <v>14.999917814389489</v>
      </c>
      <c r="I20" s="14">
        <f t="shared" si="9"/>
        <v>18.761831827353788</v>
      </c>
      <c r="J20" s="4">
        <f t="shared" si="2"/>
        <v>1.4229529664279725E-3</v>
      </c>
      <c r="K20" s="14">
        <f t="shared" si="3"/>
        <v>52793.629306972201</v>
      </c>
      <c r="L20" s="14">
        <f t="shared" si="4"/>
        <v>1056.8725861394441</v>
      </c>
      <c r="M20" s="14">
        <f t="shared" si="1"/>
        <v>0.64032883489258774</v>
      </c>
    </row>
    <row r="21" spans="1:13" x14ac:dyDescent="0.25">
      <c r="A21" s="4">
        <f t="shared" ref="A21:A23" si="10">A20-10</f>
        <v>40</v>
      </c>
      <c r="B21" s="15">
        <v>15.848823686917337</v>
      </c>
      <c r="C21" s="14">
        <v>101.03410183096841</v>
      </c>
      <c r="D21" s="6">
        <f t="shared" si="5"/>
        <v>101.0341018309707</v>
      </c>
      <c r="E21" s="4">
        <f t="shared" si="6"/>
        <v>15.848823559908764</v>
      </c>
      <c r="F21" s="6">
        <f t="shared" si="7"/>
        <v>2.2879476091475226E-12</v>
      </c>
      <c r="G21" s="4">
        <f t="shared" si="8"/>
        <v>-1.2700857254799303E-7</v>
      </c>
      <c r="H21" s="14">
        <f t="shared" si="9"/>
        <v>11.999970340465913</v>
      </c>
      <c r="I21" s="14">
        <f t="shared" si="9"/>
        <v>20.044679850430072</v>
      </c>
      <c r="J21" s="4">
        <f t="shared" si="2"/>
        <v>6.8999591045113906E-4</v>
      </c>
      <c r="K21" s="14">
        <f t="shared" si="3"/>
        <v>117101.68191508198</v>
      </c>
      <c r="L21" s="14">
        <f t="shared" si="4"/>
        <v>2928.5420478770493</v>
      </c>
      <c r="M21" s="14">
        <f t="shared" si="1"/>
        <v>0.37949775074812642</v>
      </c>
    </row>
    <row r="22" spans="1:13" x14ac:dyDescent="0.25">
      <c r="A22" s="4">
        <f t="shared" si="10"/>
        <v>30</v>
      </c>
      <c r="B22" s="15">
        <v>7.9432631187273142</v>
      </c>
      <c r="C22" s="14">
        <v>133.28225690484629</v>
      </c>
      <c r="D22" s="6">
        <f t="shared" si="5"/>
        <v>133.2822569048424</v>
      </c>
      <c r="E22" s="4">
        <f t="shared" si="6"/>
        <v>7.9432630415205132</v>
      </c>
      <c r="F22" s="6">
        <f t="shared" si="7"/>
        <v>-3.893774191965349E-12</v>
      </c>
      <c r="G22" s="4">
        <f t="shared" si="8"/>
        <v>-7.7206800952467347E-8</v>
      </c>
      <c r="H22" s="14">
        <f t="shared" si="9"/>
        <v>8.9999894869048838</v>
      </c>
      <c r="I22" s="14">
        <f t="shared" si="9"/>
        <v>21.247723381520146</v>
      </c>
      <c r="J22" s="4">
        <f t="shared" si="2"/>
        <v>3.2263991129001399E-4</v>
      </c>
      <c r="K22" s="14">
        <f t="shared" si="3"/>
        <v>247829.45986398772</v>
      </c>
      <c r="L22" s="14">
        <f t="shared" si="4"/>
        <v>8261.981995466258</v>
      </c>
      <c r="M22" s="14">
        <f t="shared" si="1"/>
        <v>0.23122526975784335</v>
      </c>
    </row>
    <row r="23" spans="1:13" x14ac:dyDescent="0.25">
      <c r="A23" s="4">
        <f t="shared" si="10"/>
        <v>20</v>
      </c>
      <c r="B23" s="15">
        <v>3.9810687206415545</v>
      </c>
      <c r="C23" s="14">
        <v>184.75550837657414</v>
      </c>
      <c r="D23" s="6">
        <f t="shared" si="5"/>
        <v>184.75550837664755</v>
      </c>
      <c r="E23" s="4">
        <f t="shared" si="6"/>
        <v>3.9810685897488995</v>
      </c>
      <c r="F23" s="6">
        <f t="shared" si="7"/>
        <v>7.3413275458733551E-11</v>
      </c>
      <c r="G23" s="4">
        <f t="shared" si="8"/>
        <v>-1.3089265493704261E-7</v>
      </c>
      <c r="H23" s="14">
        <f t="shared" si="9"/>
        <v>5.9999967437832771</v>
      </c>
      <c r="I23" s="14">
        <f t="shared" si="9"/>
        <v>22.665973954938629</v>
      </c>
      <c r="J23" s="4">
        <f t="shared" si="2"/>
        <v>1.3852445617148451E-4</v>
      </c>
      <c r="K23" s="14">
        <f t="shared" si="3"/>
        <v>533475.71182682284</v>
      </c>
      <c r="L23" s="14">
        <f t="shared" si="4"/>
        <v>26674.78559134114</v>
      </c>
      <c r="M23" s="14">
        <f t="shared" si="1"/>
        <v>0.14545067898005873</v>
      </c>
    </row>
    <row r="24" spans="1:13" x14ac:dyDescent="0.25">
      <c r="B24" s="22"/>
      <c r="C24" s="23"/>
      <c r="D24" s="24"/>
      <c r="E24" s="25"/>
      <c r="F24" s="24"/>
      <c r="G24" s="25"/>
      <c r="H24" s="26"/>
      <c r="I24" s="26"/>
      <c r="J24" s="25"/>
      <c r="K24" s="14"/>
      <c r="L24" s="14"/>
    </row>
    <row r="25" spans="1:13" x14ac:dyDescent="0.25">
      <c r="B25" s="1"/>
      <c r="C25" s="2"/>
      <c r="D25" s="20"/>
      <c r="F25" s="20"/>
      <c r="H25" s="2"/>
      <c r="I25" s="2"/>
      <c r="K25" s="2"/>
      <c r="L25" s="2"/>
    </row>
    <row r="26" spans="1:13" x14ac:dyDescent="0.25">
      <c r="D26" s="20"/>
      <c r="F26" s="20"/>
      <c r="H26" s="2"/>
      <c r="I26" s="2"/>
      <c r="K26" s="2"/>
      <c r="L26" s="2"/>
    </row>
    <row r="27" spans="1:13" x14ac:dyDescent="0.25">
      <c r="D27" s="20"/>
      <c r="F27" s="20"/>
      <c r="H27" s="2"/>
      <c r="I27" s="2"/>
      <c r="K27" s="2"/>
      <c r="L27" s="2"/>
    </row>
    <row r="28" spans="1:13" x14ac:dyDescent="0.25">
      <c r="D28" s="20"/>
      <c r="F28" s="20"/>
      <c r="H28" s="2"/>
      <c r="I28" s="2"/>
      <c r="K28" s="2"/>
      <c r="L28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topLeftCell="A2" workbookViewId="0">
      <selection activeCell="I9" sqref="I9"/>
    </sheetView>
  </sheetViews>
  <sheetFormatPr defaultRowHeight="15" x14ac:dyDescent="0.25"/>
  <cols>
    <col min="2" max="2" width="9.5703125" bestFit="1" customWidth="1"/>
    <col min="3" max="3" width="10.5703125" bestFit="1" customWidth="1"/>
    <col min="4" max="5" width="9.5703125" bestFit="1" customWidth="1"/>
    <col min="6" max="6" width="10.28515625" bestFit="1" customWidth="1"/>
    <col min="7" max="7" width="9.5703125" bestFit="1" customWidth="1"/>
  </cols>
  <sheetData>
    <row r="1" spans="1:9" x14ac:dyDescent="0.25">
      <c r="A1" t="s">
        <v>58</v>
      </c>
      <c r="B1">
        <v>36</v>
      </c>
    </row>
    <row r="2" spans="1:9" x14ac:dyDescent="0.25">
      <c r="A2" t="s">
        <v>59</v>
      </c>
      <c r="B2">
        <v>2</v>
      </c>
    </row>
    <row r="3" spans="1:9" x14ac:dyDescent="0.25">
      <c r="A3" t="s">
        <v>51</v>
      </c>
      <c r="B3" t="s">
        <v>52</v>
      </c>
      <c r="C3" t="s">
        <v>53</v>
      </c>
      <c r="D3" t="s">
        <v>54</v>
      </c>
      <c r="E3" t="s">
        <v>57</v>
      </c>
      <c r="F3" t="s">
        <v>55</v>
      </c>
      <c r="G3" t="s">
        <v>56</v>
      </c>
      <c r="I3" t="s">
        <v>60</v>
      </c>
    </row>
    <row r="4" spans="1:9" x14ac:dyDescent="0.25">
      <c r="A4" s="20">
        <v>9.9999999999999998E-13</v>
      </c>
      <c r="B4" s="3">
        <f>-NORMINV(A4, 0, 1)</f>
        <v>7.0344838253011321</v>
      </c>
      <c r="C4" s="3">
        <f>(B4^2)/(Bo/Be)</f>
        <v>2.7491090382457362</v>
      </c>
      <c r="D4" s="3">
        <v>4.4071530514726422</v>
      </c>
      <c r="E4" s="3">
        <f>(2*SQRT(18)*$D4)/(1+SQRT(1+ 4*$D4))</f>
        <v>7.0344840955111021</v>
      </c>
      <c r="F4" s="3">
        <f>B4-E4</f>
        <v>-2.7020996995474889E-7</v>
      </c>
      <c r="G4" s="3">
        <f>10*LOG(D4)</f>
        <v>6.4415813293692796</v>
      </c>
      <c r="H4" t="s">
        <v>34</v>
      </c>
      <c r="I4" s="2">
        <f>D4/C4</f>
        <v>1.603120498372425</v>
      </c>
    </row>
    <row r="5" spans="1:9" x14ac:dyDescent="0.25">
      <c r="A5" s="20">
        <f>A4/10</f>
        <v>1E-13</v>
      </c>
      <c r="B5" s="1">
        <f t="shared" ref="B5:B7" si="0">-NORMINV(A5, 0, 1)</f>
        <v>7.3487961028006765</v>
      </c>
      <c r="C5" s="3">
        <f>(B5^2)/(Bo/Be)</f>
        <v>3.0002668978076894</v>
      </c>
      <c r="D5" s="3">
        <v>4.7323954213259656</v>
      </c>
      <c r="E5" s="3">
        <f t="shared" ref="E5:E7" si="1">(2*SQRT(18)*$D5)/(1+SQRT(1+ 4*$D5))</f>
        <v>7.3487967403980505</v>
      </c>
      <c r="F5" s="3">
        <f>B5-E5</f>
        <v>-6.3759737400914673E-7</v>
      </c>
      <c r="G5" s="3">
        <f>10*LOG(D5)</f>
        <v>6.7508102550051738</v>
      </c>
      <c r="H5" t="s">
        <v>34</v>
      </c>
      <c r="I5" s="2">
        <f t="shared" ref="I5:I7" si="2">D5/C5</f>
        <v>1.5773248122638528</v>
      </c>
    </row>
    <row r="6" spans="1:9" x14ac:dyDescent="0.25">
      <c r="A6" s="20">
        <f t="shared" ref="A6:A7" si="3">A5/10</f>
        <v>1E-14</v>
      </c>
      <c r="B6" s="1">
        <f t="shared" si="0"/>
        <v>7.6506280929352677</v>
      </c>
      <c r="C6" s="3">
        <f>(B6^2)/(Bo/Be)</f>
        <v>3.2517839009116849</v>
      </c>
      <c r="D6" s="3">
        <v>5.0550548182025441</v>
      </c>
      <c r="E6" s="3">
        <f t="shared" si="1"/>
        <v>7.6506286292730428</v>
      </c>
      <c r="F6" s="3">
        <f t="shared" ref="F6:F7" si="4">B6-E6</f>
        <v>-5.3633777508110825E-7</v>
      </c>
      <c r="G6" s="3">
        <f t="shared" ref="G6:G7" si="5">10*LOG(D6)</f>
        <v>7.0372586954399052</v>
      </c>
      <c r="H6" t="s">
        <v>34</v>
      </c>
      <c r="I6" s="2">
        <f t="shared" si="2"/>
        <v>1.5545482025374706</v>
      </c>
    </row>
    <row r="7" spans="1:9" x14ac:dyDescent="0.25">
      <c r="A7" s="20">
        <f t="shared" si="3"/>
        <v>1.0000000000000001E-15</v>
      </c>
      <c r="B7" s="1">
        <f t="shared" si="0"/>
        <v>7.9413453261709952</v>
      </c>
      <c r="C7" s="3">
        <f>(B7^2)/(Bo/Be)</f>
        <v>3.5036091994165504</v>
      </c>
      <c r="D7" s="3">
        <v>5.3754027093054564</v>
      </c>
      <c r="E7" s="3">
        <f t="shared" si="1"/>
        <v>7.9413457428956855</v>
      </c>
      <c r="F7" s="3">
        <f t="shared" si="4"/>
        <v>-4.1672469031084347E-7</v>
      </c>
      <c r="G7" s="3">
        <f t="shared" si="5"/>
        <v>7.3041100586721877</v>
      </c>
      <c r="H7" t="s">
        <v>34</v>
      </c>
      <c r="I7" s="2">
        <f t="shared" si="2"/>
        <v>1.5342472300279986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Plan1</vt:lpstr>
      <vt:lpstr>Plan2</vt:lpstr>
      <vt:lpstr>Plan3</vt:lpstr>
      <vt:lpstr>Plan4</vt:lpstr>
      <vt:lpstr>Plan6</vt:lpstr>
      <vt:lpstr>Be</vt:lpstr>
      <vt:lpstr>Bo</vt:lpstr>
      <vt:lpstr>OSNR1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zucchi</dc:creator>
  <cp:lastModifiedBy>Wagner Zucchi</cp:lastModifiedBy>
  <dcterms:created xsi:type="dcterms:W3CDTF">2013-08-04T18:53:23Z</dcterms:created>
  <dcterms:modified xsi:type="dcterms:W3CDTF">2023-11-27T22:08:15Z</dcterms:modified>
</cp:coreProperties>
</file>