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la\Documents\MeusDocs\Academico\Orcamento\"/>
    </mc:Choice>
  </mc:AlternateContent>
  <bookViews>
    <workbookView xWindow="0" yWindow="0" windowWidth="7050" windowHeight="6060" activeTab="8"/>
  </bookViews>
  <sheets>
    <sheet name="vendas" sheetId="1" r:id="rId1"/>
    <sheet name="producao" sheetId="2" r:id="rId2"/>
    <sheet name="MP" sheetId="3" r:id="rId3"/>
    <sheet name="imobilizado" sheetId="4" r:id="rId4"/>
    <sheet name="mod" sheetId="5" r:id="rId5"/>
    <sheet name="cif" sheetId="7" r:id="rId6"/>
    <sheet name="PRODUTO" sheetId="11" r:id="rId7"/>
    <sheet name="despesas" sheetId="8" r:id="rId8"/>
    <sheet name="Financeiros" sheetId="9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9" l="1"/>
  <c r="G25" i="9"/>
  <c r="K26" i="9"/>
  <c r="L26" i="9"/>
  <c r="M26" i="9"/>
  <c r="J26" i="9"/>
  <c r="H12" i="1"/>
  <c r="K14" i="9" l="1"/>
  <c r="L14" i="9"/>
  <c r="M14" i="9"/>
  <c r="J14" i="9"/>
  <c r="K21" i="9"/>
  <c r="L21" i="9"/>
  <c r="M21" i="9"/>
  <c r="K22" i="9"/>
  <c r="L22" i="9"/>
  <c r="M22" i="9"/>
  <c r="J22" i="9"/>
  <c r="J21" i="9"/>
  <c r="D21" i="9"/>
  <c r="E21" i="9"/>
  <c r="F21" i="9"/>
  <c r="D22" i="9"/>
  <c r="E22" i="9"/>
  <c r="F22" i="9"/>
  <c r="C22" i="9"/>
  <c r="C21" i="9"/>
  <c r="J30" i="9"/>
  <c r="K30" i="9"/>
  <c r="L30" i="9"/>
  <c r="M30" i="9"/>
  <c r="J31" i="9"/>
  <c r="K31" i="9"/>
  <c r="L31" i="9"/>
  <c r="M31" i="9"/>
  <c r="J32" i="9"/>
  <c r="K32" i="9"/>
  <c r="L32" i="9"/>
  <c r="M32" i="9"/>
  <c r="J33" i="9"/>
  <c r="K33" i="9"/>
  <c r="L33" i="9"/>
  <c r="M33" i="9"/>
  <c r="J34" i="9"/>
  <c r="K34" i="9"/>
  <c r="L34" i="9"/>
  <c r="M34" i="9"/>
  <c r="J35" i="9"/>
  <c r="K35" i="9"/>
  <c r="L35" i="9"/>
  <c r="M35" i="9"/>
  <c r="K29" i="9"/>
  <c r="L29" i="9"/>
  <c r="M29" i="9"/>
  <c r="J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D29" i="9"/>
  <c r="E29" i="9"/>
  <c r="F29" i="9"/>
  <c r="C29" i="9"/>
  <c r="B30" i="9"/>
  <c r="B31" i="9"/>
  <c r="B32" i="9"/>
  <c r="B33" i="9"/>
  <c r="B34" i="9"/>
  <c r="B35" i="9"/>
  <c r="B29" i="9"/>
  <c r="I30" i="9"/>
  <c r="I31" i="9"/>
  <c r="I32" i="9"/>
  <c r="I33" i="9"/>
  <c r="I34" i="9"/>
  <c r="I35" i="9"/>
  <c r="I29" i="9"/>
  <c r="F4" i="4"/>
  <c r="D26" i="9"/>
  <c r="K25" i="9" s="1"/>
  <c r="E26" i="9"/>
  <c r="L25" i="9" s="1"/>
  <c r="F26" i="9"/>
  <c r="M25" i="9" s="1"/>
  <c r="C26" i="9"/>
  <c r="J25" i="9" s="1"/>
  <c r="D25" i="9"/>
  <c r="E25" i="9"/>
  <c r="F25" i="9"/>
  <c r="C25" i="9"/>
  <c r="C10" i="4"/>
  <c r="C9" i="4"/>
  <c r="F10" i="4"/>
  <c r="F9" i="4"/>
  <c r="C8" i="4"/>
  <c r="D14" i="9"/>
  <c r="E14" i="9"/>
  <c r="F14" i="9"/>
  <c r="C14" i="9"/>
  <c r="B3" i="11"/>
  <c r="C4" i="4"/>
  <c r="E3" i="4"/>
  <c r="F3" i="4"/>
  <c r="F2" i="4"/>
  <c r="E2" i="4"/>
  <c r="K28" i="1"/>
  <c r="J28" i="1"/>
  <c r="I28" i="1"/>
  <c r="H28" i="1"/>
  <c r="A10" i="5" l="1"/>
  <c r="D29" i="3" l="1"/>
  <c r="E29" i="3"/>
  <c r="F29" i="3"/>
  <c r="C29" i="3"/>
  <c r="F15" i="3"/>
  <c r="F5" i="3"/>
  <c r="F26" i="3" l="1"/>
  <c r="D26" i="3"/>
  <c r="E26" i="3"/>
  <c r="F4" i="2"/>
  <c r="I30" i="1"/>
  <c r="J30" i="1"/>
  <c r="K30" i="1"/>
  <c r="H30" i="1"/>
  <c r="C18" i="1"/>
  <c r="G10" i="1"/>
  <c r="I10" i="1" s="1"/>
  <c r="E11" i="1"/>
  <c r="F11" i="1"/>
  <c r="D11" i="1"/>
  <c r="I4" i="1"/>
  <c r="J4" i="1"/>
  <c r="K4" i="1"/>
  <c r="H4" i="1"/>
  <c r="G3" i="1"/>
  <c r="E1" i="1"/>
  <c r="F1" i="1"/>
  <c r="D1" i="1"/>
  <c r="B7" i="1"/>
  <c r="F8" i="1" s="1"/>
  <c r="K5" i="1" s="1"/>
  <c r="D5" i="1"/>
  <c r="E5" i="1"/>
  <c r="F5" i="1"/>
  <c r="K3" i="1" s="1"/>
  <c r="C5" i="1"/>
  <c r="D2" i="1"/>
  <c r="E2" i="1" s="1"/>
  <c r="F2" i="1" s="1"/>
  <c r="J3" i="1" l="1"/>
  <c r="I3" i="1"/>
  <c r="D3" i="2" s="1"/>
  <c r="C4" i="2" s="1"/>
  <c r="D5" i="2" s="1"/>
  <c r="H10" i="1"/>
  <c r="L5" i="9"/>
  <c r="K10" i="1"/>
  <c r="K12" i="1" s="1"/>
  <c r="J10" i="1"/>
  <c r="J12" i="1" s="1"/>
  <c r="I12" i="1"/>
  <c r="K5" i="9"/>
  <c r="E8" i="1"/>
  <c r="J5" i="1" s="1"/>
  <c r="M5" i="9"/>
  <c r="F3" i="2"/>
  <c r="E3" i="2"/>
  <c r="D8" i="1"/>
  <c r="I5" i="1" s="1"/>
  <c r="H3" i="1"/>
  <c r="C8" i="1"/>
  <c r="H5" i="1" s="1"/>
  <c r="L4" i="9" l="1"/>
  <c r="J13" i="1"/>
  <c r="J14" i="1"/>
  <c r="J15" i="1"/>
  <c r="M4" i="9"/>
  <c r="K13" i="1"/>
  <c r="M8" i="9" s="1"/>
  <c r="K14" i="1"/>
  <c r="E4" i="2"/>
  <c r="F5" i="2" s="1"/>
  <c r="F7" i="2" s="1"/>
  <c r="C3" i="2"/>
  <c r="C7" i="2" s="1"/>
  <c r="D4" i="2"/>
  <c r="K4" i="9"/>
  <c r="I13" i="1"/>
  <c r="F11" i="7" l="1"/>
  <c r="F5" i="7"/>
  <c r="F7" i="7" s="1"/>
  <c r="F12" i="7"/>
  <c r="F3" i="5"/>
  <c r="F4" i="5" s="1"/>
  <c r="F6" i="5" s="1"/>
  <c r="F3" i="3"/>
  <c r="F4" i="3" s="1"/>
  <c r="E5" i="3" s="1"/>
  <c r="F6" i="3" s="1"/>
  <c r="F7" i="3" s="1"/>
  <c r="F9" i="3" s="1"/>
  <c r="F23" i="3"/>
  <c r="F13" i="3"/>
  <c r="F14" i="3" s="1"/>
  <c r="E15" i="3" s="1"/>
  <c r="F16" i="3" s="1"/>
  <c r="F17" i="3" s="1"/>
  <c r="F19" i="3" s="1"/>
  <c r="F13" i="9" s="1"/>
  <c r="C11" i="7"/>
  <c r="C14" i="7" s="1"/>
  <c r="C16" i="9" s="1"/>
  <c r="C12" i="7"/>
  <c r="C5" i="7"/>
  <c r="C7" i="7" s="1"/>
  <c r="C3" i="5"/>
  <c r="C4" i="5" s="1"/>
  <c r="C6" i="5" s="1"/>
  <c r="C3" i="3"/>
  <c r="C4" i="3" s="1"/>
  <c r="C13" i="3"/>
  <c r="C14" i="3" s="1"/>
  <c r="C23" i="3"/>
  <c r="M9" i="9"/>
  <c r="F10" i="9"/>
  <c r="K15" i="1"/>
  <c r="J17" i="1"/>
  <c r="J20" i="1" s="1"/>
  <c r="J22" i="1" s="1"/>
  <c r="J18" i="1"/>
  <c r="J21" i="1" s="1"/>
  <c r="F5" i="9"/>
  <c r="F4" i="9" s="1"/>
  <c r="E9" i="9"/>
  <c r="K8" i="9"/>
  <c r="J4" i="9"/>
  <c r="H13" i="1"/>
  <c r="I14" i="1"/>
  <c r="E6" i="9"/>
  <c r="D5" i="9"/>
  <c r="L9" i="9"/>
  <c r="E10" i="9"/>
  <c r="F9" i="9"/>
  <c r="L8" i="9"/>
  <c r="L7" i="9" s="1"/>
  <c r="M7" i="9"/>
  <c r="E5" i="2"/>
  <c r="E7" i="2" s="1"/>
  <c r="D7" i="2"/>
  <c r="F6" i="9"/>
  <c r="E5" i="9"/>
  <c r="E11" i="7" l="1"/>
  <c r="E12" i="7"/>
  <c r="E5" i="7"/>
  <c r="E7" i="7" s="1"/>
  <c r="E3" i="5"/>
  <c r="E4" i="5" s="1"/>
  <c r="E6" i="5" s="1"/>
  <c r="E13" i="3"/>
  <c r="E14" i="3" s="1"/>
  <c r="E3" i="3"/>
  <c r="E4" i="3" s="1"/>
  <c r="E23" i="3"/>
  <c r="H14" i="1"/>
  <c r="F7" i="5"/>
  <c r="F9" i="5" s="1"/>
  <c r="F13" i="5"/>
  <c r="E4" i="9"/>
  <c r="C7" i="5"/>
  <c r="C9" i="5" s="1"/>
  <c r="C13" i="5"/>
  <c r="D10" i="9"/>
  <c r="K9" i="9"/>
  <c r="K7" i="9" s="1"/>
  <c r="D6" i="9"/>
  <c r="D4" i="9" s="1"/>
  <c r="C5" i="9"/>
  <c r="C4" i="9" s="1"/>
  <c r="D9" i="9"/>
  <c r="J8" i="9"/>
  <c r="E20" i="9"/>
  <c r="L20" i="9"/>
  <c r="L18" i="9" s="1"/>
  <c r="D12" i="7"/>
  <c r="D11" i="7"/>
  <c r="D14" i="7" s="1"/>
  <c r="D16" i="9" s="1"/>
  <c r="D5" i="7"/>
  <c r="D7" i="7" s="1"/>
  <c r="D3" i="5"/>
  <c r="D4" i="5" s="1"/>
  <c r="D6" i="5" s="1"/>
  <c r="D13" i="3"/>
  <c r="D14" i="3" s="1"/>
  <c r="D23" i="3"/>
  <c r="D3" i="3"/>
  <c r="D4" i="3" s="1"/>
  <c r="I15" i="1"/>
  <c r="K17" i="1"/>
  <c r="K20" i="1" s="1"/>
  <c r="K18" i="1"/>
  <c r="K21" i="1" s="1"/>
  <c r="F14" i="7"/>
  <c r="F16" i="9" s="1"/>
  <c r="G7" i="7" l="1"/>
  <c r="B5" i="11" s="1"/>
  <c r="F10" i="5"/>
  <c r="F11" i="5"/>
  <c r="F14" i="5" s="1"/>
  <c r="D15" i="3"/>
  <c r="E16" i="3" s="1"/>
  <c r="E17" i="3"/>
  <c r="E19" i="3" s="1"/>
  <c r="E13" i="9" s="1"/>
  <c r="E7" i="5"/>
  <c r="E9" i="5" s="1"/>
  <c r="E13" i="5"/>
  <c r="C15" i="3"/>
  <c r="J9" i="9"/>
  <c r="J7" i="9" s="1"/>
  <c r="C10" i="9"/>
  <c r="E14" i="7"/>
  <c r="E16" i="9" s="1"/>
  <c r="C5" i="3"/>
  <c r="D13" i="5"/>
  <c r="D7" i="5"/>
  <c r="D9" i="5" s="1"/>
  <c r="H15" i="1"/>
  <c r="C10" i="5"/>
  <c r="C11" i="5"/>
  <c r="K22" i="1"/>
  <c r="I17" i="1"/>
  <c r="I20" i="1" s="1"/>
  <c r="I18" i="1"/>
  <c r="I21" i="1" s="1"/>
  <c r="D5" i="3"/>
  <c r="E6" i="3" s="1"/>
  <c r="E7" i="3"/>
  <c r="E9" i="3" s="1"/>
  <c r="F12" i="9" s="1"/>
  <c r="D15" i="9" l="1"/>
  <c r="C14" i="5"/>
  <c r="D16" i="3"/>
  <c r="C17" i="3"/>
  <c r="C19" i="3" s="1"/>
  <c r="C13" i="9" s="1"/>
  <c r="C17" i="9" s="1"/>
  <c r="D6" i="3"/>
  <c r="D7" i="3" s="1"/>
  <c r="D9" i="3" s="1"/>
  <c r="E12" i="9" s="1"/>
  <c r="C7" i="3"/>
  <c r="C9" i="3" s="1"/>
  <c r="D12" i="9" s="1"/>
  <c r="E10" i="5"/>
  <c r="E11" i="5" s="1"/>
  <c r="D10" i="5"/>
  <c r="D11" i="5" s="1"/>
  <c r="H17" i="1"/>
  <c r="H20" i="1" s="1"/>
  <c r="H18" i="1"/>
  <c r="H21" i="1" s="1"/>
  <c r="I22" i="1"/>
  <c r="F20" i="9"/>
  <c r="M20" i="9"/>
  <c r="M18" i="9" s="1"/>
  <c r="D17" i="3"/>
  <c r="D19" i="3" s="1"/>
  <c r="D13" i="9" s="1"/>
  <c r="H22" i="1" l="1"/>
  <c r="F15" i="9"/>
  <c r="E14" i="5"/>
  <c r="C20" i="9"/>
  <c r="C8" i="9" s="1"/>
  <c r="C37" i="9" s="1"/>
  <c r="J20" i="9"/>
  <c r="J18" i="9" s="1"/>
  <c r="E17" i="9"/>
  <c r="E8" i="9"/>
  <c r="E37" i="9" s="1"/>
  <c r="D17" i="9"/>
  <c r="D8" i="9" s="1"/>
  <c r="D37" i="9" s="1"/>
  <c r="E15" i="9"/>
  <c r="D14" i="5"/>
  <c r="G14" i="5" s="1"/>
  <c r="B4" i="11" s="1"/>
  <c r="B6" i="11" s="1"/>
  <c r="K20" i="9"/>
  <c r="K18" i="9" s="1"/>
  <c r="D20" i="9"/>
  <c r="L13" i="9" l="1"/>
  <c r="L11" i="9" s="1"/>
  <c r="L37" i="9" s="1"/>
  <c r="K13" i="9"/>
  <c r="K11" i="9" s="1"/>
  <c r="K37" i="9" s="1"/>
  <c r="M13" i="9"/>
  <c r="M11" i="9" s="1"/>
  <c r="M37" i="9" s="1"/>
  <c r="J13" i="9"/>
  <c r="J11" i="9" s="1"/>
  <c r="J37" i="9" s="1"/>
  <c r="F17" i="9"/>
  <c r="F8" i="9" s="1"/>
  <c r="F37" i="9" s="1"/>
</calcChain>
</file>

<file path=xl/comments1.xml><?xml version="1.0" encoding="utf-8"?>
<comments xmlns="http://schemas.openxmlformats.org/spreadsheetml/2006/main">
  <authors>
    <author>PCPWR</author>
  </authors>
  <commentList>
    <comment ref="G12" authorId="0" shapeId="0">
      <text>
        <r>
          <rPr>
            <b/>
            <sz val="9"/>
            <color indexed="81"/>
            <rFont val="Segoe UI"/>
            <family val="2"/>
          </rPr>
          <t>PCPWR:</t>
        </r>
        <r>
          <rPr>
            <sz val="9"/>
            <color indexed="81"/>
            <rFont val="Segoe UI"/>
            <family val="2"/>
          </rPr>
          <t xml:space="preserve">
custos da quantidade PRODUZIDA
</t>
        </r>
      </text>
    </comment>
    <comment ref="N13" authorId="0" shapeId="0">
      <text>
        <r>
          <rPr>
            <b/>
            <sz val="9"/>
            <color indexed="81"/>
            <rFont val="Segoe UI"/>
            <family val="2"/>
          </rPr>
          <t>PCPWR:</t>
        </r>
        <r>
          <rPr>
            <sz val="9"/>
            <color indexed="81"/>
            <rFont val="Segoe UI"/>
            <family val="2"/>
          </rPr>
          <t xml:space="preserve">
CUSTOS DA QUANTIDADE "VENDIDA"
</t>
        </r>
      </text>
    </comment>
    <comment ref="I26" authorId="0" shapeId="0">
      <text>
        <r>
          <rPr>
            <b/>
            <sz val="9"/>
            <color indexed="81"/>
            <rFont val="Segoe UI"/>
            <family val="2"/>
          </rPr>
          <t>PCPWR:</t>
        </r>
        <r>
          <rPr>
            <sz val="9"/>
            <color indexed="81"/>
            <rFont val="Segoe UI"/>
            <family val="2"/>
          </rPr>
          <t xml:space="preserve">
probabilidade de não recebimento
</t>
        </r>
      </text>
    </comment>
  </commentList>
</comments>
</file>

<file path=xl/sharedStrings.xml><?xml version="1.0" encoding="utf-8"?>
<sst xmlns="http://schemas.openxmlformats.org/spreadsheetml/2006/main" count="211" uniqueCount="126">
  <si>
    <t>vendas minha empresa</t>
  </si>
  <si>
    <t>mercado total</t>
  </si>
  <si>
    <t>1 trim</t>
  </si>
  <si>
    <t>2 trim</t>
  </si>
  <si>
    <t>3 trim</t>
  </si>
  <si>
    <t>4 trim</t>
  </si>
  <si>
    <t>preço</t>
  </si>
  <si>
    <t>fasturamento</t>
  </si>
  <si>
    <t>isv</t>
  </si>
  <si>
    <t>descontos</t>
  </si>
  <si>
    <t>venda vendedores</t>
  </si>
  <si>
    <t>vendas líquidas</t>
  </si>
  <si>
    <t>comissão amzazon</t>
  </si>
  <si>
    <t>comissão vended</t>
  </si>
  <si>
    <t>forma de venda</t>
  </si>
  <si>
    <t>a vista</t>
  </si>
  <si>
    <t xml:space="preserve">desp public </t>
  </si>
  <si>
    <t>salário vended</t>
  </si>
  <si>
    <t>inadimpl vendas prazo</t>
  </si>
  <si>
    <t>vendas</t>
  </si>
  <si>
    <t>ef</t>
  </si>
  <si>
    <t>ei</t>
  </si>
  <si>
    <t>qtd a ser produzida</t>
  </si>
  <si>
    <t>mpa plástico</t>
  </si>
  <si>
    <t>kg por produto</t>
  </si>
  <si>
    <t>qtd a ser comprada de plástico</t>
  </si>
  <si>
    <t>gasto compra de plástico</t>
  </si>
  <si>
    <t>pmpf</t>
  </si>
  <si>
    <t>mpa embalagem</t>
  </si>
  <si>
    <t>um embalagaem por produto</t>
  </si>
  <si>
    <t>mp c processador chip</t>
  </si>
  <si>
    <t>máquina fase 2</t>
  </si>
  <si>
    <t>máquina fase 3</t>
  </si>
  <si>
    <t>tempo de vida</t>
  </si>
  <si>
    <t>MÃO DE OBRA DIRETA (MOD)</t>
  </si>
  <si>
    <t>Quantidade produzida</t>
  </si>
  <si>
    <t>hs</t>
  </si>
  <si>
    <t>funcionário trabalha 220 horas mês</t>
  </si>
  <si>
    <t>Salário</t>
  </si>
  <si>
    <t>Encargos</t>
  </si>
  <si>
    <t>CUSTOS INDIRETOS DE FABRICAÇÃO (CIF)</t>
  </si>
  <si>
    <t>materiais indiretos (R$ / un.)</t>
  </si>
  <si>
    <t>mão de obra indireta (R$ / un.)</t>
  </si>
  <si>
    <t>custos fixos (R$ )</t>
  </si>
  <si>
    <t>DESPESAS</t>
  </si>
  <si>
    <t>Despesas Fixas</t>
  </si>
  <si>
    <t>Salários</t>
  </si>
  <si>
    <t>Marketing</t>
  </si>
  <si>
    <t>Depreciação</t>
  </si>
  <si>
    <t>Seguros</t>
  </si>
  <si>
    <t>Viagens</t>
  </si>
  <si>
    <t>Advogados</t>
  </si>
  <si>
    <t>Contador</t>
  </si>
  <si>
    <t>Despesas Variáveis</t>
  </si>
  <si>
    <t>Comissão de vendedores</t>
  </si>
  <si>
    <t>não pagas</t>
  </si>
  <si>
    <t>já estão melhor detalhados no orçamento de vendas (por canal)</t>
  </si>
  <si>
    <t>Saldo inicial</t>
  </si>
  <si>
    <t>ENTRADAS</t>
  </si>
  <si>
    <t>vendas à vista</t>
  </si>
  <si>
    <t>vendas a prazo</t>
  </si>
  <si>
    <t>SAÍDAS</t>
  </si>
  <si>
    <t>Saldo final de caixa</t>
  </si>
  <si>
    <t>FLUXO DE CAIXA (financ)</t>
  </si>
  <si>
    <t>DRE (competência, eco)</t>
  </si>
  <si>
    <t>RECEITAS</t>
  </si>
  <si>
    <t>CUSTOS</t>
  </si>
  <si>
    <t>um un por produto</t>
  </si>
  <si>
    <t>qtd a ser comprada de embalagem</t>
  </si>
  <si>
    <t>qtd a ser comprada de processador</t>
  </si>
  <si>
    <t>mês</t>
  </si>
  <si>
    <t>trimestre</t>
  </si>
  <si>
    <t>materiais indiretos (R$ / total)</t>
  </si>
  <si>
    <t>mão de obra indireta (R$ / total)</t>
  </si>
  <si>
    <t>MP</t>
  </si>
  <si>
    <t>MOD</t>
  </si>
  <si>
    <t>CIF</t>
  </si>
  <si>
    <t>Quantidade de horas</t>
  </si>
  <si>
    <t>horas por produto / qtd horas total</t>
  </si>
  <si>
    <t>Valor por hora</t>
  </si>
  <si>
    <t>custos fixos</t>
  </si>
  <si>
    <t>a</t>
  </si>
  <si>
    <t>comissão vendedores</t>
  </si>
  <si>
    <t>b</t>
  </si>
  <si>
    <t>desp publicidade</t>
  </si>
  <si>
    <t>salário vendedores</t>
  </si>
  <si>
    <t>c</t>
  </si>
  <si>
    <t>d</t>
  </si>
  <si>
    <t>e</t>
  </si>
  <si>
    <t>plástico</t>
  </si>
  <si>
    <t>embalagem</t>
  </si>
  <si>
    <t>processadores</t>
  </si>
  <si>
    <t>gasto compra de embalagem</t>
  </si>
  <si>
    <t>gasto compra de processador</t>
  </si>
  <si>
    <t>prox trimestre</t>
  </si>
  <si>
    <t>90 dias</t>
  </si>
  <si>
    <t>f</t>
  </si>
  <si>
    <t>g</t>
  </si>
  <si>
    <t>CMV</t>
  </si>
  <si>
    <t>quantidade vendida</t>
  </si>
  <si>
    <t>e, f, g</t>
  </si>
  <si>
    <t>prazo</t>
  </si>
  <si>
    <t>meses</t>
  </si>
  <si>
    <t>juros</t>
  </si>
  <si>
    <t>poarcela mdensal</t>
  </si>
  <si>
    <t>aa</t>
  </si>
  <si>
    <t>ao mês</t>
  </si>
  <si>
    <t>ao trimestre</t>
  </si>
  <si>
    <t>Desp comerciais</t>
  </si>
  <si>
    <t>Desp financeiras</t>
  </si>
  <si>
    <t>h</t>
  </si>
  <si>
    <t>depreciação</t>
  </si>
  <si>
    <t>mp, mod, cif</t>
  </si>
  <si>
    <t>depreciação maq</t>
  </si>
  <si>
    <t>Desp adm</t>
  </si>
  <si>
    <t>DEDUÇÕES</t>
  </si>
  <si>
    <t xml:space="preserve">Impostos </t>
  </si>
  <si>
    <t>Descontos</t>
  </si>
  <si>
    <t>i</t>
  </si>
  <si>
    <t>j</t>
  </si>
  <si>
    <t>venda meracdo lvire</t>
  </si>
  <si>
    <t>k</t>
  </si>
  <si>
    <t>principal (compra MAQ)</t>
  </si>
  <si>
    <t>L</t>
  </si>
  <si>
    <t>Lucro</t>
  </si>
  <si>
    <t>pdd (inadimplência 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</si>
</sst>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  <numFmt numFmtId="166" formatCode="_-[$$-409]* #,##0.00_ ;_-[$$-409]* \-#,##0.00\ ;_-[$$-409]* &quot;-&quot;??_ ;_-@_ "/>
    <numFmt numFmtId="167" formatCode="[$USD]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Arial"/>
      <family val="2"/>
    </font>
    <font>
      <sz val="14"/>
      <color rgb="FF00B050"/>
      <name val="Arial"/>
      <family val="2"/>
    </font>
    <font>
      <sz val="10"/>
      <color theme="0" tint="-0.34998626667073579"/>
      <name val="Arial"/>
      <family val="2"/>
    </font>
    <font>
      <sz val="11"/>
      <color theme="0"/>
      <name val="Calibri"/>
      <family val="2"/>
      <scheme val="minor"/>
    </font>
    <font>
      <sz val="14"/>
      <color theme="5"/>
      <name val="Arial"/>
      <family val="2"/>
    </font>
    <font>
      <sz val="12"/>
      <color theme="5"/>
      <name val="Arial"/>
      <family val="2"/>
    </font>
    <font>
      <i/>
      <sz val="12"/>
      <color theme="5"/>
      <name val="Arial"/>
      <family val="2"/>
    </font>
    <font>
      <b/>
      <sz val="14"/>
      <color theme="5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color theme="5"/>
      <name val="Calibri"/>
      <family val="2"/>
      <scheme val="minor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9" fontId="0" fillId="0" borderId="0" xfId="3" applyFont="1"/>
    <xf numFmtId="0" fontId="4" fillId="0" borderId="0" xfId="0" applyFont="1" applyAlignment="1">
      <alignment horizontal="right"/>
    </xf>
    <xf numFmtId="165" fontId="0" fillId="0" borderId="0" xfId="1" applyNumberFormat="1" applyFont="1"/>
    <xf numFmtId="164" fontId="2" fillId="0" borderId="0" xfId="2" applyFont="1"/>
    <xf numFmtId="9" fontId="0" fillId="0" borderId="0" xfId="0" applyNumberFormat="1"/>
    <xf numFmtId="164" fontId="2" fillId="0" borderId="0" xfId="0" applyNumberFormat="1" applyFont="1"/>
    <xf numFmtId="0" fontId="4" fillId="0" borderId="1" xfId="0" applyFont="1" applyBorder="1" applyAlignment="1">
      <alignment horizontal="right"/>
    </xf>
    <xf numFmtId="9" fontId="4" fillId="0" borderId="1" xfId="0" applyNumberFormat="1" applyFont="1" applyBorder="1"/>
    <xf numFmtId="0" fontId="4" fillId="0" borderId="1" xfId="0" applyFont="1" applyBorder="1"/>
    <xf numFmtId="164" fontId="4" fillId="0" borderId="1" xfId="2" applyFont="1" applyBorder="1"/>
    <xf numFmtId="0" fontId="5" fillId="0" borderId="0" xfId="0" applyFont="1"/>
    <xf numFmtId="0" fontId="6" fillId="0" borderId="0" xfId="0" applyFont="1"/>
    <xf numFmtId="165" fontId="5" fillId="0" borderId="0" xfId="0" applyNumberFormat="1" applyFont="1"/>
    <xf numFmtId="164" fontId="5" fillId="0" borderId="0" xfId="2" applyFont="1"/>
    <xf numFmtId="164" fontId="5" fillId="0" borderId="0" xfId="0" applyNumberFormat="1" applyFont="1"/>
    <xf numFmtId="0" fontId="8" fillId="0" borderId="0" xfId="0" applyFont="1"/>
    <xf numFmtId="9" fontId="8" fillId="0" borderId="0" xfId="0" applyNumberFormat="1" applyFont="1"/>
    <xf numFmtId="43" fontId="8" fillId="0" borderId="0" xfId="1" applyFont="1"/>
    <xf numFmtId="165" fontId="8" fillId="0" borderId="0" xfId="0" applyNumberFormat="1" applyFont="1"/>
    <xf numFmtId="0" fontId="10" fillId="0" borderId="1" xfId="0" applyFont="1" applyBorder="1" applyAlignment="1">
      <alignment horizontal="right"/>
    </xf>
    <xf numFmtId="165" fontId="10" fillId="0" borderId="1" xfId="0" applyNumberFormat="1" applyFont="1" applyBorder="1"/>
    <xf numFmtId="164" fontId="8" fillId="0" borderId="0" xfId="2" applyFont="1"/>
    <xf numFmtId="0" fontId="9" fillId="0" borderId="0" xfId="0" applyFont="1" applyAlignment="1">
      <alignment horizontal="right"/>
    </xf>
    <xf numFmtId="0" fontId="8" fillId="2" borderId="0" xfId="0" applyFont="1" applyFill="1"/>
    <xf numFmtId="166" fontId="8" fillId="0" borderId="0" xfId="2" applyNumberFormat="1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right"/>
    </xf>
    <xf numFmtId="43" fontId="8" fillId="0" borderId="0" xfId="1" applyFont="1" applyFill="1"/>
    <xf numFmtId="165" fontId="8" fillId="0" borderId="0" xfId="0" applyNumberFormat="1" applyFont="1" applyFill="1"/>
    <xf numFmtId="9" fontId="8" fillId="0" borderId="0" xfId="0" applyNumberFormat="1" applyFont="1" applyFill="1"/>
    <xf numFmtId="0" fontId="10" fillId="0" borderId="1" xfId="0" applyFont="1" applyFill="1" applyBorder="1" applyAlignment="1">
      <alignment horizontal="right"/>
    </xf>
    <xf numFmtId="165" fontId="10" fillId="0" borderId="1" xfId="0" applyNumberFormat="1" applyFont="1" applyFill="1" applyBorder="1"/>
    <xf numFmtId="164" fontId="8" fillId="0" borderId="0" xfId="2" applyFont="1" applyFill="1"/>
    <xf numFmtId="0" fontId="11" fillId="0" borderId="0" xfId="0" applyFont="1"/>
    <xf numFmtId="164" fontId="11" fillId="0" borderId="0" xfId="2" applyFont="1"/>
    <xf numFmtId="9" fontId="8" fillId="0" borderId="0" xfId="3" applyFont="1" applyFill="1"/>
    <xf numFmtId="44" fontId="8" fillId="0" borderId="0" xfId="0" applyNumberFormat="1" applyFont="1" applyFill="1"/>
    <xf numFmtId="0" fontId="8" fillId="0" borderId="0" xfId="0" applyFont="1" applyFill="1" applyAlignment="1">
      <alignment horizontal="right"/>
    </xf>
    <xf numFmtId="0" fontId="8" fillId="3" borderId="0" xfId="0" applyFont="1" applyFill="1"/>
    <xf numFmtId="0" fontId="8" fillId="4" borderId="0" xfId="0" applyFont="1" applyFill="1"/>
    <xf numFmtId="164" fontId="8" fillId="4" borderId="0" xfId="2" applyFont="1" applyFill="1"/>
    <xf numFmtId="0" fontId="8" fillId="0" borderId="0" xfId="0" applyFont="1" applyFill="1" applyAlignment="1">
      <alignment horizontal="left" indent="2"/>
    </xf>
    <xf numFmtId="0" fontId="8" fillId="5" borderId="0" xfId="0" applyFont="1" applyFill="1"/>
    <xf numFmtId="165" fontId="12" fillId="4" borderId="0" xfId="1" applyNumberFormat="1" applyFont="1" applyFill="1"/>
    <xf numFmtId="165" fontId="12" fillId="0" borderId="0" xfId="1" applyNumberFormat="1" applyFont="1" applyFill="1"/>
    <xf numFmtId="165" fontId="12" fillId="5" borderId="0" xfId="1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/>
    </xf>
    <xf numFmtId="165" fontId="14" fillId="0" borderId="1" xfId="1" applyNumberFormat="1" applyFont="1" applyFill="1" applyBorder="1"/>
    <xf numFmtId="165" fontId="12" fillId="3" borderId="0" xfId="1" applyNumberFormat="1" applyFont="1" applyFill="1"/>
    <xf numFmtId="0" fontId="8" fillId="8" borderId="0" xfId="0" applyFont="1" applyFill="1"/>
    <xf numFmtId="165" fontId="12" fillId="8" borderId="0" xfId="1" applyNumberFormat="1" applyFont="1" applyFill="1"/>
    <xf numFmtId="0" fontId="15" fillId="0" borderId="0" xfId="0" applyFont="1"/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4" fontId="11" fillId="0" borderId="0" xfId="0" applyNumberFormat="1" applyFont="1" applyAlignment="1">
      <alignment horizontal="center"/>
    </xf>
    <xf numFmtId="164" fontId="11" fillId="0" borderId="0" xfId="2" applyFont="1" applyAlignment="1">
      <alignment horizontal="center"/>
    </xf>
    <xf numFmtId="0" fontId="11" fillId="0" borderId="3" xfId="0" applyFont="1" applyBorder="1"/>
    <xf numFmtId="164" fontId="11" fillId="0" borderId="3" xfId="2" applyFont="1" applyBorder="1"/>
    <xf numFmtId="165" fontId="8" fillId="0" borderId="0" xfId="1" applyNumberFormat="1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2" applyFont="1"/>
    <xf numFmtId="167" fontId="8" fillId="0" borderId="0" xfId="0" applyNumberFormat="1" applyFont="1"/>
    <xf numFmtId="0" fontId="8" fillId="0" borderId="3" xfId="0" applyFont="1" applyFill="1" applyBorder="1"/>
    <xf numFmtId="44" fontId="8" fillId="0" borderId="3" xfId="0" applyNumberFormat="1" applyFont="1" applyFill="1" applyBorder="1"/>
    <xf numFmtId="164" fontId="10" fillId="0" borderId="1" xfId="2" applyFont="1" applyFill="1" applyBorder="1"/>
    <xf numFmtId="0" fontId="16" fillId="0" borderId="3" xfId="0" applyFont="1" applyBorder="1" applyAlignment="1">
      <alignment horizontal="center"/>
    </xf>
    <xf numFmtId="164" fontId="16" fillId="0" borderId="3" xfId="2" applyFont="1" applyBorder="1"/>
    <xf numFmtId="0" fontId="17" fillId="0" borderId="0" xfId="0" applyFont="1" applyFill="1"/>
    <xf numFmtId="164" fontId="17" fillId="0" borderId="0" xfId="2" applyFont="1" applyFill="1"/>
    <xf numFmtId="0" fontId="13" fillId="7" borderId="2" xfId="0" applyFont="1" applyFill="1" applyBorder="1" applyAlignment="1"/>
    <xf numFmtId="0" fontId="14" fillId="6" borderId="2" xfId="0" applyFont="1" applyFill="1" applyBorder="1" applyAlignment="1"/>
    <xf numFmtId="44" fontId="2" fillId="0" borderId="3" xfId="0" applyNumberFormat="1" applyFont="1" applyBorder="1"/>
    <xf numFmtId="0" fontId="8" fillId="0" borderId="0" xfId="0" applyFont="1" applyFill="1" applyAlignment="1">
      <alignment horizontal="left" indent="1"/>
    </xf>
    <xf numFmtId="0" fontId="18" fillId="0" borderId="0" xfId="0" applyFont="1"/>
    <xf numFmtId="164" fontId="8" fillId="0" borderId="3" xfId="0" applyNumberFormat="1" applyFont="1" applyFill="1" applyBorder="1"/>
    <xf numFmtId="0" fontId="19" fillId="0" borderId="0" xfId="0" applyFont="1" applyFill="1" applyAlignment="1">
      <alignment horizontal="left" indent="2"/>
    </xf>
    <xf numFmtId="165" fontId="19" fillId="0" borderId="0" xfId="1" applyNumberFormat="1" applyFont="1" applyFill="1"/>
    <xf numFmtId="164" fontId="15" fillId="0" borderId="0" xfId="2" applyFont="1"/>
    <xf numFmtId="9" fontId="15" fillId="0" borderId="0" xfId="3" applyFont="1"/>
    <xf numFmtId="10" fontId="15" fillId="0" borderId="0" xfId="3" applyNumberFormat="1" applyFont="1"/>
    <xf numFmtId="10" fontId="15" fillId="0" borderId="0" xfId="3" applyNumberFormat="1" applyFont="1" applyAlignment="1">
      <alignment horizontal="center"/>
    </xf>
    <xf numFmtId="9" fontId="5" fillId="0" borderId="0" xfId="3" applyFont="1"/>
    <xf numFmtId="9" fontId="5" fillId="0" borderId="0" xfId="0" applyNumberFormat="1" applyFont="1"/>
    <xf numFmtId="9" fontId="5" fillId="2" borderId="0" xfId="3" applyFont="1" applyFill="1"/>
    <xf numFmtId="165" fontId="5" fillId="2" borderId="0" xfId="1" applyNumberFormat="1" applyFont="1" applyFill="1"/>
    <xf numFmtId="0" fontId="20" fillId="0" borderId="0" xfId="0" applyFont="1"/>
    <xf numFmtId="9" fontId="20" fillId="0" borderId="0" xfId="3" applyFont="1"/>
    <xf numFmtId="9" fontId="20" fillId="2" borderId="0" xfId="3" applyFont="1" applyFill="1"/>
    <xf numFmtId="0" fontId="0" fillId="0" borderId="0" xfId="0" applyAlignment="1">
      <alignment horizontal="left"/>
    </xf>
    <xf numFmtId="0" fontId="8" fillId="9" borderId="0" xfId="0" applyFont="1" applyFill="1"/>
    <xf numFmtId="0" fontId="7" fillId="9" borderId="0" xfId="0" applyFont="1" applyFill="1"/>
    <xf numFmtId="165" fontId="15" fillId="0" borderId="0" xfId="1" applyNumberFormat="1" applyFont="1"/>
    <xf numFmtId="0" fontId="8" fillId="10" borderId="0" xfId="0" applyFont="1" applyFill="1"/>
    <xf numFmtId="164" fontId="8" fillId="10" borderId="0" xfId="2" applyFont="1" applyFill="1"/>
    <xf numFmtId="43" fontId="8" fillId="10" borderId="0" xfId="1" applyFont="1" applyFill="1"/>
    <xf numFmtId="9" fontId="8" fillId="10" borderId="0" xfId="0" applyNumberFormat="1" applyFont="1" applyFill="1"/>
    <xf numFmtId="164" fontId="10" fillId="10" borderId="1" xfId="2" applyFont="1" applyFill="1" applyBorder="1"/>
    <xf numFmtId="164" fontId="8" fillId="10" borderId="0" xfId="0" applyNumberFormat="1" applyFont="1" applyFill="1"/>
    <xf numFmtId="0" fontId="21" fillId="0" borderId="0" xfId="0" applyFont="1" applyFill="1"/>
    <xf numFmtId="165" fontId="22" fillId="0" borderId="0" xfId="1" applyNumberFormat="1" applyFont="1" applyFill="1"/>
    <xf numFmtId="0" fontId="23" fillId="0" borderId="0" xfId="0" applyFont="1" applyFill="1" applyAlignment="1">
      <alignment horizontal="left" indent="2"/>
    </xf>
    <xf numFmtId="0" fontId="21" fillId="0" borderId="0" xfId="0" applyFont="1" applyFill="1" applyAlignment="1">
      <alignment horizontal="left" indent="1"/>
    </xf>
    <xf numFmtId="165" fontId="24" fillId="0" borderId="0" xfId="1" applyNumberFormat="1" applyFont="1" applyFill="1"/>
    <xf numFmtId="164" fontId="27" fillId="0" borderId="0" xfId="0" applyNumberFormat="1" applyFont="1" applyAlignment="1">
      <alignment horizontal="center"/>
    </xf>
    <xf numFmtId="43" fontId="28" fillId="0" borderId="0" xfId="1" applyFont="1" applyFill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60" zoomScaleNormal="16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H30" sqref="H30:K30"/>
    </sheetView>
  </sheetViews>
  <sheetFormatPr defaultRowHeight="15" x14ac:dyDescent="0.25"/>
  <cols>
    <col min="2" max="2" width="9.140625" style="1"/>
    <col min="3" max="3" width="9.140625" customWidth="1"/>
    <col min="4" max="6" width="9.140625" hidden="1" customWidth="1"/>
    <col min="7" max="7" width="7.85546875" hidden="1" customWidth="1"/>
    <col min="8" max="11" width="14.5703125" style="2" bestFit="1" customWidth="1"/>
  </cols>
  <sheetData>
    <row r="1" spans="2:11" x14ac:dyDescent="0.25">
      <c r="D1" s="5">
        <f>(D3/C3)-1</f>
        <v>0.14999999999999991</v>
      </c>
      <c r="E1" s="5">
        <f t="shared" ref="E1:F1" si="0">(E3/D3)-1</f>
        <v>0.14999999999999991</v>
      </c>
      <c r="F1" s="5">
        <f t="shared" si="0"/>
        <v>0.15009451795841211</v>
      </c>
      <c r="H1" s="15">
        <v>2020</v>
      </c>
      <c r="I1" s="15"/>
      <c r="J1" s="15"/>
      <c r="K1" s="15"/>
    </row>
    <row r="2" spans="2:11" s="4" customFormat="1" x14ac:dyDescent="0.25">
      <c r="B2" s="3"/>
      <c r="C2" s="16">
        <v>2016</v>
      </c>
      <c r="D2" s="16">
        <f>+C2+1</f>
        <v>2017</v>
      </c>
      <c r="E2" s="16">
        <f t="shared" ref="E2:F2" si="1">+D2+1</f>
        <v>2018</v>
      </c>
      <c r="F2" s="16">
        <f t="shared" si="1"/>
        <v>2019</v>
      </c>
      <c r="G2" s="4">
        <v>2020</v>
      </c>
      <c r="H2" s="16" t="s">
        <v>2</v>
      </c>
      <c r="I2" s="16" t="s">
        <v>3</v>
      </c>
      <c r="J2" s="16" t="s">
        <v>4</v>
      </c>
      <c r="K2" s="16" t="s">
        <v>5</v>
      </c>
    </row>
    <row r="3" spans="2:11" x14ac:dyDescent="0.25">
      <c r="B3" s="6" t="s">
        <v>0</v>
      </c>
      <c r="C3" s="94">
        <v>2000</v>
      </c>
      <c r="D3" s="15">
        <v>2300</v>
      </c>
      <c r="E3" s="15">
        <v>2645</v>
      </c>
      <c r="F3" s="15">
        <v>3042</v>
      </c>
      <c r="G3" s="7">
        <f>F3*(1+F1)</f>
        <v>3498.5875236294896</v>
      </c>
      <c r="H3" s="93">
        <f>+$F$5*C7</f>
        <v>1400.1841136244082</v>
      </c>
      <c r="I3" s="93">
        <f t="shared" ref="I3:K3" si="2">+$F$5*D7</f>
        <v>1200.157811678064</v>
      </c>
      <c r="J3" s="93">
        <f t="shared" si="2"/>
        <v>600.07890583903202</v>
      </c>
      <c r="K3" s="93">
        <f t="shared" si="2"/>
        <v>600.07890583903202</v>
      </c>
    </row>
    <row r="4" spans="2:11" hidden="1" x14ac:dyDescent="0.25">
      <c r="B4" s="1" t="s">
        <v>1</v>
      </c>
      <c r="C4" s="94">
        <v>5000</v>
      </c>
      <c r="D4" s="15">
        <v>5750</v>
      </c>
      <c r="E4" s="15">
        <v>6613</v>
      </c>
      <c r="F4" s="15">
        <v>7604</v>
      </c>
      <c r="H4" s="15">
        <f>+$G$3/4</f>
        <v>874.64688090737241</v>
      </c>
      <c r="I4" s="15">
        <f t="shared" ref="I4:K4" si="3">+$G$3/4</f>
        <v>874.64688090737241</v>
      </c>
      <c r="J4" s="15">
        <f t="shared" si="3"/>
        <v>874.64688090737241</v>
      </c>
      <c r="K4" s="15">
        <f t="shared" si="3"/>
        <v>874.64688090737241</v>
      </c>
    </row>
    <row r="5" spans="2:11" hidden="1" x14ac:dyDescent="0.25">
      <c r="C5" s="95">
        <f>+C3/C4</f>
        <v>0.4</v>
      </c>
      <c r="D5" s="90">
        <f t="shared" ref="D5:F5" si="4">+D3/D4</f>
        <v>0.4</v>
      </c>
      <c r="E5" s="90">
        <f t="shared" si="4"/>
        <v>0.39996975654014821</v>
      </c>
      <c r="F5" s="90">
        <f t="shared" si="4"/>
        <v>0.40005260389268804</v>
      </c>
      <c r="H5" s="17">
        <f>$G$3*C8</f>
        <v>1288.9532981792856</v>
      </c>
      <c r="I5" s="17">
        <f t="shared" ref="I5:K5" si="5">$G$3*D8</f>
        <v>1104.8171127251019</v>
      </c>
      <c r="J5" s="17">
        <f t="shared" si="5"/>
        <v>552.40855636255094</v>
      </c>
      <c r="K5" s="17">
        <f t="shared" si="5"/>
        <v>552.40855636255094</v>
      </c>
    </row>
    <row r="6" spans="2:11" hidden="1" x14ac:dyDescent="0.25">
      <c r="C6" s="94"/>
      <c r="D6" s="15"/>
      <c r="E6" s="15"/>
      <c r="F6" s="15"/>
      <c r="H6" s="15"/>
      <c r="I6" s="15"/>
      <c r="J6" s="15"/>
      <c r="K6" s="15"/>
    </row>
    <row r="7" spans="2:11" hidden="1" x14ac:dyDescent="0.25">
      <c r="B7" s="1">
        <f>SUM(C7:F7)</f>
        <v>9500</v>
      </c>
      <c r="C7" s="94">
        <v>3500</v>
      </c>
      <c r="D7" s="15">
        <v>3000</v>
      </c>
      <c r="E7" s="15">
        <v>1500</v>
      </c>
      <c r="F7" s="15">
        <v>1500</v>
      </c>
      <c r="H7" s="15"/>
      <c r="I7" s="15"/>
      <c r="J7" s="15"/>
      <c r="K7" s="15"/>
    </row>
    <row r="8" spans="2:11" hidden="1" x14ac:dyDescent="0.25">
      <c r="C8" s="96">
        <f>C7/$B$7</f>
        <v>0.36842105263157893</v>
      </c>
      <c r="D8" s="92">
        <f t="shared" ref="D8:F8" si="6">D7/$B$7</f>
        <v>0.31578947368421051</v>
      </c>
      <c r="E8" s="92">
        <f t="shared" si="6"/>
        <v>0.15789473684210525</v>
      </c>
      <c r="F8" s="92">
        <f t="shared" si="6"/>
        <v>0.15789473684210525</v>
      </c>
      <c r="H8" s="15"/>
      <c r="I8" s="15"/>
      <c r="J8" s="15"/>
      <c r="K8" s="15"/>
    </row>
    <row r="9" spans="2:11" x14ac:dyDescent="0.25">
      <c r="C9" s="15"/>
      <c r="D9" s="15"/>
      <c r="E9" s="15"/>
      <c r="F9" s="15"/>
      <c r="H9" s="15"/>
      <c r="I9" s="15"/>
      <c r="J9" s="15"/>
      <c r="K9" s="15"/>
    </row>
    <row r="10" spans="2:11" x14ac:dyDescent="0.25">
      <c r="B10" s="1" t="s">
        <v>6</v>
      </c>
      <c r="C10" s="15">
        <v>150</v>
      </c>
      <c r="D10" s="15">
        <v>195</v>
      </c>
      <c r="E10" s="15">
        <v>253.5</v>
      </c>
      <c r="F10" s="15">
        <v>329.55</v>
      </c>
      <c r="G10">
        <f>+F10*(1+F11)</f>
        <v>428.41500000000002</v>
      </c>
      <c r="H10" s="18">
        <f>+$G$10</f>
        <v>428.41500000000002</v>
      </c>
      <c r="I10" s="18">
        <f t="shared" ref="I10:K10" si="7">+$G$10</f>
        <v>428.41500000000002</v>
      </c>
      <c r="J10" s="18">
        <f t="shared" si="7"/>
        <v>428.41500000000002</v>
      </c>
      <c r="K10" s="18">
        <f t="shared" si="7"/>
        <v>428.41500000000002</v>
      </c>
    </row>
    <row r="11" spans="2:11" x14ac:dyDescent="0.25">
      <c r="C11" s="15"/>
      <c r="D11" s="90">
        <f>(D10/C10)-1</f>
        <v>0.30000000000000004</v>
      </c>
      <c r="E11" s="90">
        <f t="shared" ref="E11:F11" si="8">(E10/D10)-1</f>
        <v>0.30000000000000004</v>
      </c>
      <c r="F11" s="90">
        <f t="shared" si="8"/>
        <v>0.30000000000000004</v>
      </c>
      <c r="H11" s="15"/>
      <c r="I11" s="15"/>
      <c r="J11" s="15"/>
      <c r="K11" s="15"/>
    </row>
    <row r="12" spans="2:11" x14ac:dyDescent="0.25">
      <c r="B12" s="1" t="s">
        <v>7</v>
      </c>
      <c r="C12" s="15"/>
      <c r="D12" s="15"/>
      <c r="E12" s="15"/>
      <c r="F12" s="15"/>
      <c r="H12" s="18">
        <f>H3*H10</f>
        <v>599859.87703840085</v>
      </c>
      <c r="I12" s="18">
        <f t="shared" ref="I12:K12" si="9">I3*I10</f>
        <v>514165.60889005783</v>
      </c>
      <c r="J12" s="18">
        <f t="shared" si="9"/>
        <v>257082.80444502892</v>
      </c>
      <c r="K12" s="18">
        <f t="shared" si="9"/>
        <v>257082.80444502892</v>
      </c>
    </row>
    <row r="13" spans="2:11" x14ac:dyDescent="0.25">
      <c r="B13" s="1" t="s">
        <v>8</v>
      </c>
      <c r="C13" s="91">
        <v>0.25</v>
      </c>
      <c r="D13" s="15"/>
      <c r="E13" s="15"/>
      <c r="F13" s="15"/>
      <c r="H13" s="19">
        <f>H12*-$C$13</f>
        <v>-149964.96925960021</v>
      </c>
      <c r="I13" s="19">
        <f t="shared" ref="I13:K13" si="10">I12*-$C$13</f>
        <v>-128541.40222251446</v>
      </c>
      <c r="J13" s="19">
        <f t="shared" si="10"/>
        <v>-64270.701111257229</v>
      </c>
      <c r="K13" s="19">
        <f t="shared" si="10"/>
        <v>-64270.701111257229</v>
      </c>
    </row>
    <row r="14" spans="2:11" x14ac:dyDescent="0.25">
      <c r="B14" s="1" t="s">
        <v>9</v>
      </c>
      <c r="C14" s="91">
        <v>0.05</v>
      </c>
      <c r="D14" s="15"/>
      <c r="E14" s="15"/>
      <c r="F14" s="15"/>
      <c r="H14" s="18">
        <f>+(H12+H13)*-$C$14</f>
        <v>-22494.745388940035</v>
      </c>
      <c r="I14" s="18">
        <f t="shared" ref="I14:K14" si="11">+(I12+I13)*-$C$14</f>
        <v>-19281.21033337717</v>
      </c>
      <c r="J14" s="18">
        <f t="shared" si="11"/>
        <v>-9640.6051666885851</v>
      </c>
      <c r="K14" s="18">
        <f t="shared" si="11"/>
        <v>-9640.6051666885851</v>
      </c>
    </row>
    <row r="15" spans="2:11" s="13" customFormat="1" ht="15.75" thickBot="1" x14ac:dyDescent="0.3">
      <c r="B15" s="11" t="s">
        <v>11</v>
      </c>
      <c r="C15" s="12"/>
      <c r="H15" s="14">
        <f>SUM(H12:H14)</f>
        <v>427400.1623898606</v>
      </c>
      <c r="I15" s="14">
        <f t="shared" ref="I15:K15" si="12">SUM(I12:I14)</f>
        <v>366342.99633416621</v>
      </c>
      <c r="J15" s="14">
        <f t="shared" si="12"/>
        <v>183171.4981670831</v>
      </c>
      <c r="K15" s="14">
        <f t="shared" si="12"/>
        <v>183171.4981670831</v>
      </c>
    </row>
    <row r="17" spans="1:11" x14ac:dyDescent="0.25">
      <c r="B17" s="1" t="s">
        <v>120</v>
      </c>
      <c r="C17" s="9">
        <v>0.3</v>
      </c>
      <c r="H17" s="10">
        <f>H$15*$C17</f>
        <v>128220.04871695818</v>
      </c>
      <c r="I17" s="10">
        <f t="shared" ref="I17:K17" si="13">I$15*$C17</f>
        <v>109902.89890024986</v>
      </c>
      <c r="J17" s="10">
        <f t="shared" si="13"/>
        <v>54951.449450124928</v>
      </c>
      <c r="K17" s="10">
        <f t="shared" si="13"/>
        <v>54951.449450124928</v>
      </c>
    </row>
    <row r="18" spans="1:11" x14ac:dyDescent="0.25">
      <c r="B18" s="1" t="s">
        <v>10</v>
      </c>
      <c r="C18" s="9">
        <f>1-C17</f>
        <v>0.7</v>
      </c>
      <c r="H18" s="10">
        <f t="shared" ref="H18:K18" si="14">H$15*$C18</f>
        <v>299180.1136729024</v>
      </c>
      <c r="I18" s="10">
        <f t="shared" si="14"/>
        <v>256440.09743391632</v>
      </c>
      <c r="J18" s="10">
        <f t="shared" si="14"/>
        <v>128220.04871695816</v>
      </c>
      <c r="K18" s="10">
        <f t="shared" si="14"/>
        <v>128220.04871695816</v>
      </c>
    </row>
    <row r="19" spans="1:11" x14ac:dyDescent="0.25">
      <c r="H19" s="10"/>
    </row>
    <row r="20" spans="1:11" x14ac:dyDescent="0.25">
      <c r="B20" s="1" t="s">
        <v>12</v>
      </c>
      <c r="C20" s="9">
        <v>0.08</v>
      </c>
      <c r="H20" s="8">
        <f>H17*-$C$20</f>
        <v>-10257.603897356654</v>
      </c>
      <c r="I20" s="8">
        <f t="shared" ref="I20:K20" si="15">I17*-$C$20</f>
        <v>-8792.2319120199882</v>
      </c>
      <c r="J20" s="8">
        <f t="shared" si="15"/>
        <v>-4396.1159560099941</v>
      </c>
      <c r="K20" s="8">
        <f t="shared" si="15"/>
        <v>-4396.1159560099941</v>
      </c>
    </row>
    <row r="21" spans="1:11" x14ac:dyDescent="0.25">
      <c r="B21" s="1" t="s">
        <v>13</v>
      </c>
      <c r="C21" s="9">
        <v>0.02</v>
      </c>
      <c r="H21" s="8">
        <f>H18*-$C$21</f>
        <v>-5983.6022734580483</v>
      </c>
      <c r="I21" s="8">
        <f t="shared" ref="I21:K21" si="16">I18*-$C$21</f>
        <v>-5128.8019486783269</v>
      </c>
      <c r="J21" s="8">
        <f t="shared" si="16"/>
        <v>-2564.4009743391634</v>
      </c>
      <c r="K21" s="8">
        <f t="shared" si="16"/>
        <v>-2564.4009743391634</v>
      </c>
    </row>
    <row r="22" spans="1:11" x14ac:dyDescent="0.25">
      <c r="H22" s="80">
        <f>+H20+H21</f>
        <v>-16241.206170814701</v>
      </c>
      <c r="I22" s="80">
        <f t="shared" ref="I22:K22" si="17">+I20+I21</f>
        <v>-13921.033860698315</v>
      </c>
      <c r="J22" s="80">
        <f t="shared" si="17"/>
        <v>-6960.5169303491575</v>
      </c>
      <c r="K22" s="80">
        <f t="shared" si="17"/>
        <v>-6960.5169303491575</v>
      </c>
    </row>
    <row r="23" spans="1:11" x14ac:dyDescent="0.25">
      <c r="B23" s="1" t="s">
        <v>14</v>
      </c>
    </row>
    <row r="24" spans="1:11" x14ac:dyDescent="0.25">
      <c r="B24" s="1" t="s">
        <v>15</v>
      </c>
      <c r="C24" s="9">
        <v>0.6</v>
      </c>
    </row>
    <row r="25" spans="1:11" x14ac:dyDescent="0.25">
      <c r="B25" s="1" t="s">
        <v>94</v>
      </c>
      <c r="C25" s="9">
        <v>0.4</v>
      </c>
    </row>
    <row r="26" spans="1:11" x14ac:dyDescent="0.25">
      <c r="B26" s="1" t="s">
        <v>18</v>
      </c>
      <c r="C26" s="9">
        <v>7.0000000000000007E-2</v>
      </c>
    </row>
    <row r="28" spans="1:11" x14ac:dyDescent="0.25">
      <c r="B28" s="1" t="s">
        <v>16</v>
      </c>
      <c r="H28" s="2">
        <f>-500*3</f>
        <v>-1500</v>
      </c>
      <c r="I28" s="2">
        <f t="shared" ref="I28:K28" si="18">-500*3</f>
        <v>-1500</v>
      </c>
      <c r="J28" s="2">
        <f t="shared" si="18"/>
        <v>-1500</v>
      </c>
      <c r="K28" s="2">
        <f t="shared" si="18"/>
        <v>-1500</v>
      </c>
    </row>
    <row r="30" spans="1:11" x14ac:dyDescent="0.25">
      <c r="A30">
        <v>3</v>
      </c>
      <c r="B30" s="97" t="s">
        <v>17</v>
      </c>
      <c r="C30">
        <v>1000</v>
      </c>
      <c r="H30" s="2">
        <f>-$A$30*$C$30*3</f>
        <v>-9000</v>
      </c>
      <c r="I30" s="2">
        <f t="shared" ref="I30:K30" si="19">-$A$30*$C$30*3</f>
        <v>-9000</v>
      </c>
      <c r="J30" s="2">
        <f t="shared" si="19"/>
        <v>-9000</v>
      </c>
      <c r="K30" s="2">
        <f t="shared" si="19"/>
        <v>-9000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30" zoomScaleNormal="130" workbookViewId="0">
      <selection activeCell="B7" sqref="B7:F7"/>
    </sheetView>
  </sheetViews>
  <sheetFormatPr defaultRowHeight="15" x14ac:dyDescent="0.25"/>
  <cols>
    <col min="2" max="2" width="18.140625" bestFit="1" customWidth="1"/>
  </cols>
  <sheetData>
    <row r="1" spans="1:6" x14ac:dyDescent="0.25">
      <c r="C1" s="15">
        <v>2020</v>
      </c>
      <c r="D1" s="15"/>
      <c r="E1" s="15"/>
      <c r="F1" s="15"/>
    </row>
    <row r="2" spans="1:6" x14ac:dyDescent="0.25">
      <c r="C2" s="16" t="s">
        <v>2</v>
      </c>
      <c r="D2" s="16" t="s">
        <v>3</v>
      </c>
      <c r="E2" s="16" t="s">
        <v>4</v>
      </c>
      <c r="F2" s="16" t="s">
        <v>5</v>
      </c>
    </row>
    <row r="3" spans="1:6" x14ac:dyDescent="0.25">
      <c r="B3" t="s">
        <v>19</v>
      </c>
      <c r="C3">
        <f>ROUND(vendas!H3,0)</f>
        <v>1400</v>
      </c>
      <c r="D3">
        <f>ROUND(vendas!I3,0)</f>
        <v>1200</v>
      </c>
      <c r="E3">
        <f>ROUND(vendas!J3,0)</f>
        <v>600</v>
      </c>
      <c r="F3">
        <f>ROUND(vendas!K3,0)</f>
        <v>600</v>
      </c>
    </row>
    <row r="4" spans="1:6" x14ac:dyDescent="0.25">
      <c r="A4" s="9">
        <v>0.3</v>
      </c>
      <c r="B4" t="s">
        <v>20</v>
      </c>
      <c r="C4">
        <f>$A$4*D3</f>
        <v>360</v>
      </c>
      <c r="D4">
        <f t="shared" ref="D4:F4" si="0">$A$4*E3</f>
        <v>180</v>
      </c>
      <c r="E4">
        <f t="shared" si="0"/>
        <v>180</v>
      </c>
      <c r="F4">
        <f t="shared" si="0"/>
        <v>0</v>
      </c>
    </row>
    <row r="5" spans="1:6" x14ac:dyDescent="0.25">
      <c r="B5" t="s">
        <v>21</v>
      </c>
      <c r="C5">
        <v>-500</v>
      </c>
      <c r="D5">
        <f>-C4</f>
        <v>-360</v>
      </c>
      <c r="E5">
        <f t="shared" ref="E5:F5" si="1">-D4</f>
        <v>-180</v>
      </c>
      <c r="F5">
        <f t="shared" si="1"/>
        <v>-180</v>
      </c>
    </row>
    <row r="7" spans="1:6" x14ac:dyDescent="0.25">
      <c r="B7" s="2" t="s">
        <v>22</v>
      </c>
      <c r="C7" s="2">
        <f>SUM(C3:C5)</f>
        <v>1260</v>
      </c>
      <c r="D7" s="2">
        <f t="shared" ref="D7:F7" si="2">SUM(D3:D5)</f>
        <v>1020</v>
      </c>
      <c r="E7" s="2">
        <f t="shared" si="2"/>
        <v>600</v>
      </c>
      <c r="F7" s="2">
        <f t="shared" si="2"/>
        <v>420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29" sqref="C29"/>
    </sheetView>
  </sheetViews>
  <sheetFormatPr defaultColWidth="14.7109375" defaultRowHeight="18" x14ac:dyDescent="0.25"/>
  <cols>
    <col min="1" max="1" width="14.7109375" style="20"/>
    <col min="2" max="2" width="43.28515625" style="20" bestFit="1" customWidth="1"/>
    <col min="3" max="6" width="19.28515625" style="20" bestFit="1" customWidth="1"/>
    <col min="7" max="16384" width="14.7109375" style="20"/>
  </cols>
  <sheetData>
    <row r="1" spans="1:6" x14ac:dyDescent="0.25">
      <c r="B1" s="98" t="s">
        <v>22</v>
      </c>
      <c r="C1" s="99">
        <v>1260</v>
      </c>
      <c r="D1" s="99">
        <v>1020</v>
      </c>
      <c r="E1" s="99">
        <v>600</v>
      </c>
      <c r="F1" s="99">
        <v>420</v>
      </c>
    </row>
    <row r="2" spans="1:6" x14ac:dyDescent="0.25">
      <c r="C2" s="27" t="s">
        <v>2</v>
      </c>
      <c r="D2" s="27" t="s">
        <v>3</v>
      </c>
      <c r="E2" s="27" t="s">
        <v>4</v>
      </c>
      <c r="F2" s="27" t="s">
        <v>5</v>
      </c>
    </row>
    <row r="3" spans="1:6" s="28" customFormat="1" x14ac:dyDescent="0.25">
      <c r="B3" s="28" t="s">
        <v>23</v>
      </c>
      <c r="C3" s="28">
        <f>producao!C7</f>
        <v>1260</v>
      </c>
      <c r="D3" s="28">
        <f>producao!D7</f>
        <v>1020</v>
      </c>
      <c r="E3" s="28">
        <f>producao!E7</f>
        <v>600</v>
      </c>
      <c r="F3" s="28">
        <f>producao!F7</f>
        <v>420</v>
      </c>
    </row>
    <row r="4" spans="1:6" x14ac:dyDescent="0.25">
      <c r="A4" s="22">
        <v>2</v>
      </c>
      <c r="B4" s="20" t="s">
        <v>24</v>
      </c>
      <c r="C4" s="23">
        <f>$A$4*C3</f>
        <v>2520</v>
      </c>
      <c r="D4" s="23">
        <f t="shared" ref="D4:F4" si="0">$A$4*D3</f>
        <v>2040</v>
      </c>
      <c r="E4" s="23">
        <f t="shared" si="0"/>
        <v>1200</v>
      </c>
      <c r="F4" s="23">
        <f t="shared" si="0"/>
        <v>840</v>
      </c>
    </row>
    <row r="5" spans="1:6" x14ac:dyDescent="0.25">
      <c r="A5" s="21">
        <v>0.1</v>
      </c>
      <c r="B5" s="20" t="s">
        <v>20</v>
      </c>
      <c r="C5" s="23">
        <f>$A$5*D4</f>
        <v>204</v>
      </c>
      <c r="D5" s="23">
        <f t="shared" ref="D5:F5" si="1">$A$5*E4</f>
        <v>120</v>
      </c>
      <c r="E5" s="23">
        <f t="shared" si="1"/>
        <v>84</v>
      </c>
      <c r="F5" s="23">
        <f t="shared" si="1"/>
        <v>0</v>
      </c>
    </row>
    <row r="6" spans="1:6" x14ac:dyDescent="0.25">
      <c r="B6" s="20" t="s">
        <v>21</v>
      </c>
      <c r="C6" s="20">
        <v>100</v>
      </c>
      <c r="D6" s="23">
        <f>C5</f>
        <v>204</v>
      </c>
      <c r="E6" s="23">
        <f t="shared" ref="E6:F6" si="2">D5</f>
        <v>120</v>
      </c>
      <c r="F6" s="23">
        <f t="shared" si="2"/>
        <v>84</v>
      </c>
    </row>
    <row r="7" spans="1:6" ht="18.75" thickBot="1" x14ac:dyDescent="0.3">
      <c r="B7" s="24" t="s">
        <v>25</v>
      </c>
      <c r="C7" s="25">
        <f>C4+C5-C6</f>
        <v>2624</v>
      </c>
      <c r="D7" s="25">
        <f t="shared" ref="D7:F7" si="3">D4+D5-D6</f>
        <v>1956</v>
      </c>
      <c r="E7" s="25">
        <f t="shared" si="3"/>
        <v>1164</v>
      </c>
      <c r="F7" s="25">
        <f t="shared" si="3"/>
        <v>756</v>
      </c>
    </row>
    <row r="9" spans="1:6" x14ac:dyDescent="0.25">
      <c r="A9" s="26">
        <v>1.5</v>
      </c>
      <c r="B9" s="20" t="s">
        <v>26</v>
      </c>
      <c r="C9" s="26">
        <f>C7*$A$9</f>
        <v>3936</v>
      </c>
      <c r="D9" s="26">
        <f t="shared" ref="D9:F9" si="4">D7*$A$9</f>
        <v>2934</v>
      </c>
      <c r="E9" s="26">
        <f t="shared" si="4"/>
        <v>1746</v>
      </c>
      <c r="F9" s="26">
        <f t="shared" si="4"/>
        <v>1134</v>
      </c>
    </row>
    <row r="10" spans="1:6" x14ac:dyDescent="0.25">
      <c r="B10" s="20" t="s">
        <v>27</v>
      </c>
      <c r="C10" s="82" t="s">
        <v>95</v>
      </c>
      <c r="D10" s="82" t="s">
        <v>95</v>
      </c>
      <c r="E10" s="82" t="s">
        <v>95</v>
      </c>
      <c r="F10" s="82" t="s">
        <v>95</v>
      </c>
    </row>
    <row r="12" spans="1:6" x14ac:dyDescent="0.25">
      <c r="C12" s="27" t="s">
        <v>2</v>
      </c>
      <c r="D12" s="27" t="s">
        <v>3</v>
      </c>
      <c r="E12" s="27" t="s">
        <v>4</v>
      </c>
      <c r="F12" s="27" t="s">
        <v>5</v>
      </c>
    </row>
    <row r="13" spans="1:6" s="28" customFormat="1" x14ac:dyDescent="0.25">
      <c r="B13" s="28" t="s">
        <v>28</v>
      </c>
      <c r="C13" s="28">
        <f>producao!C7</f>
        <v>1260</v>
      </c>
      <c r="D13" s="28">
        <f>producao!D7</f>
        <v>1020</v>
      </c>
      <c r="E13" s="28">
        <f>producao!E7</f>
        <v>600</v>
      </c>
      <c r="F13" s="28">
        <f>producao!F7</f>
        <v>420</v>
      </c>
    </row>
    <row r="14" spans="1:6" x14ac:dyDescent="0.25">
      <c r="A14" s="22">
        <v>1</v>
      </c>
      <c r="B14" s="20" t="s">
        <v>29</v>
      </c>
      <c r="C14" s="23">
        <f>$A$14*C13</f>
        <v>1260</v>
      </c>
      <c r="D14" s="23">
        <f t="shared" ref="D14:F14" si="5">$A$14*D13</f>
        <v>1020</v>
      </c>
      <c r="E14" s="23">
        <f t="shared" si="5"/>
        <v>600</v>
      </c>
      <c r="F14" s="23">
        <f t="shared" si="5"/>
        <v>420</v>
      </c>
    </row>
    <row r="15" spans="1:6" x14ac:dyDescent="0.25">
      <c r="A15" s="21">
        <v>0.1</v>
      </c>
      <c r="B15" s="20" t="s">
        <v>20</v>
      </c>
      <c r="C15" s="23">
        <f>$A$5*D14</f>
        <v>102</v>
      </c>
      <c r="D15" s="23">
        <f t="shared" ref="D15:F15" si="6">$A$5*E14</f>
        <v>60</v>
      </c>
      <c r="E15" s="23">
        <f t="shared" si="6"/>
        <v>42</v>
      </c>
      <c r="F15" s="23">
        <f t="shared" si="6"/>
        <v>0</v>
      </c>
    </row>
    <row r="16" spans="1:6" x14ac:dyDescent="0.25">
      <c r="B16" s="20" t="s">
        <v>21</v>
      </c>
      <c r="C16" s="20">
        <v>50</v>
      </c>
      <c r="D16" s="23">
        <f>C15</f>
        <v>102</v>
      </c>
      <c r="E16" s="23">
        <f t="shared" ref="E16:F16" si="7">D15</f>
        <v>60</v>
      </c>
      <c r="F16" s="23">
        <f t="shared" si="7"/>
        <v>42</v>
      </c>
    </row>
    <row r="17" spans="1:6" ht="18.75" thickBot="1" x14ac:dyDescent="0.3">
      <c r="B17" s="24" t="s">
        <v>68</v>
      </c>
      <c r="C17" s="25">
        <f>C14+C15-C16</f>
        <v>1312</v>
      </c>
      <c r="D17" s="25">
        <f t="shared" ref="D17" si="8">D14+D15-D16</f>
        <v>978</v>
      </c>
      <c r="E17" s="25">
        <f t="shared" ref="E17" si="9">E14+E15-E16</f>
        <v>582</v>
      </c>
      <c r="F17" s="25">
        <f t="shared" ref="F17" si="10">F14+F15-F16</f>
        <v>378</v>
      </c>
    </row>
    <row r="19" spans="1:6" x14ac:dyDescent="0.25">
      <c r="A19" s="26">
        <v>2</v>
      </c>
      <c r="B19" s="20" t="s">
        <v>92</v>
      </c>
      <c r="C19" s="26">
        <f>$A$19*C17</f>
        <v>2624</v>
      </c>
      <c r="D19" s="26">
        <f t="shared" ref="D19:F19" si="11">$A$19*D17</f>
        <v>1956</v>
      </c>
      <c r="E19" s="26">
        <f t="shared" si="11"/>
        <v>1164</v>
      </c>
      <c r="F19" s="26">
        <f t="shared" si="11"/>
        <v>756</v>
      </c>
    </row>
    <row r="20" spans="1:6" x14ac:dyDescent="0.25">
      <c r="B20" s="20" t="s">
        <v>27</v>
      </c>
      <c r="C20" s="20" t="s">
        <v>15</v>
      </c>
      <c r="D20" s="20" t="s">
        <v>15</v>
      </c>
      <c r="E20" s="20" t="s">
        <v>15</v>
      </c>
      <c r="F20" s="20" t="s">
        <v>15</v>
      </c>
    </row>
    <row r="22" spans="1:6" x14ac:dyDescent="0.25">
      <c r="C22" s="27" t="s">
        <v>2</v>
      </c>
      <c r="D22" s="27" t="s">
        <v>3</v>
      </c>
      <c r="E22" s="27" t="s">
        <v>4</v>
      </c>
      <c r="F22" s="27" t="s">
        <v>5</v>
      </c>
    </row>
    <row r="23" spans="1:6" x14ac:dyDescent="0.25">
      <c r="A23" s="28"/>
      <c r="B23" s="28" t="s">
        <v>30</v>
      </c>
      <c r="C23" s="28">
        <f>producao!C7</f>
        <v>1260</v>
      </c>
      <c r="D23" s="28">
        <f>producao!D7</f>
        <v>1020</v>
      </c>
      <c r="E23" s="28">
        <f>producao!E7</f>
        <v>600</v>
      </c>
      <c r="F23" s="28">
        <f>producao!F7</f>
        <v>420</v>
      </c>
    </row>
    <row r="24" spans="1:6" x14ac:dyDescent="0.25">
      <c r="A24" s="22">
        <v>1</v>
      </c>
      <c r="B24" s="20" t="s">
        <v>67</v>
      </c>
      <c r="C24" s="23"/>
      <c r="D24" s="23"/>
      <c r="E24" s="23"/>
      <c r="F24" s="23"/>
    </row>
    <row r="25" spans="1:6" x14ac:dyDescent="0.25">
      <c r="A25" s="21">
        <v>0.1</v>
      </c>
      <c r="B25" s="20" t="s">
        <v>20</v>
      </c>
      <c r="C25" s="23"/>
      <c r="D25" s="23"/>
      <c r="E25" s="23"/>
      <c r="F25" s="23"/>
    </row>
    <row r="26" spans="1:6" x14ac:dyDescent="0.25">
      <c r="B26" s="20" t="s">
        <v>21</v>
      </c>
      <c r="D26" s="23">
        <f>C25</f>
        <v>0</v>
      </c>
      <c r="E26" s="23">
        <f t="shared" ref="E26:F26" si="12">D25</f>
        <v>0</v>
      </c>
      <c r="F26" s="23">
        <f t="shared" si="12"/>
        <v>0</v>
      </c>
    </row>
    <row r="27" spans="1:6" ht="18.75" thickBot="1" x14ac:dyDescent="0.3">
      <c r="B27" s="24" t="s">
        <v>69</v>
      </c>
      <c r="C27" s="25">
        <v>700</v>
      </c>
      <c r="D27" s="25">
        <v>700</v>
      </c>
      <c r="E27" s="25">
        <v>200</v>
      </c>
      <c r="F27" s="25">
        <v>200</v>
      </c>
    </row>
    <row r="29" spans="1:6" x14ac:dyDescent="0.25">
      <c r="A29" s="29">
        <v>20</v>
      </c>
      <c r="B29" s="20" t="s">
        <v>93</v>
      </c>
      <c r="C29" s="26">
        <f>C27*($A$29*$A$30)</f>
        <v>77000</v>
      </c>
      <c r="D29" s="26">
        <f t="shared" ref="D29:F29" si="13">D27*($A$29*$A$30)</f>
        <v>77000</v>
      </c>
      <c r="E29" s="26">
        <f t="shared" si="13"/>
        <v>22000</v>
      </c>
      <c r="F29" s="26">
        <f t="shared" si="13"/>
        <v>22000</v>
      </c>
    </row>
    <row r="30" spans="1:6" x14ac:dyDescent="0.25">
      <c r="A30" s="70">
        <v>5.5</v>
      </c>
      <c r="B30" s="20" t="s">
        <v>27</v>
      </c>
      <c r="C30" s="20" t="s">
        <v>15</v>
      </c>
      <c r="D30" s="20" t="s">
        <v>15</v>
      </c>
      <c r="E30" s="20" t="s">
        <v>15</v>
      </c>
      <c r="F30" s="20" t="s">
        <v>15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F4" sqref="F4"/>
    </sheetView>
  </sheetViews>
  <sheetFormatPr defaultRowHeight="26.25" x14ac:dyDescent="0.4"/>
  <cols>
    <col min="1" max="1" width="2.7109375" style="39" customWidth="1"/>
    <col min="2" max="2" width="25.85546875" style="39" bestFit="1" customWidth="1"/>
    <col min="3" max="3" width="26.5703125" style="40" bestFit="1" customWidth="1"/>
    <col min="4" max="4" width="24.28515625" style="60" bestFit="1" customWidth="1"/>
    <col min="5" max="5" width="20.42578125" style="60" customWidth="1"/>
    <col min="6" max="6" width="25.7109375" style="60" customWidth="1"/>
    <col min="7" max="16384" width="9.140625" style="39"/>
  </cols>
  <sheetData>
    <row r="1" spans="2:10" x14ac:dyDescent="0.4">
      <c r="D1" s="60" t="s">
        <v>33</v>
      </c>
      <c r="E1" s="60" t="s">
        <v>70</v>
      </c>
      <c r="F1" s="60" t="s">
        <v>71</v>
      </c>
    </row>
    <row r="2" spans="2:10" x14ac:dyDescent="0.4">
      <c r="B2" s="39" t="s">
        <v>31</v>
      </c>
      <c r="C2" s="40">
        <v>50000</v>
      </c>
      <c r="D2" s="61">
        <v>5</v>
      </c>
      <c r="E2" s="62">
        <f>C2/D2/12</f>
        <v>833.33333333333337</v>
      </c>
      <c r="F2" s="63">
        <f>+E2*3</f>
        <v>2500</v>
      </c>
    </row>
    <row r="3" spans="2:10" x14ac:dyDescent="0.4">
      <c r="B3" s="39" t="s">
        <v>32</v>
      </c>
      <c r="C3" s="40">
        <v>40000</v>
      </c>
      <c r="D3" s="61">
        <v>5</v>
      </c>
      <c r="E3" s="62">
        <f>C3/D3/12</f>
        <v>666.66666666666663</v>
      </c>
      <c r="F3" s="63">
        <f>+E3*3</f>
        <v>2000</v>
      </c>
    </row>
    <row r="4" spans="2:10" x14ac:dyDescent="0.4">
      <c r="B4" s="64"/>
      <c r="C4" s="65">
        <f>SUM(C2:C3)</f>
        <v>90000</v>
      </c>
      <c r="F4" s="112">
        <f>SUM(F2:F3)</f>
        <v>4500</v>
      </c>
      <c r="G4" s="39" t="s">
        <v>111</v>
      </c>
    </row>
    <row r="5" spans="2:10" x14ac:dyDescent="0.4">
      <c r="B5" s="59"/>
      <c r="C5" s="86"/>
      <c r="D5" s="61"/>
      <c r="E5" s="61"/>
      <c r="F5" s="61"/>
      <c r="G5" s="59"/>
      <c r="H5" s="59"/>
      <c r="I5" s="59"/>
      <c r="J5" s="59"/>
    </row>
    <row r="6" spans="2:10" x14ac:dyDescent="0.4">
      <c r="B6" s="59" t="s">
        <v>101</v>
      </c>
      <c r="C6" s="100">
        <v>60</v>
      </c>
      <c r="D6" s="61" t="s">
        <v>102</v>
      </c>
      <c r="E6" s="61"/>
      <c r="F6" s="61"/>
      <c r="G6" s="59"/>
      <c r="H6" s="59"/>
      <c r="I6" s="59"/>
      <c r="J6" s="59"/>
    </row>
    <row r="7" spans="2:10" x14ac:dyDescent="0.4">
      <c r="B7" s="31"/>
      <c r="C7" s="31"/>
      <c r="D7" s="61"/>
      <c r="E7" s="61"/>
      <c r="F7" s="61"/>
      <c r="G7" s="59"/>
      <c r="H7" s="59"/>
      <c r="I7" s="59"/>
      <c r="J7" s="59"/>
    </row>
    <row r="8" spans="2:10" x14ac:dyDescent="0.4">
      <c r="B8" s="59" t="s">
        <v>104</v>
      </c>
      <c r="C8" s="86">
        <f>C4/C6</f>
        <v>1500</v>
      </c>
      <c r="D8" s="61"/>
      <c r="E8" s="59" t="s">
        <v>103</v>
      </c>
      <c r="F8" s="87">
        <v>0.08</v>
      </c>
      <c r="G8" s="61" t="s">
        <v>105</v>
      </c>
      <c r="H8" s="59"/>
      <c r="I8" s="59"/>
      <c r="J8" s="59"/>
    </row>
    <row r="9" spans="2:10" x14ac:dyDescent="0.4">
      <c r="B9" s="39" t="s">
        <v>103</v>
      </c>
      <c r="C9" s="40">
        <f>C8*F10</f>
        <v>29.139820362410251</v>
      </c>
      <c r="E9" s="59"/>
      <c r="F9" s="88">
        <f>(1.08^0.0833333333333333)-1</f>
        <v>6.4340301100034303E-3</v>
      </c>
      <c r="G9" s="61" t="s">
        <v>106</v>
      </c>
      <c r="H9" s="59"/>
      <c r="I9" s="59"/>
      <c r="J9" s="59"/>
    </row>
    <row r="10" spans="2:10" x14ac:dyDescent="0.4">
      <c r="C10" s="40">
        <f>SUM(C8:C9)</f>
        <v>1529.1398203624103</v>
      </c>
      <c r="E10" s="61"/>
      <c r="F10" s="89">
        <f>((1+F9)^3)-1</f>
        <v>1.9426546908273501E-2</v>
      </c>
      <c r="G10" s="59" t="s">
        <v>107</v>
      </c>
      <c r="H10" s="59"/>
      <c r="I10" s="59"/>
      <c r="J10" s="59"/>
    </row>
    <row r="11" spans="2:10" x14ac:dyDescent="0.4">
      <c r="B11" s="59"/>
      <c r="C11" s="86"/>
      <c r="D11" s="61"/>
      <c r="E11" s="61"/>
      <c r="F11" s="61"/>
      <c r="G11" s="59"/>
      <c r="H11" s="59"/>
      <c r="I11" s="59"/>
      <c r="J11" s="59"/>
    </row>
    <row r="12" spans="2:10" x14ac:dyDescent="0.4">
      <c r="B12" s="59"/>
      <c r="C12" s="86"/>
      <c r="D12" s="61"/>
      <c r="E12" s="61"/>
      <c r="F12" s="61"/>
      <c r="G12" s="59"/>
      <c r="H12" s="59"/>
      <c r="I12" s="59"/>
      <c r="J12" s="59"/>
    </row>
    <row r="13" spans="2:10" x14ac:dyDescent="0.4">
      <c r="B13" s="59"/>
      <c r="C13" s="86"/>
      <c r="D13" s="61"/>
      <c r="E13" s="61"/>
      <c r="F13" s="61"/>
      <c r="G13" s="59"/>
      <c r="H13" s="59"/>
      <c r="I13" s="59"/>
      <c r="J13" s="59"/>
    </row>
    <row r="14" spans="2:10" x14ac:dyDescent="0.4">
      <c r="B14" s="59"/>
      <c r="C14" s="86"/>
      <c r="D14" s="61"/>
      <c r="E14" s="61"/>
      <c r="F14" s="61"/>
      <c r="G14" s="59"/>
      <c r="H14" s="59"/>
      <c r="I14" s="59"/>
      <c r="J14" s="59"/>
    </row>
    <row r="15" spans="2:10" x14ac:dyDescent="0.4">
      <c r="B15" s="59"/>
      <c r="C15" s="86"/>
      <c r="D15" s="61"/>
      <c r="E15" s="61"/>
      <c r="F15" s="61"/>
      <c r="G15" s="59"/>
      <c r="H15" s="59"/>
      <c r="I15" s="59"/>
      <c r="J15" s="59"/>
    </row>
    <row r="16" spans="2:10" x14ac:dyDescent="0.4">
      <c r="B16" s="59"/>
      <c r="C16" s="86"/>
      <c r="D16" s="61"/>
      <c r="E16" s="61"/>
      <c r="F16" s="61"/>
      <c r="G16" s="59"/>
      <c r="H16" s="59"/>
      <c r="I16" s="59"/>
      <c r="J16" s="5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9" sqref="D19"/>
    </sheetView>
  </sheetViews>
  <sheetFormatPr defaultColWidth="14.7109375" defaultRowHeight="18" x14ac:dyDescent="0.25"/>
  <cols>
    <col min="1" max="1" width="17.7109375" style="30" bestFit="1" customWidth="1"/>
    <col min="2" max="2" width="43.28515625" style="30" bestFit="1" customWidth="1"/>
    <col min="3" max="3" width="21.7109375" style="30" bestFit="1" customWidth="1"/>
    <col min="4" max="4" width="22.5703125" style="30" customWidth="1"/>
    <col min="5" max="5" width="20.5703125" style="30" customWidth="1"/>
    <col min="6" max="6" width="20" style="30" bestFit="1" customWidth="1"/>
    <col min="7" max="16384" width="14.7109375" style="30"/>
  </cols>
  <sheetData>
    <row r="1" spans="1:7" x14ac:dyDescent="0.25">
      <c r="B1" s="30" t="s">
        <v>34</v>
      </c>
      <c r="C1" s="27" t="s">
        <v>2</v>
      </c>
      <c r="D1" s="27" t="s">
        <v>3</v>
      </c>
      <c r="E1" s="27" t="s">
        <v>4</v>
      </c>
      <c r="F1" s="27" t="s">
        <v>5</v>
      </c>
    </row>
    <row r="2" spans="1:7" x14ac:dyDescent="0.25">
      <c r="C2" s="32"/>
      <c r="D2" s="32"/>
      <c r="E2" s="32"/>
      <c r="F2" s="32"/>
    </row>
    <row r="3" spans="1:7" x14ac:dyDescent="0.25">
      <c r="B3" s="30" t="s">
        <v>35</v>
      </c>
      <c r="C3" s="30">
        <f>producao!C7</f>
        <v>1260</v>
      </c>
      <c r="D3" s="30">
        <f>producao!D7</f>
        <v>1020</v>
      </c>
      <c r="E3" s="30">
        <f>producao!E7</f>
        <v>600</v>
      </c>
      <c r="F3" s="30">
        <f>producao!F7</f>
        <v>420</v>
      </c>
    </row>
    <row r="4" spans="1:7" x14ac:dyDescent="0.25">
      <c r="A4" s="33">
        <v>5</v>
      </c>
      <c r="B4" s="30" t="s">
        <v>78</v>
      </c>
      <c r="C4" s="34">
        <f>$A$4*C3</f>
        <v>6300</v>
      </c>
      <c r="D4" s="34">
        <f t="shared" ref="D4:F4" si="0">$A$4*D3</f>
        <v>5100</v>
      </c>
      <c r="E4" s="34">
        <f t="shared" si="0"/>
        <v>3000</v>
      </c>
      <c r="F4" s="34">
        <f t="shared" si="0"/>
        <v>2100</v>
      </c>
      <c r="G4" s="30" t="s">
        <v>36</v>
      </c>
    </row>
    <row r="5" spans="1:7" x14ac:dyDescent="0.25">
      <c r="A5" s="35"/>
      <c r="C5" s="34"/>
      <c r="D5" s="34"/>
      <c r="E5" s="34"/>
      <c r="F5" s="34"/>
    </row>
    <row r="6" spans="1:7" x14ac:dyDescent="0.25">
      <c r="A6" s="30">
        <v>220</v>
      </c>
      <c r="B6" s="30" t="s">
        <v>37</v>
      </c>
      <c r="C6" s="34">
        <f>C4/$A$6</f>
        <v>28.636363636363637</v>
      </c>
      <c r="D6" s="34">
        <f t="shared" ref="D6:F6" si="1">D4/$A$6</f>
        <v>23.181818181818183</v>
      </c>
      <c r="E6" s="34">
        <f t="shared" si="1"/>
        <v>13.636363636363637</v>
      </c>
      <c r="F6" s="34">
        <f t="shared" si="1"/>
        <v>9.545454545454545</v>
      </c>
    </row>
    <row r="7" spans="1:7" ht="18.75" thickBot="1" x14ac:dyDescent="0.3">
      <c r="B7" s="36"/>
      <c r="C7" s="37">
        <f>ROUNDUP(C6,0)</f>
        <v>29</v>
      </c>
      <c r="D7" s="37">
        <f t="shared" ref="D7:F7" si="2">ROUNDUP(D6,0)</f>
        <v>24</v>
      </c>
      <c r="E7" s="37">
        <f t="shared" si="2"/>
        <v>14</v>
      </c>
      <c r="F7" s="37">
        <f t="shared" si="2"/>
        <v>10</v>
      </c>
    </row>
    <row r="9" spans="1:7" x14ac:dyDescent="0.25">
      <c r="A9" s="38">
        <v>2500</v>
      </c>
      <c r="B9" s="30" t="s">
        <v>38</v>
      </c>
      <c r="C9" s="38">
        <f>C7*$A$9</f>
        <v>72500</v>
      </c>
      <c r="D9" s="38">
        <f t="shared" ref="D9:F9" si="3">D7*$A$9</f>
        <v>60000</v>
      </c>
      <c r="E9" s="38">
        <f t="shared" si="3"/>
        <v>35000</v>
      </c>
      <c r="F9" s="38">
        <f t="shared" si="3"/>
        <v>25000</v>
      </c>
    </row>
    <row r="10" spans="1:7" x14ac:dyDescent="0.25">
      <c r="A10" s="41">
        <f>0.2+0.08+0.075+0.04</f>
        <v>0.39500000000000002</v>
      </c>
      <c r="B10" s="30" t="s">
        <v>39</v>
      </c>
      <c r="C10" s="42">
        <f>$A$10*C9</f>
        <v>28637.5</v>
      </c>
      <c r="D10" s="42">
        <f t="shared" ref="D10:F10" si="4">$A$10*D9</f>
        <v>23700</v>
      </c>
      <c r="E10" s="42">
        <f t="shared" si="4"/>
        <v>13825</v>
      </c>
      <c r="F10" s="42">
        <f t="shared" si="4"/>
        <v>9875</v>
      </c>
    </row>
    <row r="11" spans="1:7" x14ac:dyDescent="0.25">
      <c r="A11" s="41"/>
      <c r="B11" s="71"/>
      <c r="C11" s="72">
        <f>SUM(C9:C10)</f>
        <v>101137.5</v>
      </c>
      <c r="D11" s="72">
        <f t="shared" ref="D11:F11" si="5">SUM(D9:D10)</f>
        <v>83700</v>
      </c>
      <c r="E11" s="72">
        <f t="shared" si="5"/>
        <v>48825</v>
      </c>
      <c r="F11" s="72">
        <f t="shared" si="5"/>
        <v>34875</v>
      </c>
    </row>
    <row r="13" spans="1:7" x14ac:dyDescent="0.25">
      <c r="B13" s="30" t="s">
        <v>77</v>
      </c>
      <c r="C13" s="34">
        <f>C6*$A$6</f>
        <v>6300</v>
      </c>
      <c r="D13" s="34">
        <f t="shared" ref="D13:F13" si="6">D6*$A$6</f>
        <v>5100</v>
      </c>
      <c r="E13" s="34">
        <f t="shared" si="6"/>
        <v>3000</v>
      </c>
      <c r="F13" s="34">
        <f t="shared" si="6"/>
        <v>2100</v>
      </c>
    </row>
    <row r="14" spans="1:7" x14ac:dyDescent="0.25">
      <c r="B14" s="30" t="s">
        <v>79</v>
      </c>
      <c r="C14" s="38">
        <f>C11/C13</f>
        <v>16.053571428571427</v>
      </c>
      <c r="D14" s="38">
        <f t="shared" ref="D14:F14" si="7">D11/D13</f>
        <v>16.411764705882351</v>
      </c>
      <c r="E14" s="38">
        <f t="shared" si="7"/>
        <v>16.274999999999999</v>
      </c>
      <c r="F14" s="38">
        <f t="shared" si="7"/>
        <v>16.607142857142858</v>
      </c>
      <c r="G14" s="106">
        <f>AVERAGE(C14:F14)</f>
        <v>16.336869747899158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7" sqref="G7"/>
    </sheetView>
  </sheetViews>
  <sheetFormatPr defaultColWidth="14.7109375" defaultRowHeight="18" x14ac:dyDescent="0.25"/>
  <cols>
    <col min="1" max="1" width="17.7109375" style="30" bestFit="1" customWidth="1"/>
    <col min="2" max="2" width="43.28515625" style="30" bestFit="1" customWidth="1"/>
    <col min="3" max="3" width="20" style="30" bestFit="1" customWidth="1"/>
    <col min="4" max="4" width="22.5703125" style="30" customWidth="1"/>
    <col min="5" max="5" width="20.5703125" style="30" customWidth="1"/>
    <col min="6" max="6" width="19.28515625" style="30" bestFit="1" customWidth="1"/>
    <col min="7" max="16384" width="14.7109375" style="30"/>
  </cols>
  <sheetData>
    <row r="1" spans="1:7" x14ac:dyDescent="0.25">
      <c r="B1" s="43" t="s">
        <v>40</v>
      </c>
      <c r="C1" s="27" t="s">
        <v>2</v>
      </c>
      <c r="D1" s="27" t="s">
        <v>3</v>
      </c>
      <c r="E1" s="27" t="s">
        <v>4</v>
      </c>
      <c r="F1" s="27" t="s">
        <v>5</v>
      </c>
    </row>
    <row r="2" spans="1:7" x14ac:dyDescent="0.25">
      <c r="C2" s="32"/>
      <c r="D2" s="32"/>
      <c r="E2" s="32"/>
      <c r="F2" s="32"/>
    </row>
    <row r="3" spans="1:7" s="101" customFormat="1" x14ac:dyDescent="0.25">
      <c r="B3" s="101" t="s">
        <v>41</v>
      </c>
      <c r="C3" s="102">
        <v>2.5</v>
      </c>
      <c r="D3" s="102">
        <v>2.5</v>
      </c>
      <c r="E3" s="102">
        <v>1.5</v>
      </c>
      <c r="F3" s="102">
        <v>1.5</v>
      </c>
    </row>
    <row r="4" spans="1:7" s="101" customFormat="1" x14ac:dyDescent="0.25">
      <c r="A4" s="103"/>
      <c r="B4" s="101" t="s">
        <v>42</v>
      </c>
      <c r="C4" s="102">
        <v>1</v>
      </c>
      <c r="D4" s="102">
        <v>1</v>
      </c>
      <c r="E4" s="102">
        <v>2</v>
      </c>
      <c r="F4" s="102">
        <v>2</v>
      </c>
    </row>
    <row r="5" spans="1:7" x14ac:dyDescent="0.25">
      <c r="B5" s="30" t="s">
        <v>80</v>
      </c>
      <c r="C5" s="42">
        <f>C13/producao!C7</f>
        <v>0.25396825396825395</v>
      </c>
      <c r="D5" s="42">
        <f>D13/producao!D7</f>
        <v>0.31372549019607843</v>
      </c>
      <c r="E5" s="42">
        <f>E13/producao!E7</f>
        <v>0.53333333333333333</v>
      </c>
      <c r="F5" s="42">
        <f>F13/producao!F7</f>
        <v>0.76190476190476186</v>
      </c>
    </row>
    <row r="6" spans="1:7" x14ac:dyDescent="0.25">
      <c r="C6" s="38"/>
      <c r="D6" s="38"/>
      <c r="E6" s="38"/>
      <c r="F6" s="38"/>
    </row>
    <row r="7" spans="1:7" ht="18.75" thickBot="1" x14ac:dyDescent="0.3">
      <c r="B7" s="36"/>
      <c r="C7" s="73">
        <f>SUM(C3:C6)</f>
        <v>3.753968253968254</v>
      </c>
      <c r="D7" s="73">
        <f t="shared" ref="D7:F7" si="0">SUM(D3:D6)</f>
        <v>3.8137254901960782</v>
      </c>
      <c r="E7" s="73">
        <f t="shared" si="0"/>
        <v>4.0333333333333332</v>
      </c>
      <c r="F7" s="73">
        <f t="shared" si="0"/>
        <v>4.2619047619047619</v>
      </c>
      <c r="G7" s="105">
        <f>AVERAGE(C7:F7)</f>
        <v>3.965732959850607</v>
      </c>
    </row>
    <row r="9" spans="1:7" x14ac:dyDescent="0.25">
      <c r="A9" s="38"/>
      <c r="C9" s="38"/>
      <c r="D9" s="38"/>
      <c r="E9" s="38"/>
      <c r="F9" s="38"/>
    </row>
    <row r="10" spans="1:7" x14ac:dyDescent="0.25">
      <c r="A10" s="41"/>
      <c r="C10" s="42"/>
      <c r="D10" s="42"/>
      <c r="E10" s="42"/>
      <c r="F10" s="42"/>
    </row>
    <row r="11" spans="1:7" x14ac:dyDescent="0.25">
      <c r="B11" s="30" t="s">
        <v>72</v>
      </c>
      <c r="C11" s="38">
        <f>C3*producao!C7</f>
        <v>3150</v>
      </c>
      <c r="D11" s="38">
        <f>D3*producao!D7</f>
        <v>2550</v>
      </c>
      <c r="E11" s="38">
        <f>E3*producao!E7</f>
        <v>900</v>
      </c>
      <c r="F11" s="38">
        <f>F3*producao!F7</f>
        <v>630</v>
      </c>
    </row>
    <row r="12" spans="1:7" x14ac:dyDescent="0.25">
      <c r="B12" s="30" t="s">
        <v>73</v>
      </c>
      <c r="C12" s="42">
        <f>C4*producao!C7</f>
        <v>1260</v>
      </c>
      <c r="D12" s="42">
        <f>D4*producao!D7</f>
        <v>1020</v>
      </c>
      <c r="E12" s="42">
        <f>E4*producao!E7</f>
        <v>1200</v>
      </c>
      <c r="F12" s="42">
        <f>F4*producao!F7</f>
        <v>840</v>
      </c>
    </row>
    <row r="13" spans="1:7" s="101" customFormat="1" x14ac:dyDescent="0.25">
      <c r="A13" s="104"/>
      <c r="B13" s="101" t="s">
        <v>43</v>
      </c>
      <c r="C13" s="102">
        <v>320</v>
      </c>
      <c r="D13" s="102">
        <v>320</v>
      </c>
      <c r="E13" s="102">
        <v>320</v>
      </c>
      <c r="F13" s="102">
        <v>320</v>
      </c>
    </row>
    <row r="14" spans="1:7" x14ac:dyDescent="0.25">
      <c r="B14" s="71"/>
      <c r="C14" s="83">
        <f>SUM(C11:C13)</f>
        <v>4730</v>
      </c>
      <c r="D14" s="83">
        <f t="shared" ref="D14:F14" si="1">SUM(D11:D13)</f>
        <v>3890</v>
      </c>
      <c r="E14" s="83">
        <f t="shared" si="1"/>
        <v>2420</v>
      </c>
      <c r="F14" s="83">
        <f t="shared" si="1"/>
        <v>1790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B6" sqref="B6"/>
    </sheetView>
  </sheetViews>
  <sheetFormatPr defaultColWidth="34" defaultRowHeight="23.25" x14ac:dyDescent="0.35"/>
  <cols>
    <col min="1" max="1" width="34" style="68"/>
    <col min="2" max="2" width="25.7109375" style="69" customWidth="1"/>
    <col min="3" max="5" width="25.7109375" style="67" customWidth="1"/>
    <col min="6" max="16384" width="34" style="67"/>
  </cols>
  <sheetData>
    <row r="2" spans="1:5" x14ac:dyDescent="0.35">
      <c r="B2" s="27" t="s">
        <v>2</v>
      </c>
      <c r="C2" s="27" t="s">
        <v>3</v>
      </c>
      <c r="D2" s="27" t="s">
        <v>4</v>
      </c>
      <c r="E2" s="27" t="s">
        <v>5</v>
      </c>
    </row>
    <row r="3" spans="1:5" x14ac:dyDescent="0.35">
      <c r="A3" s="68" t="s">
        <v>74</v>
      </c>
      <c r="B3" s="69">
        <f>(MP!A4*MP!A9)+(MP!A14*MP!A19)+(MP!A24*MP!A29*MP!A30)</f>
        <v>115</v>
      </c>
    </row>
    <row r="4" spans="1:5" x14ac:dyDescent="0.35">
      <c r="A4" s="68" t="s">
        <v>75</v>
      </c>
      <c r="B4" s="69">
        <f>mod!A4*mod!G14</f>
        <v>81.684348739495789</v>
      </c>
    </row>
    <row r="5" spans="1:5" x14ac:dyDescent="0.35">
      <c r="A5" s="68" t="s">
        <v>76</v>
      </c>
      <c r="B5" s="69">
        <f>cif!G7</f>
        <v>3.965732959850607</v>
      </c>
    </row>
    <row r="6" spans="1:5" x14ac:dyDescent="0.35">
      <c r="A6" s="74"/>
      <c r="B6" s="75">
        <f>SUM(B3:B5)</f>
        <v>200.6500816993464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9" sqref="A9:A10"/>
    </sheetView>
  </sheetViews>
  <sheetFormatPr defaultColWidth="14.7109375" defaultRowHeight="18" x14ac:dyDescent="0.25"/>
  <cols>
    <col min="1" max="1" width="17.7109375" style="30" bestFit="1" customWidth="1"/>
    <col min="2" max="2" width="43.28515625" style="30" bestFit="1" customWidth="1"/>
    <col min="3" max="3" width="20" style="30" bestFit="1" customWidth="1"/>
    <col min="4" max="4" width="22.5703125" style="30" customWidth="1"/>
    <col min="5" max="5" width="20.5703125" style="30" customWidth="1"/>
    <col min="6" max="6" width="19.28515625" style="30" bestFit="1" customWidth="1"/>
    <col min="7" max="16384" width="14.7109375" style="30"/>
  </cols>
  <sheetData>
    <row r="1" spans="1:6" x14ac:dyDescent="0.25">
      <c r="B1" s="43" t="s">
        <v>44</v>
      </c>
      <c r="C1" s="27" t="s">
        <v>2</v>
      </c>
      <c r="D1" s="27" t="s">
        <v>3</v>
      </c>
      <c r="E1" s="27" t="s">
        <v>4</v>
      </c>
      <c r="F1" s="27" t="s">
        <v>5</v>
      </c>
    </row>
    <row r="2" spans="1:6" x14ac:dyDescent="0.25">
      <c r="C2" s="32"/>
      <c r="D2" s="32"/>
      <c r="E2" s="32"/>
      <c r="F2" s="32"/>
    </row>
    <row r="3" spans="1:6" x14ac:dyDescent="0.25">
      <c r="B3" s="45" t="s">
        <v>45</v>
      </c>
      <c r="C3" s="46"/>
      <c r="D3" s="46"/>
      <c r="E3" s="46"/>
      <c r="F3" s="46"/>
    </row>
    <row r="4" spans="1:6" x14ac:dyDescent="0.25">
      <c r="A4" s="33"/>
      <c r="B4" s="30" t="s">
        <v>46</v>
      </c>
      <c r="C4" s="38">
        <v>350</v>
      </c>
      <c r="D4" s="38">
        <v>350</v>
      </c>
      <c r="E4" s="38">
        <v>350</v>
      </c>
      <c r="F4" s="38">
        <v>350</v>
      </c>
    </row>
    <row r="5" spans="1:6" x14ac:dyDescent="0.25">
      <c r="A5" s="35"/>
      <c r="B5" s="30" t="s">
        <v>47</v>
      </c>
      <c r="C5" s="38">
        <v>50</v>
      </c>
      <c r="D5" s="38">
        <v>50</v>
      </c>
      <c r="E5" s="38">
        <v>50</v>
      </c>
      <c r="F5" s="38">
        <v>50</v>
      </c>
    </row>
    <row r="6" spans="1:6" x14ac:dyDescent="0.25">
      <c r="B6" s="30" t="s">
        <v>48</v>
      </c>
      <c r="C6" s="38">
        <v>75</v>
      </c>
      <c r="D6" s="38">
        <v>75</v>
      </c>
      <c r="E6" s="38">
        <v>75</v>
      </c>
      <c r="F6" s="38">
        <v>75</v>
      </c>
    </row>
    <row r="7" spans="1:6" x14ac:dyDescent="0.25">
      <c r="B7" s="30" t="s">
        <v>49</v>
      </c>
      <c r="C7" s="38">
        <v>10</v>
      </c>
      <c r="D7" s="38">
        <v>10</v>
      </c>
      <c r="E7" s="38">
        <v>10</v>
      </c>
      <c r="F7" s="38">
        <v>10</v>
      </c>
    </row>
    <row r="8" spans="1:6" x14ac:dyDescent="0.25">
      <c r="B8" s="30" t="s">
        <v>50</v>
      </c>
      <c r="C8" s="38">
        <v>5</v>
      </c>
      <c r="D8" s="38">
        <v>5</v>
      </c>
      <c r="E8" s="38">
        <v>5</v>
      </c>
      <c r="F8" s="38">
        <v>5</v>
      </c>
    </row>
    <row r="9" spans="1:6" x14ac:dyDescent="0.25">
      <c r="A9" s="76" t="s">
        <v>55</v>
      </c>
      <c r="B9" s="76" t="s">
        <v>51</v>
      </c>
      <c r="C9" s="77">
        <v>500</v>
      </c>
      <c r="D9" s="77">
        <v>500</v>
      </c>
      <c r="E9" s="77">
        <v>500</v>
      </c>
      <c r="F9" s="77">
        <v>500</v>
      </c>
    </row>
    <row r="10" spans="1:6" x14ac:dyDescent="0.25">
      <c r="A10" s="76" t="s">
        <v>55</v>
      </c>
      <c r="B10" s="76" t="s">
        <v>52</v>
      </c>
      <c r="C10" s="77">
        <v>50</v>
      </c>
      <c r="D10" s="77">
        <v>50</v>
      </c>
      <c r="E10" s="77">
        <v>50</v>
      </c>
      <c r="F10" s="77">
        <v>50</v>
      </c>
    </row>
    <row r="11" spans="1:6" x14ac:dyDescent="0.25">
      <c r="C11" s="38"/>
      <c r="D11" s="38"/>
      <c r="E11" s="38"/>
      <c r="F11" s="38"/>
    </row>
    <row r="12" spans="1:6" x14ac:dyDescent="0.25">
      <c r="B12" s="45" t="s">
        <v>53</v>
      </c>
      <c r="C12" s="46"/>
      <c r="D12" s="46"/>
      <c r="E12" s="46"/>
      <c r="F12" s="46"/>
    </row>
    <row r="13" spans="1:6" x14ac:dyDescent="0.25">
      <c r="A13" s="35">
        <v>0.03</v>
      </c>
      <c r="B13" s="30" t="s">
        <v>54</v>
      </c>
      <c r="C13" s="38" t="s">
        <v>56</v>
      </c>
      <c r="D13" s="38"/>
      <c r="E13" s="38"/>
      <c r="F13" s="38"/>
    </row>
    <row r="14" spans="1:6" ht="18.75" thickBot="1" x14ac:dyDescent="0.3">
      <c r="B14" s="36"/>
      <c r="C14" s="37"/>
      <c r="D14" s="37"/>
      <c r="E14" s="37"/>
      <c r="F14" s="37"/>
    </row>
    <row r="16" spans="1:6" x14ac:dyDescent="0.25">
      <c r="A16" s="38"/>
      <c r="C16" s="38"/>
      <c r="D16" s="38"/>
      <c r="E16" s="38"/>
      <c r="F16" s="38"/>
    </row>
    <row r="17" spans="1:6" x14ac:dyDescent="0.25">
      <c r="A17" s="41"/>
      <c r="C17" s="42"/>
      <c r="D17" s="42"/>
      <c r="E17" s="42"/>
      <c r="F17" s="42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7"/>
  <sheetViews>
    <sheetView tabSelected="1" zoomScale="80" zoomScaleNormal="80" workbookViewId="0">
      <selection activeCell="B7" sqref="B7"/>
    </sheetView>
  </sheetViews>
  <sheetFormatPr defaultColWidth="14.7109375" defaultRowHeight="18" x14ac:dyDescent="0.25"/>
  <cols>
    <col min="1" max="1" width="6.85546875" style="30" bestFit="1" customWidth="1"/>
    <col min="2" max="2" width="31" style="30" customWidth="1"/>
    <col min="3" max="3" width="15.42578125" style="30" bestFit="1" customWidth="1"/>
    <col min="4" max="4" width="14.140625" style="30" bestFit="1" customWidth="1"/>
    <col min="5" max="6" width="13.7109375" style="30" bestFit="1" customWidth="1"/>
    <col min="7" max="7" width="9.85546875" style="30" customWidth="1"/>
    <col min="8" max="8" width="5.7109375" style="30" customWidth="1"/>
    <col min="9" max="9" width="30.85546875" style="30" customWidth="1"/>
    <col min="10" max="13" width="14.42578125" style="30" customWidth="1"/>
    <col min="14" max="16384" width="14.7109375" style="30"/>
  </cols>
  <sheetData>
    <row r="1" spans="1:14" s="52" customFormat="1" ht="15.75" x14ac:dyDescent="0.25">
      <c r="B1" s="53"/>
      <c r="C1" s="78" t="s">
        <v>2</v>
      </c>
      <c r="D1" s="79" t="s">
        <v>3</v>
      </c>
      <c r="E1" s="78" t="s">
        <v>4</v>
      </c>
      <c r="F1" s="79" t="s">
        <v>5</v>
      </c>
      <c r="I1" s="53"/>
      <c r="J1" s="78" t="s">
        <v>2</v>
      </c>
      <c r="K1" s="79" t="s">
        <v>3</v>
      </c>
      <c r="L1" s="78" t="s">
        <v>4</v>
      </c>
      <c r="M1" s="79" t="s">
        <v>5</v>
      </c>
    </row>
    <row r="2" spans="1:14" x14ac:dyDescent="0.25">
      <c r="B2" s="44" t="s">
        <v>63</v>
      </c>
      <c r="C2" s="56"/>
      <c r="D2" s="56"/>
      <c r="E2" s="56"/>
      <c r="F2" s="56"/>
      <c r="I2" s="45" t="s">
        <v>64</v>
      </c>
      <c r="J2" s="49"/>
      <c r="K2" s="49"/>
      <c r="L2" s="49"/>
      <c r="M2" s="49"/>
    </row>
    <row r="3" spans="1:14" x14ac:dyDescent="0.25">
      <c r="A3" s="33"/>
      <c r="B3" s="30" t="s">
        <v>57</v>
      </c>
      <c r="C3" s="50">
        <v>5000</v>
      </c>
      <c r="D3" s="50"/>
      <c r="E3" s="50"/>
      <c r="F3" s="50"/>
      <c r="J3" s="50"/>
      <c r="K3" s="50"/>
      <c r="L3" s="50"/>
      <c r="M3" s="50"/>
    </row>
    <row r="4" spans="1:14" x14ac:dyDescent="0.25">
      <c r="A4" s="35"/>
      <c r="B4" s="57" t="s">
        <v>58</v>
      </c>
      <c r="C4" s="58">
        <f>SUM(C5:C7)</f>
        <v>359915.9262230405</v>
      </c>
      <c r="D4" s="58">
        <f t="shared" ref="D4:F4" si="0">SUM(D5:D7)</f>
        <v>548443.31614939496</v>
      </c>
      <c r="E4" s="58">
        <f t="shared" si="0"/>
        <v>359915.92622304044</v>
      </c>
      <c r="F4" s="58">
        <f t="shared" si="0"/>
        <v>257082.80444502889</v>
      </c>
      <c r="I4" s="48" t="s">
        <v>65</v>
      </c>
      <c r="J4" s="51">
        <f>+vendas!H12</f>
        <v>599859.87703840085</v>
      </c>
      <c r="K4" s="51">
        <f>+vendas!I12</f>
        <v>514165.60889005783</v>
      </c>
      <c r="L4" s="51">
        <f>+vendas!J12</f>
        <v>257082.80444502892</v>
      </c>
      <c r="M4" s="51">
        <f>+vendas!K12</f>
        <v>257082.80444502892</v>
      </c>
      <c r="N4" s="30" t="s">
        <v>81</v>
      </c>
    </row>
    <row r="5" spans="1:14" x14ac:dyDescent="0.25">
      <c r="A5" s="35">
        <v>0.6</v>
      </c>
      <c r="B5" s="47" t="s">
        <v>59</v>
      </c>
      <c r="C5" s="50">
        <f>J4*$A$5</f>
        <v>359915.9262230405</v>
      </c>
      <c r="D5" s="50">
        <f t="shared" ref="D5:F5" si="1">K4*$A$5</f>
        <v>308499.36533403466</v>
      </c>
      <c r="E5" s="50">
        <f t="shared" si="1"/>
        <v>154249.68266701733</v>
      </c>
      <c r="F5" s="50">
        <f t="shared" si="1"/>
        <v>154249.68266701733</v>
      </c>
      <c r="G5" s="30" t="s">
        <v>81</v>
      </c>
      <c r="I5" s="84" t="s">
        <v>99</v>
      </c>
      <c r="J5" s="85">
        <f>vendas!H3</f>
        <v>1400.1841136244082</v>
      </c>
      <c r="K5" s="85">
        <f>vendas!I3</f>
        <v>1200.157811678064</v>
      </c>
      <c r="L5" s="85">
        <f>vendas!J3</f>
        <v>600.07890583903202</v>
      </c>
      <c r="M5" s="85">
        <f>vendas!K3</f>
        <v>600.07890583903202</v>
      </c>
    </row>
    <row r="6" spans="1:14" x14ac:dyDescent="0.25">
      <c r="A6" s="35">
        <v>0.4</v>
      </c>
      <c r="B6" s="47" t="s">
        <v>60</v>
      </c>
      <c r="C6" s="50"/>
      <c r="D6" s="50">
        <f>J4*$A$6</f>
        <v>239943.95081536035</v>
      </c>
      <c r="E6" s="50">
        <f t="shared" ref="E6:F6" si="2">K4*$A$6</f>
        <v>205666.24355602314</v>
      </c>
      <c r="F6" s="50">
        <f t="shared" si="2"/>
        <v>102833.12177801157</v>
      </c>
      <c r="G6" s="30" t="s">
        <v>81</v>
      </c>
    </row>
    <row r="7" spans="1:14" x14ac:dyDescent="0.25">
      <c r="C7" s="50"/>
      <c r="D7" s="50"/>
      <c r="E7" s="50"/>
      <c r="F7" s="50"/>
      <c r="I7" s="48" t="s">
        <v>115</v>
      </c>
      <c r="J7" s="51">
        <f>+J8+J9</f>
        <v>172459.71464854025</v>
      </c>
      <c r="K7" s="51">
        <f t="shared" ref="K7:M7" si="3">+K8+K9</f>
        <v>147822.61255589162</v>
      </c>
      <c r="L7" s="51">
        <f t="shared" si="3"/>
        <v>73911.306277945812</v>
      </c>
      <c r="M7" s="51">
        <f t="shared" si="3"/>
        <v>73911.306277945812</v>
      </c>
    </row>
    <row r="8" spans="1:14" x14ac:dyDescent="0.25">
      <c r="B8" s="57" t="s">
        <v>61</v>
      </c>
      <c r="C8" s="58">
        <f>SUM(C9:C35)</f>
        <v>222963.09138011714</v>
      </c>
      <c r="D8" s="58">
        <f t="shared" ref="D8:F8" si="4">SUM(D9:D35)</f>
        <v>574525.35327403818</v>
      </c>
      <c r="E8" s="58">
        <f t="shared" si="4"/>
        <v>385097.66413991462</v>
      </c>
      <c r="F8" s="58">
        <f t="shared" si="4"/>
        <v>246624.9630286574</v>
      </c>
      <c r="I8" s="30" t="s">
        <v>116</v>
      </c>
      <c r="J8" s="50">
        <f>-vendas!H13</f>
        <v>149964.96925960021</v>
      </c>
      <c r="K8" s="50">
        <f>-vendas!I13</f>
        <v>128541.40222251446</v>
      </c>
      <c r="L8" s="50">
        <f>-vendas!J13</f>
        <v>64270.701111257229</v>
      </c>
      <c r="M8" s="50">
        <f>-vendas!K13</f>
        <v>64270.701111257229</v>
      </c>
      <c r="N8" s="30" t="s">
        <v>118</v>
      </c>
    </row>
    <row r="9" spans="1:14" x14ac:dyDescent="0.25">
      <c r="B9" s="30" t="s">
        <v>116</v>
      </c>
      <c r="C9" s="50"/>
      <c r="D9" s="50">
        <f>-vendas!H13</f>
        <v>149964.96925960021</v>
      </c>
      <c r="E9" s="50">
        <f>-vendas!I13</f>
        <v>128541.40222251446</v>
      </c>
      <c r="F9" s="50">
        <f>-vendas!J13</f>
        <v>64270.701111257229</v>
      </c>
      <c r="G9" s="30" t="s">
        <v>118</v>
      </c>
      <c r="I9" s="30" t="s">
        <v>117</v>
      </c>
      <c r="J9" s="66">
        <f>-vendas!H14</f>
        <v>22494.745388940035</v>
      </c>
      <c r="K9" s="66">
        <f>-vendas!I14</f>
        <v>19281.21033337717</v>
      </c>
      <c r="L9" s="66">
        <f>-vendas!J14</f>
        <v>9640.6051666885851</v>
      </c>
      <c r="M9" s="66">
        <f>-vendas!K14</f>
        <v>9640.6051666885851</v>
      </c>
      <c r="N9" s="30" t="s">
        <v>119</v>
      </c>
    </row>
    <row r="10" spans="1:14" x14ac:dyDescent="0.25">
      <c r="B10" s="30" t="s">
        <v>117</v>
      </c>
      <c r="C10" s="50">
        <f>-vendas!H14</f>
        <v>22494.745388940035</v>
      </c>
      <c r="D10" s="50">
        <f>-vendas!I14</f>
        <v>19281.21033337717</v>
      </c>
      <c r="E10" s="50">
        <f>-vendas!J14</f>
        <v>9640.6051666885851</v>
      </c>
      <c r="F10" s="50">
        <f>-vendas!K14</f>
        <v>9640.6051666885851</v>
      </c>
      <c r="G10" s="30" t="s">
        <v>119</v>
      </c>
    </row>
    <row r="11" spans="1:14" x14ac:dyDescent="0.25">
      <c r="B11" s="107" t="s">
        <v>74</v>
      </c>
      <c r="C11" s="108"/>
      <c r="D11" s="108"/>
      <c r="E11" s="108"/>
      <c r="F11" s="108"/>
      <c r="I11" s="48" t="s">
        <v>66</v>
      </c>
      <c r="J11" s="51">
        <f>+SUM(J12:J15)</f>
        <v>285447.0567928644</v>
      </c>
      <c r="K11" s="51">
        <f t="shared" ref="K11:M11" si="5">+SUM(K12:K15)</f>
        <v>245311.76296531234</v>
      </c>
      <c r="L11" s="51">
        <f t="shared" si="5"/>
        <v>124905.88148265617</v>
      </c>
      <c r="M11" s="51">
        <f t="shared" si="5"/>
        <v>124905.88148265617</v>
      </c>
    </row>
    <row r="12" spans="1:14" x14ac:dyDescent="0.25">
      <c r="B12" s="109" t="s">
        <v>89</v>
      </c>
      <c r="C12" s="107"/>
      <c r="D12" s="108">
        <f>MP!C9</f>
        <v>3936</v>
      </c>
      <c r="E12" s="108">
        <f>MP!D9</f>
        <v>2934</v>
      </c>
      <c r="F12" s="108">
        <f>MP!E9</f>
        <v>1746</v>
      </c>
      <c r="G12" s="50" t="s">
        <v>88</v>
      </c>
      <c r="I12" s="30" t="s">
        <v>98</v>
      </c>
      <c r="J12" s="50"/>
      <c r="K12" s="50"/>
      <c r="L12" s="50"/>
      <c r="M12" s="50"/>
    </row>
    <row r="13" spans="1:14" x14ac:dyDescent="0.25">
      <c r="B13" s="109" t="s">
        <v>90</v>
      </c>
      <c r="C13" s="108">
        <f>MP!C19</f>
        <v>2624</v>
      </c>
      <c r="D13" s="108">
        <f>MP!D19</f>
        <v>1956</v>
      </c>
      <c r="E13" s="108">
        <f>MP!E19</f>
        <v>1164</v>
      </c>
      <c r="F13" s="108">
        <f>MP!F19</f>
        <v>756</v>
      </c>
      <c r="G13" s="30" t="s">
        <v>88</v>
      </c>
      <c r="I13" s="110" t="s">
        <v>112</v>
      </c>
      <c r="J13" s="108">
        <f>J5*PRODUTO!$B$6</f>
        <v>280947.0567928644</v>
      </c>
      <c r="K13" s="108">
        <f>K5*PRODUTO!$B$6</f>
        <v>240811.76296531234</v>
      </c>
      <c r="L13" s="108">
        <f>L5*PRODUTO!$B$6</f>
        <v>120405.88148265617</v>
      </c>
      <c r="M13" s="108">
        <f>M5*PRODUTO!$B$6</f>
        <v>120405.88148265617</v>
      </c>
      <c r="N13" s="107" t="s">
        <v>100</v>
      </c>
    </row>
    <row r="14" spans="1:14" x14ac:dyDescent="0.25">
      <c r="B14" s="109" t="s">
        <v>91</v>
      </c>
      <c r="C14" s="108">
        <f>MP!C29</f>
        <v>77000</v>
      </c>
      <c r="D14" s="108">
        <f>MP!D29</f>
        <v>77000</v>
      </c>
      <c r="E14" s="108">
        <f>MP!E29</f>
        <v>22000</v>
      </c>
      <c r="F14" s="108">
        <f>MP!F29</f>
        <v>22000</v>
      </c>
      <c r="G14" s="30" t="s">
        <v>88</v>
      </c>
      <c r="I14" s="81" t="s">
        <v>113</v>
      </c>
      <c r="J14" s="50">
        <f>imobilizado!$F$4</f>
        <v>4500</v>
      </c>
      <c r="K14" s="50">
        <f>imobilizado!$F$4</f>
        <v>4500</v>
      </c>
      <c r="L14" s="50">
        <f>imobilizado!$F$4</f>
        <v>4500</v>
      </c>
      <c r="M14" s="50">
        <f>imobilizado!$F$4</f>
        <v>4500</v>
      </c>
      <c r="N14" s="30" t="s">
        <v>123</v>
      </c>
    </row>
    <row r="15" spans="1:14" x14ac:dyDescent="0.25">
      <c r="B15" s="107" t="s">
        <v>75</v>
      </c>
      <c r="C15" s="107"/>
      <c r="D15" s="108">
        <f>mod!C11</f>
        <v>101137.5</v>
      </c>
      <c r="E15" s="108">
        <f>mod!D11</f>
        <v>83700</v>
      </c>
      <c r="F15" s="108">
        <f>mod!E11</f>
        <v>48825</v>
      </c>
      <c r="G15" s="30" t="s">
        <v>96</v>
      </c>
      <c r="J15" s="50"/>
      <c r="K15" s="50"/>
      <c r="L15" s="50"/>
      <c r="M15" s="50"/>
    </row>
    <row r="16" spans="1:14" x14ac:dyDescent="0.25">
      <c r="B16" s="107" t="s">
        <v>76</v>
      </c>
      <c r="C16" s="108">
        <f>cif!C14</f>
        <v>4730</v>
      </c>
      <c r="D16" s="108">
        <f>cif!D14</f>
        <v>3890</v>
      </c>
      <c r="E16" s="108">
        <f>cif!E14</f>
        <v>2420</v>
      </c>
      <c r="F16" s="108">
        <f>cif!F14</f>
        <v>1790</v>
      </c>
      <c r="G16" s="30" t="s">
        <v>97</v>
      </c>
      <c r="J16" s="50"/>
      <c r="K16" s="50"/>
      <c r="L16" s="50"/>
      <c r="M16" s="50"/>
    </row>
    <row r="17" spans="2:14" x14ac:dyDescent="0.25">
      <c r="C17" s="111">
        <f>SUM(C12:C16)</f>
        <v>84354</v>
      </c>
      <c r="D17" s="111">
        <f t="shared" ref="D17:F17" si="6">SUM(D12:D16)</f>
        <v>187919.5</v>
      </c>
      <c r="E17" s="111">
        <f t="shared" si="6"/>
        <v>112218</v>
      </c>
      <c r="F17" s="111">
        <f t="shared" si="6"/>
        <v>75117</v>
      </c>
      <c r="J17" s="50"/>
      <c r="K17" s="50"/>
      <c r="L17" s="50"/>
      <c r="M17" s="50"/>
    </row>
    <row r="18" spans="2:14" x14ac:dyDescent="0.25">
      <c r="C18" s="50"/>
      <c r="D18" s="50"/>
      <c r="E18" s="50"/>
      <c r="F18" s="50"/>
      <c r="I18" s="48" t="s">
        <v>44</v>
      </c>
      <c r="J18" s="51">
        <f>SUM(J20:J36)</f>
        <v>53004.460826789946</v>
      </c>
      <c r="K18" s="51">
        <f t="shared" ref="K18:M18" si="7">SUM(K20:K36)</f>
        <v>63881.205811518375</v>
      </c>
      <c r="L18" s="51">
        <f t="shared" si="7"/>
        <v>43723.771586324394</v>
      </c>
      <c r="M18" s="51">
        <f t="shared" si="7"/>
        <v>36525.453061863591</v>
      </c>
    </row>
    <row r="19" spans="2:14" x14ac:dyDescent="0.25">
      <c r="C19" s="50"/>
      <c r="D19" s="50"/>
      <c r="E19" s="50"/>
      <c r="F19" s="50"/>
      <c r="I19" s="30" t="s">
        <v>108</v>
      </c>
      <c r="J19" s="50"/>
      <c r="K19" s="50"/>
      <c r="L19" s="50"/>
      <c r="M19" s="50"/>
    </row>
    <row r="20" spans="2:14" x14ac:dyDescent="0.25">
      <c r="B20" s="30" t="s">
        <v>82</v>
      </c>
      <c r="C20" s="50">
        <f>-vendas!H22</f>
        <v>16241.206170814701</v>
      </c>
      <c r="D20" s="50">
        <f>-vendas!I22</f>
        <v>13921.033860698315</v>
      </c>
      <c r="E20" s="50">
        <f>-vendas!J22</f>
        <v>6960.5169303491575</v>
      </c>
      <c r="F20" s="50">
        <f>-vendas!K22</f>
        <v>6960.5169303491575</v>
      </c>
      <c r="G20" s="30" t="s">
        <v>83</v>
      </c>
      <c r="I20" s="81" t="s">
        <v>82</v>
      </c>
      <c r="J20" s="50">
        <f>-vendas!H22</f>
        <v>16241.206170814701</v>
      </c>
      <c r="K20" s="50">
        <f>-vendas!I22</f>
        <v>13921.033860698315</v>
      </c>
      <c r="L20" s="50">
        <f>-vendas!J22</f>
        <v>6960.5169303491575</v>
      </c>
      <c r="M20" s="50">
        <f>-vendas!K22</f>
        <v>6960.5169303491575</v>
      </c>
      <c r="N20" s="30" t="s">
        <v>83</v>
      </c>
    </row>
    <row r="21" spans="2:14" x14ac:dyDescent="0.25">
      <c r="B21" s="30" t="s">
        <v>84</v>
      </c>
      <c r="C21" s="50">
        <f>-vendas!H28</f>
        <v>1500</v>
      </c>
      <c r="D21" s="50">
        <f>-vendas!I28</f>
        <v>1500</v>
      </c>
      <c r="E21" s="50">
        <f>-vendas!J28</f>
        <v>1500</v>
      </c>
      <c r="F21" s="50">
        <f>-vendas!K28</f>
        <v>1500</v>
      </c>
      <c r="G21" s="30" t="s">
        <v>86</v>
      </c>
      <c r="I21" s="81" t="s">
        <v>84</v>
      </c>
      <c r="J21" s="50">
        <f>-vendas!H28</f>
        <v>1500</v>
      </c>
      <c r="K21" s="50">
        <f>-vendas!I28</f>
        <v>1500</v>
      </c>
      <c r="L21" s="50">
        <f>-vendas!J28</f>
        <v>1500</v>
      </c>
      <c r="M21" s="50">
        <f>-vendas!K28</f>
        <v>1500</v>
      </c>
      <c r="N21" s="30" t="s">
        <v>86</v>
      </c>
    </row>
    <row r="22" spans="2:14" x14ac:dyDescent="0.25">
      <c r="B22" s="30" t="s">
        <v>85</v>
      </c>
      <c r="C22" s="50">
        <f>-vendas!H30</f>
        <v>9000</v>
      </c>
      <c r="D22" s="50">
        <f>-vendas!I30</f>
        <v>9000</v>
      </c>
      <c r="E22" s="50">
        <f>-vendas!J30</f>
        <v>9000</v>
      </c>
      <c r="F22" s="50">
        <f>-vendas!K30</f>
        <v>9000</v>
      </c>
      <c r="G22" s="30" t="s">
        <v>87</v>
      </c>
      <c r="I22" s="81" t="s">
        <v>85</v>
      </c>
      <c r="J22" s="50">
        <f>-vendas!H30</f>
        <v>9000</v>
      </c>
      <c r="K22" s="50">
        <f>-vendas!I30</f>
        <v>9000</v>
      </c>
      <c r="L22" s="50">
        <f>-vendas!J30</f>
        <v>9000</v>
      </c>
      <c r="M22" s="50">
        <f>-vendas!K30</f>
        <v>9000</v>
      </c>
      <c r="N22" s="30" t="s">
        <v>87</v>
      </c>
    </row>
    <row r="23" spans="2:14" x14ac:dyDescent="0.25">
      <c r="C23" s="50"/>
      <c r="D23" s="50"/>
      <c r="E23" s="50"/>
      <c r="F23" s="50"/>
      <c r="J23" s="50"/>
      <c r="K23" s="50"/>
      <c r="L23" s="50"/>
      <c r="M23" s="50"/>
    </row>
    <row r="24" spans="2:14" x14ac:dyDescent="0.25">
      <c r="B24" s="30" t="s">
        <v>109</v>
      </c>
      <c r="C24" s="50"/>
      <c r="D24" s="50"/>
      <c r="E24" s="50"/>
      <c r="F24" s="50"/>
      <c r="G24" s="30" t="s">
        <v>110</v>
      </c>
      <c r="I24" s="30" t="s">
        <v>109</v>
      </c>
      <c r="J24" s="50"/>
      <c r="K24" s="50"/>
      <c r="L24" s="50"/>
      <c r="M24" s="50"/>
    </row>
    <row r="25" spans="2:14" x14ac:dyDescent="0.25">
      <c r="B25" s="47" t="s">
        <v>122</v>
      </c>
      <c r="C25" s="50">
        <f>imobilizado!$C$8*3</f>
        <v>4500</v>
      </c>
      <c r="D25" s="50">
        <f>imobilizado!$C$8*3</f>
        <v>4500</v>
      </c>
      <c r="E25" s="50">
        <f>imobilizado!$C$8*3</f>
        <v>4500</v>
      </c>
      <c r="F25" s="50">
        <f>imobilizado!$C$8*3</f>
        <v>4500</v>
      </c>
      <c r="G25" s="113">
        <f>4500*4*4</f>
        <v>72000</v>
      </c>
      <c r="I25" s="47" t="s">
        <v>103</v>
      </c>
      <c r="J25" s="50">
        <f>+C26</f>
        <v>29.139820362410251</v>
      </c>
      <c r="K25" s="50">
        <f t="shared" ref="K25:M25" si="8">+D26</f>
        <v>29.139820362410251</v>
      </c>
      <c r="L25" s="50">
        <f t="shared" si="8"/>
        <v>29.139820362410251</v>
      </c>
      <c r="M25" s="50">
        <f t="shared" si="8"/>
        <v>29.139820362410251</v>
      </c>
      <c r="N25" s="30" t="s">
        <v>110</v>
      </c>
    </row>
    <row r="26" spans="2:14" x14ac:dyDescent="0.25">
      <c r="B26" s="47" t="s">
        <v>103</v>
      </c>
      <c r="C26" s="50">
        <f>imobilizado!$C$9</f>
        <v>29.139820362410251</v>
      </c>
      <c r="D26" s="50">
        <f>imobilizado!$C$9</f>
        <v>29.139820362410251</v>
      </c>
      <c r="E26" s="50">
        <f>imobilizado!$C$9</f>
        <v>29.139820362410251</v>
      </c>
      <c r="F26" s="50">
        <f>imobilizado!$C$9</f>
        <v>29.139820362410251</v>
      </c>
      <c r="I26" s="47" t="s">
        <v>125</v>
      </c>
      <c r="J26" s="50">
        <f>0.07*C4</f>
        <v>25194.114835612836</v>
      </c>
      <c r="K26" s="50">
        <f t="shared" ref="K26:M26" si="9">0.07*D4</f>
        <v>38391.03213045765</v>
      </c>
      <c r="L26" s="50">
        <f t="shared" si="9"/>
        <v>25194.114835612832</v>
      </c>
      <c r="M26" s="50">
        <f t="shared" si="9"/>
        <v>17995.796311152022</v>
      </c>
      <c r="N26" s="30" t="s">
        <v>121</v>
      </c>
    </row>
    <row r="27" spans="2:14" x14ac:dyDescent="0.25">
      <c r="C27" s="50"/>
      <c r="D27" s="50"/>
      <c r="E27" s="50"/>
      <c r="F27" s="50"/>
      <c r="J27" s="50"/>
      <c r="K27" s="50"/>
      <c r="L27" s="50"/>
      <c r="M27" s="50"/>
    </row>
    <row r="28" spans="2:14" x14ac:dyDescent="0.25">
      <c r="B28" s="30" t="s">
        <v>114</v>
      </c>
      <c r="C28" s="50"/>
      <c r="D28" s="50"/>
      <c r="E28" s="50"/>
      <c r="F28" s="50"/>
      <c r="I28" s="30" t="s">
        <v>114</v>
      </c>
      <c r="J28" s="50"/>
      <c r="K28" s="50"/>
      <c r="L28" s="50"/>
      <c r="M28" s="50"/>
    </row>
    <row r="29" spans="2:14" x14ac:dyDescent="0.25">
      <c r="B29" s="47" t="str">
        <f>despesas!B4</f>
        <v>Salários</v>
      </c>
      <c r="C29" s="50">
        <f>despesas!C4</f>
        <v>350</v>
      </c>
      <c r="D29" s="50">
        <f>despesas!D4</f>
        <v>350</v>
      </c>
      <c r="E29" s="50">
        <f>despesas!E4</f>
        <v>350</v>
      </c>
      <c r="F29" s="50">
        <f>despesas!F4</f>
        <v>350</v>
      </c>
      <c r="I29" s="47" t="str">
        <f>despesas!B4</f>
        <v>Salários</v>
      </c>
      <c r="J29" s="50">
        <f>despesas!C4</f>
        <v>350</v>
      </c>
      <c r="K29" s="50">
        <f>despesas!D4</f>
        <v>350</v>
      </c>
      <c r="L29" s="50">
        <f>despesas!E4</f>
        <v>350</v>
      </c>
      <c r="M29" s="50">
        <f>despesas!F4</f>
        <v>350</v>
      </c>
    </row>
    <row r="30" spans="2:14" x14ac:dyDescent="0.25">
      <c r="B30" s="47" t="str">
        <f>despesas!B5</f>
        <v>Marketing</v>
      </c>
      <c r="C30" s="50">
        <f>despesas!C5</f>
        <v>50</v>
      </c>
      <c r="D30" s="50">
        <f>despesas!D5</f>
        <v>50</v>
      </c>
      <c r="E30" s="50">
        <f>despesas!E5</f>
        <v>50</v>
      </c>
      <c r="F30" s="50">
        <f>despesas!F5</f>
        <v>50</v>
      </c>
      <c r="I30" s="47" t="str">
        <f>despesas!B5</f>
        <v>Marketing</v>
      </c>
      <c r="J30" s="50">
        <f>despesas!C5</f>
        <v>50</v>
      </c>
      <c r="K30" s="50">
        <f>despesas!D5</f>
        <v>50</v>
      </c>
      <c r="L30" s="50">
        <f>despesas!E5</f>
        <v>50</v>
      </c>
      <c r="M30" s="50">
        <f>despesas!F5</f>
        <v>50</v>
      </c>
    </row>
    <row r="31" spans="2:14" x14ac:dyDescent="0.25">
      <c r="B31" s="47" t="str">
        <f>despesas!B6</f>
        <v>Depreciação</v>
      </c>
      <c r="C31" s="50">
        <f>despesas!C6</f>
        <v>75</v>
      </c>
      <c r="D31" s="50">
        <f>despesas!D6</f>
        <v>75</v>
      </c>
      <c r="E31" s="50">
        <f>despesas!E6</f>
        <v>75</v>
      </c>
      <c r="F31" s="50">
        <f>despesas!F6</f>
        <v>75</v>
      </c>
      <c r="I31" s="47" t="str">
        <f>despesas!B6</f>
        <v>Depreciação</v>
      </c>
      <c r="J31" s="50">
        <f>despesas!C6</f>
        <v>75</v>
      </c>
      <c r="K31" s="50">
        <f>despesas!D6</f>
        <v>75</v>
      </c>
      <c r="L31" s="50">
        <f>despesas!E6</f>
        <v>75</v>
      </c>
      <c r="M31" s="50">
        <f>despesas!F6</f>
        <v>75</v>
      </c>
    </row>
    <row r="32" spans="2:14" x14ac:dyDescent="0.25">
      <c r="B32" s="47" t="str">
        <f>despesas!B7</f>
        <v>Seguros</v>
      </c>
      <c r="C32" s="50">
        <f>despesas!C7</f>
        <v>10</v>
      </c>
      <c r="D32" s="50">
        <f>despesas!D7</f>
        <v>10</v>
      </c>
      <c r="E32" s="50">
        <f>despesas!E7</f>
        <v>10</v>
      </c>
      <c r="F32" s="50">
        <f>despesas!F7</f>
        <v>10</v>
      </c>
      <c r="I32" s="47" t="str">
        <f>despesas!B7</f>
        <v>Seguros</v>
      </c>
      <c r="J32" s="50">
        <f>despesas!C7</f>
        <v>10</v>
      </c>
      <c r="K32" s="50">
        <f>despesas!D7</f>
        <v>10</v>
      </c>
      <c r="L32" s="50">
        <f>despesas!E7</f>
        <v>10</v>
      </c>
      <c r="M32" s="50">
        <f>despesas!F7</f>
        <v>10</v>
      </c>
    </row>
    <row r="33" spans="1:13" x14ac:dyDescent="0.25">
      <c r="B33" s="47" t="str">
        <f>despesas!B8</f>
        <v>Viagens</v>
      </c>
      <c r="C33" s="50">
        <f>despesas!C8</f>
        <v>5</v>
      </c>
      <c r="D33" s="50">
        <f>despesas!D8</f>
        <v>5</v>
      </c>
      <c r="E33" s="50">
        <f>despesas!E8</f>
        <v>5</v>
      </c>
      <c r="F33" s="50">
        <f>despesas!F8</f>
        <v>5</v>
      </c>
      <c r="I33" s="47" t="str">
        <f>despesas!B8</f>
        <v>Viagens</v>
      </c>
      <c r="J33" s="50">
        <f>despesas!C8</f>
        <v>5</v>
      </c>
      <c r="K33" s="50">
        <f>despesas!D8</f>
        <v>5</v>
      </c>
      <c r="L33" s="50">
        <f>despesas!E8</f>
        <v>5</v>
      </c>
      <c r="M33" s="50">
        <f>despesas!F8</f>
        <v>5</v>
      </c>
    </row>
    <row r="34" spans="1:13" x14ac:dyDescent="0.25">
      <c r="B34" s="47" t="str">
        <f>despesas!B9</f>
        <v>Advogados</v>
      </c>
      <c r="C34" s="50"/>
      <c r="D34" s="50"/>
      <c r="E34" s="50"/>
      <c r="F34" s="50"/>
      <c r="I34" s="47" t="str">
        <f>despesas!B9</f>
        <v>Advogados</v>
      </c>
      <c r="J34" s="50">
        <f>despesas!C9</f>
        <v>500</v>
      </c>
      <c r="K34" s="50">
        <f>despesas!D9</f>
        <v>500</v>
      </c>
      <c r="L34" s="50">
        <f>despesas!E9</f>
        <v>500</v>
      </c>
      <c r="M34" s="50">
        <f>despesas!F9</f>
        <v>500</v>
      </c>
    </row>
    <row r="35" spans="1:13" x14ac:dyDescent="0.25">
      <c r="B35" s="47" t="str">
        <f>despesas!B10</f>
        <v>Contador</v>
      </c>
      <c r="C35" s="50"/>
      <c r="D35" s="50"/>
      <c r="E35" s="50"/>
      <c r="F35" s="50"/>
      <c r="I35" s="47" t="str">
        <f>despesas!B10</f>
        <v>Contador</v>
      </c>
      <c r="J35" s="50">
        <f>despesas!C10</f>
        <v>50</v>
      </c>
      <c r="K35" s="50">
        <f>despesas!D10</f>
        <v>50</v>
      </c>
      <c r="L35" s="50">
        <f>despesas!E10</f>
        <v>50</v>
      </c>
      <c r="M35" s="50">
        <f>despesas!F10</f>
        <v>50</v>
      </c>
    </row>
    <row r="36" spans="1:13" x14ac:dyDescent="0.25">
      <c r="A36" s="35"/>
      <c r="C36" s="50"/>
      <c r="D36" s="50"/>
      <c r="E36" s="50"/>
      <c r="F36" s="50"/>
      <c r="I36" s="47"/>
      <c r="J36" s="50"/>
      <c r="K36" s="50"/>
      <c r="L36" s="50"/>
      <c r="M36" s="50"/>
    </row>
    <row r="37" spans="1:13" s="31" customFormat="1" ht="18.75" thickBot="1" x14ac:dyDescent="0.3">
      <c r="B37" s="54" t="s">
        <v>62</v>
      </c>
      <c r="C37" s="55">
        <f>C4-C8+C3</f>
        <v>141952.83484292336</v>
      </c>
      <c r="D37" s="55">
        <f t="shared" ref="D37:F37" si="10">D4-D8</f>
        <v>-26082.037124643219</v>
      </c>
      <c r="E37" s="55">
        <f t="shared" si="10"/>
        <v>-25181.737916874175</v>
      </c>
      <c r="F37" s="55">
        <f t="shared" si="10"/>
        <v>10457.841416371492</v>
      </c>
      <c r="I37" s="54" t="s">
        <v>124</v>
      </c>
      <c r="J37" s="55">
        <f>+J4-J7-J11-J18</f>
        <v>88948.644770206258</v>
      </c>
      <c r="K37" s="55">
        <f t="shared" ref="K37:M37" si="11">+K4-K7-K11-K18</f>
        <v>57150.027557335488</v>
      </c>
      <c r="L37" s="55">
        <f t="shared" si="11"/>
        <v>14541.845098102538</v>
      </c>
      <c r="M37" s="55">
        <f t="shared" si="11"/>
        <v>21740.163622563341</v>
      </c>
    </row>
    <row r="38" spans="1:13" x14ac:dyDescent="0.25">
      <c r="C38" s="50"/>
      <c r="D38" s="50"/>
      <c r="E38" s="50"/>
      <c r="F38" s="50"/>
      <c r="J38" s="50"/>
      <c r="K38" s="50"/>
      <c r="L38" s="50"/>
      <c r="M38" s="50"/>
    </row>
    <row r="39" spans="1:13" x14ac:dyDescent="0.25">
      <c r="A39" s="38"/>
      <c r="C39" s="50"/>
      <c r="D39" s="50"/>
      <c r="E39" s="50"/>
      <c r="F39" s="50"/>
      <c r="J39" s="50"/>
      <c r="K39" s="50"/>
      <c r="L39" s="50"/>
      <c r="M39" s="50"/>
    </row>
    <row r="40" spans="1:13" x14ac:dyDescent="0.25">
      <c r="A40" s="41"/>
      <c r="C40" s="50"/>
      <c r="D40" s="50"/>
      <c r="E40" s="50"/>
      <c r="F40" s="50"/>
      <c r="J40" s="50"/>
      <c r="K40" s="50"/>
      <c r="L40" s="50"/>
      <c r="M40" s="50"/>
    </row>
    <row r="41" spans="1:13" x14ac:dyDescent="0.25">
      <c r="C41" s="50"/>
      <c r="D41" s="50"/>
      <c r="E41" s="50"/>
      <c r="F41" s="50"/>
      <c r="J41" s="50"/>
      <c r="K41" s="50"/>
      <c r="L41" s="50"/>
      <c r="M41" s="50"/>
    </row>
    <row r="42" spans="1:13" x14ac:dyDescent="0.25">
      <c r="C42" s="50"/>
      <c r="D42" s="50"/>
      <c r="E42" s="50"/>
      <c r="F42" s="50"/>
      <c r="J42" s="50"/>
      <c r="K42" s="50"/>
      <c r="L42" s="50"/>
      <c r="M42" s="50"/>
    </row>
    <row r="43" spans="1:13" x14ac:dyDescent="0.25">
      <c r="C43" s="50"/>
      <c r="D43" s="50"/>
      <c r="E43" s="50"/>
      <c r="F43" s="50"/>
      <c r="J43" s="50"/>
      <c r="K43" s="50"/>
      <c r="L43" s="50"/>
      <c r="M43" s="50"/>
    </row>
    <row r="44" spans="1:13" x14ac:dyDescent="0.25">
      <c r="C44" s="50"/>
      <c r="D44" s="50"/>
      <c r="E44" s="50"/>
      <c r="F44" s="50"/>
      <c r="J44" s="50"/>
      <c r="K44" s="50"/>
      <c r="L44" s="50"/>
      <c r="M44" s="50"/>
    </row>
    <row r="45" spans="1:13" x14ac:dyDescent="0.25">
      <c r="C45" s="50"/>
      <c r="D45" s="50"/>
      <c r="E45" s="50"/>
      <c r="F45" s="50"/>
      <c r="J45" s="50"/>
      <c r="K45" s="50"/>
      <c r="L45" s="50"/>
      <c r="M45" s="50"/>
    </row>
    <row r="46" spans="1:13" x14ac:dyDescent="0.25">
      <c r="C46" s="50"/>
      <c r="D46" s="50"/>
      <c r="E46" s="50"/>
      <c r="F46" s="50"/>
      <c r="J46" s="50"/>
      <c r="K46" s="50"/>
      <c r="L46" s="50"/>
      <c r="M46" s="50"/>
    </row>
    <row r="47" spans="1:13" x14ac:dyDescent="0.25">
      <c r="C47" s="50"/>
      <c r="D47" s="50"/>
      <c r="E47" s="50"/>
      <c r="F47" s="50"/>
      <c r="J47" s="50"/>
      <c r="K47" s="50"/>
      <c r="L47" s="50"/>
      <c r="M47" s="50"/>
    </row>
    <row r="48" spans="1:13" x14ac:dyDescent="0.25">
      <c r="C48" s="50"/>
      <c r="D48" s="50"/>
      <c r="E48" s="50"/>
      <c r="F48" s="50"/>
      <c r="J48" s="50"/>
      <c r="K48" s="50"/>
      <c r="L48" s="50"/>
      <c r="M48" s="50"/>
    </row>
    <row r="49" spans="3:13" x14ac:dyDescent="0.25">
      <c r="C49" s="50"/>
      <c r="D49" s="50"/>
      <c r="E49" s="50"/>
      <c r="F49" s="50"/>
      <c r="J49" s="50"/>
      <c r="K49" s="50"/>
      <c r="L49" s="50"/>
      <c r="M49" s="50"/>
    </row>
    <row r="50" spans="3:13" x14ac:dyDescent="0.25">
      <c r="C50" s="50"/>
      <c r="D50" s="50"/>
      <c r="E50" s="50"/>
      <c r="F50" s="50"/>
      <c r="J50" s="50"/>
      <c r="K50" s="50"/>
      <c r="L50" s="50"/>
      <c r="M50" s="50"/>
    </row>
    <row r="51" spans="3:13" x14ac:dyDescent="0.25">
      <c r="C51" s="50"/>
      <c r="D51" s="50"/>
      <c r="E51" s="50"/>
      <c r="F51" s="50"/>
      <c r="J51" s="50"/>
      <c r="K51" s="50"/>
      <c r="L51" s="50"/>
      <c r="M51" s="50"/>
    </row>
    <row r="52" spans="3:13" x14ac:dyDescent="0.25">
      <c r="C52" s="50"/>
      <c r="D52" s="50"/>
      <c r="E52" s="50"/>
      <c r="F52" s="50"/>
      <c r="J52" s="50"/>
      <c r="K52" s="50"/>
      <c r="L52" s="50"/>
      <c r="M52" s="50"/>
    </row>
    <row r="53" spans="3:13" x14ac:dyDescent="0.25">
      <c r="C53" s="50"/>
      <c r="D53" s="50"/>
      <c r="E53" s="50"/>
      <c r="F53" s="50"/>
      <c r="J53" s="50"/>
      <c r="K53" s="50"/>
      <c r="L53" s="50"/>
      <c r="M53" s="50"/>
    </row>
    <row r="54" spans="3:13" x14ac:dyDescent="0.25">
      <c r="C54" s="50"/>
      <c r="D54" s="50"/>
      <c r="E54" s="50"/>
      <c r="F54" s="50"/>
      <c r="J54" s="50"/>
      <c r="K54" s="50"/>
      <c r="L54" s="50"/>
      <c r="M54" s="50"/>
    </row>
    <row r="55" spans="3:13" x14ac:dyDescent="0.25">
      <c r="C55" s="50"/>
      <c r="D55" s="50"/>
      <c r="E55" s="50"/>
      <c r="F55" s="50"/>
      <c r="J55" s="50"/>
      <c r="K55" s="50"/>
      <c r="L55" s="50"/>
      <c r="M55" s="50"/>
    </row>
    <row r="56" spans="3:13" x14ac:dyDescent="0.25">
      <c r="C56" s="50"/>
      <c r="D56" s="50"/>
      <c r="E56" s="50"/>
      <c r="F56" s="50"/>
      <c r="J56" s="50"/>
      <c r="K56" s="50"/>
      <c r="L56" s="50"/>
      <c r="M56" s="50"/>
    </row>
    <row r="57" spans="3:13" x14ac:dyDescent="0.25">
      <c r="C57" s="50"/>
      <c r="D57" s="50"/>
      <c r="E57" s="50"/>
      <c r="F57" s="50"/>
      <c r="J57" s="50"/>
      <c r="K57" s="50"/>
      <c r="L57" s="50"/>
      <c r="M57" s="50"/>
    </row>
  </sheetData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vendas</vt:lpstr>
      <vt:lpstr>producao</vt:lpstr>
      <vt:lpstr>MP</vt:lpstr>
      <vt:lpstr>imobilizado</vt:lpstr>
      <vt:lpstr>mod</vt:lpstr>
      <vt:lpstr>cif</vt:lpstr>
      <vt:lpstr>PRODUTO</vt:lpstr>
      <vt:lpstr>despesas</vt:lpstr>
      <vt:lpstr>Financeiros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 Calil Pongeluppe Wadhy Rebehy</dc:creator>
  <cp:lastModifiedBy>PCPWR</cp:lastModifiedBy>
  <dcterms:created xsi:type="dcterms:W3CDTF">2019-09-23T11:14:57Z</dcterms:created>
  <dcterms:modified xsi:type="dcterms:W3CDTF">2023-11-25T12:14:57Z</dcterms:modified>
</cp:coreProperties>
</file>