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media/image1.jpeg" ContentType="image/jpeg"/>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X_Basic Info" sheetId="1" r:id="rId4"/>
    <sheet name="A_Informal Settlement" sheetId="2" r:id="rId5"/>
    <sheet name="B_HH Profile" sheetId="3" r:id="rId6"/>
    <sheet name="C_Water Utility" sheetId="4" r:id="rId7"/>
    <sheet name="D_Regulations" sheetId="5" r:id="rId8"/>
    <sheet name="E_City Water Access" sheetId="6" r:id="rId9"/>
    <sheet name="F_City Sanitation" sheetId="7" r:id="rId10"/>
    <sheet name="G_Alt Water" sheetId="8" r:id="rId11"/>
    <sheet name="I_Sources" sheetId="9" r:id="rId12"/>
  </sheets>
</workbook>
</file>

<file path=xl/comments1.xml><?xml version="1.0" encoding="utf-8"?>
<comments xmlns="http://schemas.openxmlformats.org/spreadsheetml/2006/main">
  <authors>
    <author>Author</author>
  </authors>
  <commentList>
    <comment ref="AL3" authorId="0">
      <text>
        <r>
          <rPr>
            <sz val="11"/>
            <color indexed="8"/>
            <rFont val="Helvetica Neue"/>
          </rPr>
          <t>Author:
Market exchange currency conversion:
https://www.oanda.com/currency/converter/
Dates:
Cochabamba: 15th April 2017
Dhaka: 15th Nov 2017
All other cities: 15th July 2017</t>
        </r>
      </text>
    </comment>
    <comment ref="AU3" authorId="0">
      <text>
        <r>
          <rPr>
            <sz val="11"/>
            <color indexed="8"/>
            <rFont val="Helvetica Neue"/>
          </rPr>
          <t>Author:
Market exchange currency conversion:
https://www.oanda.com/currency/converter/
Dates:
Cochabamba: 15th April 2017
Dhaka: 15th Nov 2017
All other cities: 15th July 2017</t>
        </r>
      </text>
    </comment>
    <comment ref="CA3" authorId="0">
      <text>
        <r>
          <rPr>
            <sz val="11"/>
            <color indexed="8"/>
            <rFont val="Helvetica Neue"/>
          </rPr>
          <t>Author:
Market exchange currency conversion:
https://www.oanda.com/currency/converter/
Dates:
Cochabamba: 15th April 2017
Dhaka: 15th Nov 2017
All other cities: 15th July 2017</t>
        </r>
      </text>
    </comment>
    <comment ref="CC3" authorId="0">
      <text>
        <r>
          <rPr>
            <sz val="11"/>
            <color indexed="8"/>
            <rFont val="Helvetica Neue"/>
          </rPr>
          <t>Author:
Market exchange currency conversion:
https://www.oanda.com/currency/converter/
Dates:
Cochabamba: 15th April 2017
Dhaka: 15th Nov 2017
All other cities: 15th July 2017</t>
        </r>
      </text>
    </comment>
    <comment ref="AR14" authorId="0">
      <text>
        <r>
          <rPr>
            <sz val="11"/>
            <color indexed="8"/>
            <rFont val="Helvetica Neue"/>
          </rPr>
          <t>Author:
only during rainy season. Not included in tables analysis</t>
        </r>
      </text>
    </comment>
    <comment ref="BZ22" authorId="0">
      <text>
        <r>
          <rPr>
            <sz val="11"/>
            <color indexed="8"/>
            <rFont val="Helvetica Neue"/>
          </rPr>
          <t>Author:
Updated 4-6-18</t>
        </r>
      </text>
    </comment>
    <comment ref="CB22" authorId="0">
      <text>
        <r>
          <rPr>
            <sz val="11"/>
            <color indexed="8"/>
            <rFont val="Helvetica Neue"/>
          </rPr>
          <t>Author:
Updated 4-6-18</t>
        </r>
      </text>
    </comment>
    <comment ref="AS43" authorId="0">
      <text>
        <r>
          <rPr>
            <sz val="11"/>
            <color indexed="8"/>
            <rFont val="Helvetica Neue"/>
          </rPr>
          <t>Author:
Brazil PPP: 2.19</t>
        </r>
      </text>
    </comment>
    <comment ref="AI44" authorId="0">
      <text>
        <r>
          <rPr>
            <sz val="11"/>
            <color indexed="8"/>
            <rFont val="Helvetica Neue"/>
          </rPr>
          <t>Author:
for emergency use only</t>
        </r>
      </text>
    </comment>
    <comment ref="AJ46" authorId="0">
      <text>
        <r>
          <rPr>
            <sz val="11"/>
            <color indexed="8"/>
            <rFont val="Helvetica Neue"/>
          </rPr>
          <t>Author:
Social tarif: R$ 8.48 per 10 m3 (minimum value, up to 10 m3/month). If higher R$1.46/m3 (consumption between 11 and 20 m3/month), or R$ 5,19/m3 (consumption between 21 and 30 m3/month)</t>
        </r>
      </text>
    </comment>
    <comment ref="AL46" authorId="0">
      <text>
        <r>
          <rPr>
            <sz val="11"/>
            <color indexed="8"/>
            <rFont val="Helvetica Neue"/>
          </rPr>
          <t>Author:
data collectd July 15, 2018. exchange rate for this date is used via Oanda</t>
        </r>
      </text>
    </comment>
    <comment ref="AJ50" authorId="0">
      <text>
        <r>
          <rPr>
            <sz val="11"/>
            <color indexed="8"/>
            <rFont val="Helvetica Neue"/>
          </rPr>
          <t>Author:
Colombia PPP: 1371.54
over 18 cubic meters of consumption is considered a "penalization fee"
Fixed cost: 2423,04; 0-18 m3 ($/m3):  637,19; &gt;18m3($/m3):  1991,23
2423.04+637.19</t>
        </r>
      </text>
    </comment>
    <comment ref="AS50" authorId="0">
      <text>
        <r>
          <rPr>
            <sz val="11"/>
            <color indexed="8"/>
            <rFont val="Helvetica Neue"/>
          </rPr>
          <t>Author:
over 18 cubic meters of consumption is considered a "penalization fee"
Fixed cost: 2423,04; 0-18 m3 ($/m3):  637,19; &gt;18m3($/m3):  1991,23
2423.04+637.19</t>
        </r>
      </text>
    </comment>
    <comment ref="CB50" authorId="0">
      <text>
        <r>
          <rPr>
            <sz val="11"/>
            <color indexed="8"/>
            <rFont val="Helvetica Neue"/>
          </rPr>
          <t>Author:
180000 COP plus 15% of the construction of the wastewater connection according to the level of the household. In this level it is around 550000 COP.
550,000*.15 +180,000 = 262500</t>
        </r>
      </text>
    </comment>
    <comment ref="AJ51" authorId="0">
      <text>
        <r>
          <rPr>
            <sz val="11"/>
            <color indexed="8"/>
            <rFont val="Helvetica Neue"/>
          </rPr>
          <t>Author:
most actually do not pay</t>
        </r>
      </text>
    </comment>
    <comment ref="BQ51" authorId="0">
      <text>
        <r>
          <rPr>
            <sz val="11"/>
            <color indexed="8"/>
            <rFont val="Helvetica Neue"/>
          </rPr>
          <t>Author:
Pit latrine not controlled by anyone, old and no longer built</t>
        </r>
      </text>
    </comment>
    <comment ref="CB51" authorId="0">
      <text>
        <r>
          <rPr>
            <sz val="11"/>
            <color indexed="8"/>
            <rFont val="Helvetica Neue"/>
          </rPr>
          <t>Author:
180000 COP plus 15% of the construction of the wastewater connection according to the level of the household. In this level it is around 550000 COP</t>
        </r>
      </text>
    </comment>
    <comment ref="AJ58" authorId="0">
      <text>
        <r>
          <rPr>
            <sz val="11"/>
            <color indexed="8"/>
            <rFont val="Helvetica Neue"/>
          </rPr>
          <t>Author:
0-8000 L = INR 7 per KL; 8001-25,000 L= INR 11 per KL; 25,001-50,000 L= INR 25 per KL; 50,001+ = INR 45 per KL
10,000 L = 10 m3 = INR 11 per kL</t>
        </r>
      </text>
    </comment>
    <comment ref="CB58" authorId="0">
      <text>
        <r>
          <rPr>
            <sz val="11"/>
            <color indexed="8"/>
            <rFont val="Helvetica Neue"/>
          </rPr>
          <t xml:space="preserve">Author:
Most households do not have meters fitted – so the majority do not pay anything for water. Few households did get meters fitted during a scheme when the govt announced free meter fitting/no installation fees for slums. 
An average monthly water bill of INR 200-250 (including, water, meter and sanitary charges) is a good conservative estimate. 
Have attached one sample bill for your reference at the end of this section. The ‘arrears’ (INR 446) refers to unpaid backlog. 
The key informant Selva says that with the latest govt scheme of  the first 10,000lts free for all slum houses; practically no one is paying water bills. </t>
        </r>
      </text>
    </comment>
    <comment ref="AJ59" authorId="0">
      <text>
        <r>
          <rPr>
            <sz val="11"/>
            <color indexed="8"/>
            <rFont val="Helvetica Neue"/>
          </rPr>
          <t xml:space="preserve">Author:
most households do not have meters, so they do not pay for water. </t>
        </r>
      </text>
    </comment>
    <comment ref="BF72" authorId="0">
      <text>
        <r>
          <rPr>
            <sz val="11"/>
            <color indexed="8"/>
            <rFont val="Helvetica Neue"/>
          </rPr>
          <t>Author:
(However, price changes over the years. In 2007, the price was Rs. 100/m3. Around 2013, it increased to Rs. 125/m3 and in 2016 it changed to Rs. 150/m3)</t>
        </r>
      </text>
    </comment>
    <comment ref="AJ84" authorId="0">
      <text>
        <r>
          <rPr>
            <sz val="11"/>
            <color indexed="8"/>
            <rFont val="Helvetica Neue"/>
          </rPr>
          <t xml:space="preserve">Author:
PMC Water Tankers provide water when there is an urgent matter via helpline. 
PMC-authorized private tankers provide water for free to areas not connected or under maintenance
INR 460 for 30kL for HelpLine PMC Tankers; 0 cost for PMC-authorized private tankers. </t>
        </r>
      </text>
    </comment>
    <comment ref="AS84" authorId="0">
      <text>
        <r>
          <rPr>
            <sz val="11"/>
            <color indexed="8"/>
            <rFont val="Helvetica Neue"/>
          </rPr>
          <t>Author:
PMC Water Tankers provide water when there is an urgent matter via helpline. 
PMC-authorized private tankers provide water for free to areas not connected or under maintenance</t>
        </r>
      </text>
    </comment>
    <comment ref="AI92" authorId="0">
      <text>
        <r>
          <rPr>
            <sz val="11"/>
            <color indexed="8"/>
            <rFont val="Helvetica Neue"/>
          </rPr>
          <t>Author:
Non-Samurdhi estimate</t>
        </r>
      </text>
    </comment>
    <comment ref="AJ92" authorId="0">
      <text>
        <r>
          <rPr>
            <sz val="11"/>
            <color indexed="8"/>
            <rFont val="Helvetica Neue"/>
          </rPr>
          <t>Author:
Rs. 50-70 per month; Rs 8/m3 if 0-5 units, Rs 11/m3 if 6-10 units, Rs 20/m3 if 11-15 units
1 unit = 1 m3
at 10 m3/month
60 (monthly avg) + 11 = 71</t>
        </r>
      </text>
    </comment>
    <comment ref="AR92" authorId="0">
      <text>
        <r>
          <rPr>
            <sz val="11"/>
            <color indexed="8"/>
            <rFont val="Helvetica Neue"/>
          </rPr>
          <t>Author:
Non-Samurdhi estimate</t>
        </r>
      </text>
    </comment>
    <comment ref="AS92" authorId="0">
      <text>
        <r>
          <rPr>
            <sz val="11"/>
            <color indexed="8"/>
            <rFont val="Helvetica Neue"/>
          </rPr>
          <t>Author:
Rs. 50-70 per month; Rs 8/m3 if 0-5 units, Rs 11/m3 if 6-10 units, Rs 20/m3 if 11-15 units
1 unit = 1 m3
at 10 m3/month
60 (monthly avg) + 11 = 71</t>
        </r>
      </text>
    </comment>
    <comment ref="AI93" authorId="0">
      <text>
        <r>
          <rPr>
            <sz val="11"/>
            <color indexed="8"/>
            <rFont val="Helvetica Neue"/>
          </rPr>
          <t>Author:
Samurdhi recipients estimate</t>
        </r>
      </text>
    </comment>
    <comment ref="AJ93" authorId="0">
      <text>
        <r>
          <rPr>
            <sz val="11"/>
            <color indexed="8"/>
            <rFont val="Helvetica Neue"/>
          </rPr>
          <t>Author:
Rs. 50 per month; Rs 5/m3 if 0-5 units, Rs 10/m3 if 6-10 units, Rs 15/m3 if 11-15 units
at 10m3/month
50+10 = 61rs / month</t>
        </r>
      </text>
    </comment>
    <comment ref="AR93" authorId="0">
      <text>
        <r>
          <rPr>
            <sz val="11"/>
            <color indexed="8"/>
            <rFont val="Helvetica Neue"/>
          </rPr>
          <t>Author:
Samurdhi recipients estimate</t>
        </r>
      </text>
    </comment>
    <comment ref="AS93" authorId="0">
      <text>
        <r>
          <rPr>
            <sz val="11"/>
            <color indexed="8"/>
            <rFont val="Helvetica Neue"/>
          </rPr>
          <t>Author:
Rs. 50 per month; Rs 5/m3 if 0-5 units, Rs 10/m3 if 6-10 units, Rs 15/m3 if 11-15 units
at 10m3/month
50+10 = 61rs / month</t>
        </r>
      </text>
    </comment>
    <comment ref="AJ94" authorId="0">
      <text>
        <r>
          <rPr>
            <sz val="11"/>
            <color indexed="8"/>
            <rFont val="Helvetica Neue"/>
          </rPr>
          <t>Author:
Rs. 50-70 per month; Rs 8/m3 if 0-5 units, Rs 11/m3 if 6-10 units, Rs 20/m3 if 11-15 units</t>
        </r>
      </text>
    </comment>
    <comment ref="AS94" authorId="0">
      <text>
        <r>
          <rPr>
            <sz val="11"/>
            <color indexed="8"/>
            <rFont val="Helvetica Neue"/>
          </rPr>
          <t>Author:
Rs. 50-70 per month; Rs 8/m3 if 0-5 units, Rs 11/m3 if 6-10 units, Rs 20/m3 if 11-15 units</t>
        </r>
      </text>
    </comment>
    <comment ref="BY94" authorId="0">
      <text>
        <r>
          <rPr>
            <sz val="11"/>
            <color indexed="8"/>
            <rFont val="Helvetica Neue"/>
          </rPr>
          <t>Author:
very small %, figure and costs are not included in data tables</t>
        </r>
      </text>
    </comment>
    <comment ref="AJ98" authorId="0">
      <text>
        <r>
          <rPr>
            <sz val="11"/>
            <color indexed="8"/>
            <rFont val="Helvetica Neue"/>
          </rPr>
          <t>Author:
60 L.C./liter</t>
        </r>
      </text>
    </comment>
    <comment ref="AZ104" authorId="0">
      <text>
        <r>
          <rPr>
            <sz val="11"/>
            <color indexed="8"/>
            <rFont val="Helvetica Neue"/>
          </rPr>
          <t>Author:
-Dhaka Water Supply and Sewerage Authority (DWASA)</t>
        </r>
      </text>
    </comment>
    <comment ref="CB104" authorId="0">
      <text>
        <r>
          <rPr>
            <sz val="11"/>
            <color indexed="8"/>
            <rFont val="Helvetica Neue"/>
          </rPr>
          <t>Author:
 Tk. 1,000 per 2 M3 
Most empty once a year, on average with 3-5 m3  
So average: tk 2000</t>
        </r>
      </text>
    </comment>
    <comment ref="CD105" authorId="0">
      <text>
        <r>
          <rPr>
            <sz val="11"/>
            <color indexed="8"/>
            <rFont val="Helvetica Neue"/>
          </rPr>
          <t xml:space="preserve">Author:
67% of the latrines are yet to be cleaned. Only 33 % had the experience of cleaning. The average estimates are: 45% needs cleaning once a year, 43% needs cleaning twice a year and 12% needs cleaning more than twice in a year. 
Only 15% are cleaned by vacutug and sludge is discharged to WASA point. 81% are cleaned by sweepers/labors and the sludge goes to drains/low lying areas and 4% are cleaned by community when the sludge is buried. The sweepers use kerosene/diesel and salt to settle the sludge in some cases. </t>
        </r>
      </text>
    </comment>
    <comment ref="BX107" authorId="0">
      <text>
        <r>
          <rPr>
            <sz val="11"/>
            <color indexed="8"/>
            <rFont val="Helvetica Neue"/>
          </rPr>
          <t>Author:
Table 5 has been filled in with the sample poor community (Kallaynpur Pora Basti) located in the main city for which no change is required. However, the slums located in the periphery areas of Dhaka City, where city corporation’s drains are not available are mostly connected to informal drainage, natural canals and low lying bodies to wash out in rainy season and or reaching to the rives. If we consider the average situation of all slums located in the city and adjacent areas of Dhaka City, then all the figures are to be recalculated. Then we might lose the information and character of the sample slum. I would recommend to keep the table as it is.</t>
        </r>
      </text>
    </comment>
    <comment ref="AJ112" authorId="0">
      <text>
        <r>
          <rPr>
            <sz val="11"/>
            <color indexed="8"/>
            <rFont val="Helvetica Neue"/>
          </rPr>
          <t>Author:
Pakistan PPP (2016): 32.08
Monthly charge is L.C. 250 per month. Assuming 10 m3 per month so 250/10 converted to USD</t>
        </r>
      </text>
    </comment>
    <comment ref="AM112" authorId="0">
      <text>
        <r>
          <rPr>
            <sz val="11"/>
            <color indexed="8"/>
            <rFont val="Helvetica Neue"/>
          </rPr>
          <t>Author:
water can be not available for up to 20 days</t>
        </r>
      </text>
    </comment>
    <comment ref="AN112" authorId="0">
      <text>
        <r>
          <rPr>
            <sz val="11"/>
            <color indexed="8"/>
            <rFont val="Helvetica Neue"/>
          </rPr>
          <t>Author:
only for 20% of the area</t>
        </r>
      </text>
    </comment>
    <comment ref="AM113" authorId="0">
      <text>
        <r>
          <rPr>
            <sz val="11"/>
            <color indexed="8"/>
            <rFont val="Helvetica Neue"/>
          </rPr>
          <t>Author:
once in 20 days</t>
        </r>
      </text>
    </comment>
    <comment ref="AS113" authorId="0">
      <text>
        <r>
          <rPr>
            <sz val="11"/>
            <color indexed="8"/>
            <rFont val="Helvetica Neue"/>
          </rPr>
          <t>Author:
cost for one tank, which is 5400 liters. 
1 tank = 5.4 kL</t>
        </r>
      </text>
    </comment>
    <comment ref="BZ113" authorId="0">
      <text>
        <r>
          <rPr>
            <sz val="11"/>
            <color indexed="8"/>
            <rFont val="Helvetica Neue"/>
          </rPr>
          <t>Author:
L.C.(Material 10,000 and labor 3000=13000 total cost</t>
        </r>
      </text>
    </comment>
    <comment ref="AJ114" authorId="0">
      <text>
        <r>
          <rPr>
            <sz val="11"/>
            <color indexed="8"/>
            <rFont val="Helvetica Neue"/>
          </rPr>
          <t>Author:
cost for one tank, which is 5400 liters. 
1 tank = 5.4 kL</t>
        </r>
      </text>
    </comment>
    <comment ref="AH121" authorId="0">
      <text>
        <r>
          <rPr>
            <sz val="11"/>
            <color indexed="8"/>
            <rFont val="Helvetica Neue"/>
          </rPr>
          <t>Author:
private-owned standpipes</t>
        </r>
      </text>
    </comment>
    <comment ref="AJ121" authorId="0">
      <text>
        <r>
          <rPr>
            <sz val="11"/>
            <color indexed="8"/>
            <rFont val="Helvetica Neue"/>
          </rPr>
          <t>Author:
Uganda PPP: 1,185.8
Sold as 20L Jerrycans. *50 to convert to kL</t>
        </r>
      </text>
    </comment>
    <comment ref="AS121" authorId="0">
      <text>
        <r>
          <rPr>
            <sz val="11"/>
            <color indexed="8"/>
            <rFont val="Helvetica Neue"/>
          </rPr>
          <t>Author:
Uganda PPP: 1,185.8
Sold as 20L Jerrycans. *50 to convert to kL</t>
        </r>
      </text>
    </comment>
    <comment ref="AS122" authorId="0">
      <text>
        <r>
          <rPr>
            <sz val="11"/>
            <color indexed="8"/>
            <rFont val="Helvetica Neue"/>
          </rPr>
          <t>Author:
Uganda PPP: 1,185.8
Sold as 20L Jerrycans. *50 to convert to kL</t>
        </r>
      </text>
    </comment>
    <comment ref="BM122" authorId="0">
      <text>
        <r>
          <rPr>
            <sz val="11"/>
            <color indexed="8"/>
            <rFont val="Helvetica Neue"/>
          </rPr>
          <t>Author:
 (adopted once during a previous government health promotion program)</t>
        </r>
      </text>
    </comment>
    <comment ref="BY123" authorId="0">
      <text>
        <r>
          <rPr>
            <sz val="11"/>
            <color indexed="8"/>
            <rFont val="Helvetica Neue"/>
          </rPr>
          <t xml:space="preserve">Author:
From Shuaib: For informal drains, there is no possibility for any estimate and would not like to make data for the sake. I have contacted some of our respondents and they can hardly give a figure of users of informal drains. </t>
        </r>
      </text>
    </comment>
    <comment ref="AJ128" authorId="0">
      <text>
        <r>
          <rPr>
            <sz val="11"/>
            <color indexed="8"/>
            <rFont val="Helvetica Neue"/>
          </rPr>
          <t>Author:
Nigeria PPP: 123.66
sold in 40L containers. *25 to convert to kL</t>
        </r>
      </text>
    </comment>
    <comment ref="AS128" authorId="0">
      <text>
        <r>
          <rPr>
            <sz val="11"/>
            <color indexed="8"/>
            <rFont val="Helvetica Neue"/>
          </rPr>
          <t xml:space="preserve">Author:
With electricity N10-15 / 40 Liters
Without electricity N20 / 40 liters
15*(1000/40) = 375 N / m3
375/PPP rate = 3.5 </t>
        </r>
      </text>
    </comment>
    <comment ref="AJ139" authorId="0">
      <text>
        <r>
          <rPr>
            <sz val="11"/>
            <color indexed="8"/>
            <rFont val="Helvetica Neue"/>
          </rPr>
          <t xml:space="preserve">Author:
This reflects the 2018 corrected costs, not the 2012 WSUP study. </t>
        </r>
      </text>
    </comment>
    <comment ref="AS139" authorId="0">
      <text>
        <r>
          <rPr>
            <sz val="11"/>
            <color indexed="8"/>
            <rFont val="Helvetica Neue"/>
          </rPr>
          <t xml:space="preserve">Author:
This reflects the 2018 corrected costs, not the 2012 WSUP study. </t>
        </r>
      </text>
    </comment>
    <comment ref="BS140" authorId="0">
      <text>
        <r>
          <rPr>
            <sz val="11"/>
            <color indexed="8"/>
            <rFont val="Helvetica Neue"/>
          </rPr>
          <t>Author:
Households pay for the maintenance (like repairing) cost when required only</t>
        </r>
      </text>
    </comment>
    <comment ref="BS141" authorId="0">
      <text>
        <r>
          <rPr>
            <sz val="11"/>
            <color indexed="8"/>
            <rFont val="Helvetica Neue"/>
          </rPr>
          <t>Author:
Households pay for the maintenance (like repairing) cost when required only</t>
        </r>
      </text>
    </comment>
    <comment ref="AJ143" authorId="0">
      <text>
        <r>
          <rPr>
            <sz val="11"/>
            <color indexed="8"/>
            <rFont val="Helvetica Neue"/>
          </rPr>
          <t>Author:
sold as L.C. MZM 10 per 20L jerrycan
2018 updated costs
From Clara: here the prices vary among the resellers, between 5 to 10 MZM per jerrycan. In addition, some resellers also allow neighbors to fetch water and pay later if they need.</t>
        </r>
      </text>
    </comment>
    <comment ref="AS143" authorId="0">
      <text>
        <r>
          <rPr>
            <sz val="11"/>
            <color indexed="8"/>
            <rFont val="Helvetica Neue"/>
          </rPr>
          <t>Author:
sold as L.C. MZM 10 per 20L jerrycan
2018 updated costs</t>
        </r>
      </text>
    </comment>
    <comment ref="BS146" authorId="0">
      <text>
        <r>
          <rPr>
            <sz val="11"/>
            <color indexed="8"/>
            <rFont val="Helvetica Neue"/>
          </rPr>
          <t>Author:
 The payment for the use of sanitation facility is part of the rent for the house per month</t>
        </r>
      </text>
    </comment>
    <comment ref="AJ148" authorId="0">
      <text>
        <r>
          <rPr>
            <sz val="11"/>
            <color indexed="8"/>
            <rFont val="Helvetica Neue"/>
          </rPr>
          <t xml:space="preserve">Author:
MK200/month - converted using 10 m3 month. </t>
        </r>
      </text>
    </comment>
    <comment ref="AS148" authorId="0">
      <text>
        <r>
          <rPr>
            <sz val="11"/>
            <color indexed="8"/>
            <rFont val="Helvetica Neue"/>
          </rPr>
          <t xml:space="preserve">Author:
MK200/month - converted using 10 m3 month. </t>
        </r>
      </text>
    </comment>
    <comment ref="AR150" authorId="0">
      <text>
        <r>
          <rPr>
            <sz val="11"/>
            <color indexed="8"/>
            <rFont val="Helvetica Neue"/>
          </rPr>
          <t>Author:
[ The percentages add up to more than 100%. This partly because rainwater collection only happens on some days of the rainy season . The KI also reported that  only 3.9% of all households are collecting rainwater during that period of the year?]</t>
        </r>
      </text>
    </comment>
    <comment ref="AJ152" authorId="0">
      <text>
        <r>
          <rPr>
            <sz val="11"/>
            <color indexed="8"/>
            <rFont val="Helvetica Neue"/>
          </rPr>
          <t>Author:
Most are informal or illegal (free), some that are metered pay 20
Kenya PPP: 46.49</t>
        </r>
      </text>
    </comment>
    <comment ref="AJ153" authorId="0">
      <text>
        <r>
          <rPr>
            <sz val="11"/>
            <color indexed="8"/>
            <rFont val="Helvetica Neue"/>
          </rPr>
          <t>Author:
Most are informal or illegal connections (free) or have free access to yard taps. Some pay but it is heavily subsidized</t>
        </r>
      </text>
    </comment>
    <comment ref="BX153" authorId="0">
      <text>
        <r>
          <rPr>
            <sz val="11"/>
            <color indexed="8"/>
            <rFont val="Helvetica Neue"/>
          </rPr>
          <t>Author:
collapsed informal sewer into category A. sewer</t>
        </r>
      </text>
    </comment>
    <comment ref="CB153" authorId="0">
      <text>
        <r>
          <rPr>
            <sz val="11"/>
            <color indexed="8"/>
            <rFont val="Helvetica Neue"/>
          </rPr>
          <t>Author:
10000-15000 for a shack; 15000-30000  for block of tenemants</t>
        </r>
      </text>
    </comment>
    <comment ref="AJ154" authorId="0">
      <text>
        <r>
          <rPr>
            <sz val="11"/>
            <color indexed="8"/>
            <rFont val="Helvetica Neue"/>
          </rPr>
          <t>Author:
Only few purchase since most can access water for free through illegal or informal supply at village
Kiosk L.C. 20
ATM L.C. 25</t>
        </r>
      </text>
    </comment>
  </commentList>
</comments>
</file>

<file path=xl/comments2.xml><?xml version="1.0" encoding="utf-8"?>
<comments xmlns="http://schemas.openxmlformats.org/spreadsheetml/2006/main">
  <authors>
    <author>Author</author>
  </authors>
  <commentList>
    <comment ref="D5" authorId="0">
      <text>
        <r>
          <rPr>
            <sz val="11"/>
            <color indexed="8"/>
            <rFont val="Helvetica Neue"/>
          </rPr>
          <t xml:space="preserve">Author:
Caracas Metropolitan Area is officially a metropolitan municipality, the main authority is the metropolitan major and there is a metropolitan assembly for legislative functions. The Major and the members of the assembly are directly elected. This administrative body is made up of five municipalities: Libertador (capital district), Chacao, Sucre, El Hatillo and Baruta. </t>
        </r>
      </text>
    </comment>
    <comment ref="AC5" authorId="0">
      <text>
        <r>
          <rPr>
            <sz val="11"/>
            <color indexed="8"/>
            <rFont val="Helvetica Neue"/>
          </rPr>
          <t>Author:
not common, domestic workers are usually women
these figures are based off minimum wage</t>
        </r>
      </text>
    </comment>
    <comment ref="AF5" authorId="0">
      <text>
        <r>
          <rPr>
            <sz val="11"/>
            <color indexed="8"/>
            <rFont val="Helvetica Neue"/>
          </rPr>
          <t>Author:
uncommon, construction workers are usually men</t>
        </r>
      </text>
    </comment>
    <comment ref="AI6" authorId="0">
      <text>
        <r>
          <rPr>
            <sz val="11"/>
            <color indexed="8"/>
            <rFont val="Helvetica Neue"/>
          </rPr>
          <t>Author:
The information of this table is based on official statistics and the minimum urban wage for 2012. It was before the economic crisis in Venezuela, in 2012 the inflation rate was not so high and the difference between the official exchange rate and black market was not as crazy as we have today and during 2017. I suggest to use in this case the official rate, is the common practice for income and minimum wage. For 2012, the official exchange rate was 4,30 Bs/$, therefore the city average household income/month would be  1803 USD. The informal settlement household income with the same rate is  1075 USD.</t>
        </r>
      </text>
    </comment>
    <comment ref="AH13" authorId="0">
      <text>
        <r>
          <rPr>
            <sz val="11"/>
            <color indexed="8"/>
            <rFont val="Helvetica Neue"/>
          </rPr>
          <t>Author:
There is a 26.6% of households settled in “informal” settlements, referring to zones in the city in which there is a deficit of basic services and registered blue prints at the Cochabamba municipality. This based on an interview with Mauricio Fernandez who staff at the planning depart of the Municipal Government of Cochabamba.</t>
        </r>
      </text>
    </comment>
    <comment ref="AJ13" authorId="0">
      <text>
        <r>
          <rPr>
            <sz val="11"/>
            <color indexed="8"/>
            <rFont val="Helvetica Neue"/>
          </rPr>
          <t>Author:
only national available from the national institute of statistics in bolivia</t>
        </r>
      </text>
    </comment>
    <comment ref="AC19" authorId="0">
      <text>
        <r>
          <rPr>
            <sz val="11"/>
            <color indexed="8"/>
            <rFont val="Helvetica Neue"/>
          </rPr>
          <t>Author:
This is the salary of Domestic Employees in the State of RJ.</t>
        </r>
      </text>
    </comment>
    <comment ref="AH81" authorId="0">
      <text>
        <r>
          <rPr>
            <sz val="11"/>
            <color indexed="8"/>
            <rFont val="Helvetica Neue"/>
          </rPr>
          <t>Author:
10- 13% (source: PMC 2011) - only considering the most urban poor 
35-40% estimated from Census Projections PMC – (more realistic figure, use this one)</t>
        </r>
      </text>
    </comment>
    <comment ref="D102" authorId="0">
      <text>
        <r>
          <rPr>
            <sz val="11"/>
            <color indexed="8"/>
            <rFont val="Helvetica Neue"/>
          </rPr>
          <t xml:space="preserve">Author:
It was a municipality and upgraded to a city corporation with an area of 316 square kilometers. But the actual area was reported as 213.8 Sq.Km  in National Report Volume 3 Urban Area Report, BBs, 2014. 
It consists of 90 Wards and composed of two corporations: Dhaka South City Corporation and Dhaka North City Corporation since 2012. </t>
        </r>
      </text>
    </comment>
    <comment ref="AH102" authorId="0">
      <text>
        <r>
          <rPr>
            <sz val="11"/>
            <color indexed="8"/>
            <rFont val="Helvetica Neue"/>
          </rPr>
          <t xml:space="preserve">Author:
Official government figure: 9.26%  Source: Slum Census 2014 (Table P-01) and Total households in Dhaka (8.23% with adjusted fig in 2014) 
More accurate: Recent NGO estimates with personal observation: 23% Source: Human Development in South Asia 2014, Mahbubul Hoq Human Development Center, Pakistan </t>
        </r>
      </text>
    </comment>
    <comment ref="C110" authorId="0">
      <text>
        <r>
          <rPr>
            <sz val="11"/>
            <color indexed="8"/>
            <rFont val="Helvetica Neue"/>
          </rPr>
          <t>Author:
(it represents the six administrative districts that are included in th municipal jurisdiction of Karachi Metropolitan Corporation)</t>
        </r>
      </text>
    </comment>
    <comment ref="AJ150" authorId="0">
      <text>
        <r>
          <rPr>
            <sz val="11"/>
            <color indexed="8"/>
            <rFont val="Helvetica Neue"/>
          </rPr>
          <t>Author:
 A World Bank Study published in 2016, indicated the 66% of Nairobi’s Households earn less than Ksh 22,500 per month [Note that informal settlements accommodate more than half of Nairobi’s population]
[source: http://documents.worldbank.org/curated/en/639231468043512906/pdf/AUS8099-WP-P148360-PUBLIC-KE-Urbanization-ACS.pdf</t>
        </r>
      </text>
    </comment>
  </commentList>
</comments>
</file>

<file path=xl/comments3.xml><?xml version="1.0" encoding="utf-8"?>
<comments xmlns="http://schemas.openxmlformats.org/spreadsheetml/2006/main">
  <authors>
    <author>Author</author>
  </authors>
  <commentList>
    <comment ref="M5" authorId="0">
      <text>
        <r>
          <rPr>
            <sz val="11"/>
            <color indexed="8"/>
            <rFont val="Helvetica Neue"/>
          </rPr>
          <t>Author:
(official institutions)</t>
        </r>
      </text>
    </comment>
    <comment ref="AI5" authorId="0">
      <text>
        <r>
          <rPr>
            <sz val="11"/>
            <color indexed="8"/>
            <rFont val="Helvetica Neue"/>
          </rPr>
          <t>Author:
If all households were connected, some places will get service with a very low frequency. It is difficult to estimate the deficit in terms of households. Nowadays, almost all households are connected, either legally or illegally</t>
        </r>
      </text>
    </comment>
    <comment ref="AL5" authorId="0">
      <text>
        <r>
          <rPr>
            <sz val="11"/>
            <color indexed="8"/>
            <rFont val="Helvetica Neue"/>
          </rPr>
          <t>Author:
The budget included for the water system, is the entire budget of Hidrocapital for 2014. However, this company provides services not only for Caracas’ Metropolitan Area, but for other cities as well. There are other five aqueducts managed by Hidrocapital for providing water service in cities and areas close to Caracas, in Miranda and Vargas state. There is not a separate budget for Caracas because water sources and treatment plants are almost the same.</t>
        </r>
      </text>
    </comment>
    <comment ref="AV5" authorId="0">
      <text>
        <r>
          <rPr>
            <sz val="11"/>
            <color indexed="8"/>
            <rFont val="Helvetica Neue"/>
          </rPr>
          <t>Author:
In Venezuela, water treatment plants have, in general terms the following problems: operational water flow higher/lower than the original design, sedimentation units operated with less retention time than the one recommended, low filtration rate and other operational issues, as indicated by (Najul and Blanco 2014). The plants lost its original capacity due to obsolescence of equipment and infrastructure</t>
        </r>
      </text>
    </comment>
    <comment ref="M13" authorId="0">
      <text>
        <r>
          <rPr>
            <sz val="11"/>
            <color indexed="8"/>
            <rFont val="Helvetica Neue"/>
          </rPr>
          <t>Author:
(industrial, commercial, special)</t>
        </r>
      </text>
    </comment>
    <comment ref="AW13" authorId="0">
      <text>
        <r>
          <rPr>
            <sz val="11"/>
            <color indexed="8"/>
            <rFont val="Helvetica Neue"/>
          </rPr>
          <t>Author:
 for 3 water and 3 disinfection plans</t>
        </r>
      </text>
    </comment>
    <comment ref="AX13" authorId="0">
      <text>
        <r>
          <rPr>
            <sz val="11"/>
            <color indexed="8"/>
            <rFont val="Helvetica Neue"/>
          </rPr>
          <t>Author:
 for 3 treatment plants and 3 disinfection plans</t>
        </r>
      </text>
    </comment>
    <comment ref="H19" authorId="0">
      <text>
        <r>
          <rPr>
            <sz val="11"/>
            <color indexed="8"/>
            <rFont val="Helvetica Neue"/>
          </rPr>
          <t>Author:
There are 693 minority stakeholders</t>
        </r>
      </text>
    </comment>
    <comment ref="S19" authorId="0">
      <text>
        <r>
          <rPr>
            <sz val="11"/>
            <color indexed="8"/>
            <rFont val="Helvetica Neue"/>
          </rPr>
          <t>Author:
The Federal Sanitation Law provides differentiated rates according to the categories of real estate and consumption ranges. It is a fair and rational criterion, obeyed by the tariff structure of CEDAE, and means that those who can and do consume more, pay a little more, according to the consumption bands reached. This measure is in accordance with the Law that determines, in the establishment of tariffs, the inhibition of superfluous consumption and waste</t>
        </r>
      </text>
    </comment>
    <comment ref="AW19" authorId="0">
      <text>
        <r>
          <rPr>
            <sz val="11"/>
            <color indexed="8"/>
            <rFont val="Helvetica Neue"/>
          </rPr>
          <t>Author:
Cost of electricity: 4.5 million, cost of chemicals: 3.5 million / month</t>
        </r>
      </text>
    </comment>
    <comment ref="K43" authorId="0">
      <text>
        <r>
          <rPr>
            <sz val="11"/>
            <color indexed="8"/>
            <rFont val="Helvetica Neue"/>
          </rPr>
          <t>Author:
based on 2014 data</t>
        </r>
      </text>
    </comment>
    <comment ref="N43" authorId="0">
      <text>
        <r>
          <rPr>
            <sz val="11"/>
            <color indexed="8"/>
            <rFont val="Helvetica Neue"/>
          </rPr>
          <t>Author:
based on 2016 data</t>
        </r>
      </text>
    </comment>
    <comment ref="AI43" authorId="0">
      <text>
        <r>
          <rPr>
            <sz val="11"/>
            <color indexed="8"/>
            <rFont val="Helvetica Neue"/>
          </rPr>
          <t>Author:
As stated above, the déficit is maily based on the expected yearly water demand, and the water production capacity of the system. However, it is not that a specific % of the households do not have acess to the  network water.</t>
        </r>
      </text>
    </comment>
    <comment ref="M48" authorId="0">
      <text>
        <r>
          <rPr>
            <sz val="11"/>
            <color indexed="8"/>
            <rFont val="Helvetica Neue"/>
          </rPr>
          <t>Author:
gardens and fountains</t>
        </r>
      </text>
    </comment>
    <comment ref="AL48" authorId="0">
      <text>
        <r>
          <rPr>
            <sz val="11"/>
            <color indexed="8"/>
            <rFont val="Helvetica Neue"/>
          </rPr>
          <t>Author:
Water budgets are completely funded through tariffs, which is why it is higher than the municipal budget.</t>
        </r>
      </text>
    </comment>
    <comment ref="AF56" authorId="0">
      <text>
        <r>
          <rPr>
            <sz val="11"/>
            <color indexed="8"/>
            <rFont val="Helvetica Neue"/>
          </rPr>
          <t xml:space="preserve">Author:
 (conservative estimate). Demand per capita might increase in time </t>
        </r>
      </text>
    </comment>
    <comment ref="AK56" authorId="0">
      <text>
        <r>
          <rPr>
            <sz val="11"/>
            <color indexed="8"/>
            <rFont val="Helvetica Neue"/>
          </rPr>
          <t xml:space="preserve">Author:
However please note: Bangalore has different government parastatal agencies for urban planning and development (BDA, BMRDA), transport (BMTC, BMRCL, Suburban Rail – DULT…), water supply &amp; sewerage (BWSSB) etc – each agency with its own separate budget. 
As such, the above figure is the total Municipal (BBMP) Budget ONLY, and not the total City Budget (which is difficult to get, but below link is just an illustration). 
Reference:
http://bengaluru.citizenmatters.in/allocation-for-bangaore-in-karnataka-budget-2016-8148 </t>
        </r>
      </text>
    </comment>
    <comment ref="AT56" authorId="0">
      <text>
        <r>
          <rPr>
            <sz val="11"/>
            <color indexed="8"/>
            <rFont val="Helvetica Neue"/>
          </rPr>
          <t>Author:
last phase</t>
        </r>
      </text>
    </comment>
    <comment ref="BB57" authorId="0">
      <text>
        <r>
          <rPr>
            <sz val="11"/>
            <color indexed="8"/>
            <rFont val="Helvetica Neue"/>
          </rPr>
          <t xml:space="preserve">Author:
The Bangalore Water Supply and Sewerage Board (BWSSB) is the only organization that has the authority to produce the data; usage of any other data could become controversial. BWSSB have recently added their test results in their web page. You can remove all the ‘n/a’ except the “GAC used in filtration” column. Every other treatment/ testing are done! Regarding GAC alone, I would have to check further as the information is not available in their reports and would update ASAP. </t>
        </r>
      </text>
    </comment>
    <comment ref="R70" authorId="0">
      <text>
        <r>
          <rPr>
            <sz val="11"/>
            <color indexed="8"/>
            <rFont val="Helvetica Neue"/>
          </rPr>
          <t>Author:
 for certain types of dwellings (residential areas excluding slums, buildings constructed under SRA, buildings constructed for project affected families, buildings constructed for low income group etc.) who have metered water connections increasing block rate tariffs are applied</t>
        </r>
      </text>
    </comment>
    <comment ref="AS70" authorId="0">
      <text>
        <r>
          <rPr>
            <sz val="11"/>
            <color indexed="8"/>
            <rFont val="Helvetica Neue"/>
          </rPr>
          <t>Author:
based off of water treatment capacity. %HH was not quantifiable.</t>
        </r>
      </text>
    </comment>
    <comment ref="G81" authorId="0">
      <text>
        <r>
          <rPr>
            <sz val="11"/>
            <color indexed="8"/>
            <rFont val="Helvetica Neue"/>
          </rPr>
          <t>Author:
A: 399 Dug well, 4,820 Bore wells is the only official data available. These are privately owned or are not in use; C: Rivers are polluted. The water from the river cannot be directly used; D: Information on direct usage from the lakes is not available; E: 58 Service reservoirs are available</t>
        </r>
      </text>
    </comment>
    <comment ref="N90" authorId="0">
      <text>
        <r>
          <rPr>
            <sz val="11"/>
            <color indexed="8"/>
            <rFont val="Helvetica Neue"/>
          </rPr>
          <t>Author:
National Staff 8900 total; 1246 staff in Colombo</t>
        </r>
      </text>
    </comment>
    <comment ref="I102" authorId="0">
      <text>
        <r>
          <rPr>
            <sz val="11"/>
            <color indexed="8"/>
            <rFont val="Helvetica Neue"/>
          </rPr>
          <t xml:space="preserve">Author:
State government: Under the Ministry of Local Government, Rural Development and Cooperatives </t>
        </r>
      </text>
    </comment>
    <comment ref="R102" authorId="0">
      <text>
        <r>
          <rPr>
            <sz val="11"/>
            <color indexed="8"/>
            <rFont val="Helvetica Neue"/>
          </rPr>
          <t>Author:
 -  Tariff charged exactly on quantity of water used per month</t>
        </r>
      </text>
    </comment>
    <comment ref="AJ102" authorId="0">
      <text>
        <r>
          <rPr>
            <sz val="11"/>
            <color indexed="8"/>
            <rFont val="Helvetica Neue"/>
          </rPr>
          <t>Author:
 - But continuous supply from  pipeline fills community underground reservoirs, and then residents hand-pump or use an electric pump</t>
        </r>
      </text>
    </comment>
    <comment ref="BG102" authorId="0">
      <text>
        <r>
          <rPr>
            <sz val="11"/>
            <color indexed="8"/>
            <rFont val="Helvetica Neue"/>
          </rPr>
          <t>Author:
 - At sample points </t>
        </r>
      </text>
    </comment>
    <comment ref="BL102" authorId="0">
      <text>
        <r>
          <rPr>
            <sz val="11"/>
            <color indexed="8"/>
            <rFont val="Helvetica Neue"/>
          </rPr>
          <t>Author:
 - In few distribution points</t>
        </r>
      </text>
    </comment>
    <comment ref="AK110" authorId="0">
      <text>
        <r>
          <rPr>
            <sz val="11"/>
            <color indexed="8"/>
            <rFont val="Helvetica Neue"/>
          </rPr>
          <t>Author:
total of KMC and KWSB budgets</t>
        </r>
      </text>
    </comment>
    <comment ref="AS110" authorId="0">
      <text>
        <r>
          <rPr>
            <sz val="11"/>
            <color indexed="8"/>
            <rFont val="Helvetica Neue"/>
          </rPr>
          <t xml:space="preserve">Author:
Filtration capacity is 80 mgd.
All %HH are estimations off capacity and geographical areas served. </t>
        </r>
      </text>
    </comment>
    <comment ref="AS111" authorId="0">
      <text>
        <r>
          <rPr>
            <sz val="11"/>
            <color indexed="8"/>
            <rFont val="Helvetica Neue"/>
          </rPr>
          <t>Author:
Filtration capacity is 100 mgd; Filtration capacity is 25 mgd</t>
        </r>
      </text>
    </comment>
    <comment ref="AS112" authorId="0">
      <text>
        <r>
          <rPr>
            <sz val="11"/>
            <color indexed="8"/>
            <rFont val="Helvetica Neue"/>
          </rPr>
          <t>Author:
50 mgd; 50 mgd
for each upgrade</t>
        </r>
      </text>
    </comment>
    <comment ref="AS113" authorId="0">
      <text>
        <r>
          <rPr>
            <sz val="11"/>
            <color indexed="8"/>
            <rFont val="Helvetica Neue"/>
          </rPr>
          <t>Author:
10 mgd; 20mgd</t>
        </r>
      </text>
    </comment>
    <comment ref="AS114" authorId="0">
      <text>
        <r>
          <rPr>
            <sz val="11"/>
            <color indexed="8"/>
            <rFont val="Helvetica Neue"/>
          </rPr>
          <t>Author:
70 mgd; 45 mgd</t>
        </r>
      </text>
    </comment>
    <comment ref="AB126" authorId="0">
      <text>
        <r>
          <rPr>
            <sz val="11"/>
            <color indexed="8"/>
            <rFont val="Helvetica Neue"/>
          </rPr>
          <t>Author:
2. Other, specify: 210 Million Gallons Per Day (MGD) X 365</t>
        </r>
      </text>
    </comment>
    <comment ref="AJ126" authorId="0">
      <text>
        <r>
          <rPr>
            <sz val="11"/>
            <color indexed="8"/>
            <rFont val="Helvetica Neue"/>
          </rPr>
          <t>Author:
 (due to power deficiency)</t>
        </r>
      </text>
    </comment>
    <comment ref="AK126" authorId="0">
      <text>
        <r>
          <rPr>
            <sz val="11"/>
            <color indexed="8"/>
            <rFont val="Helvetica Neue"/>
          </rPr>
          <t xml:space="preserve">Author:
The total annual budget for Lagos state (2016) - N662,558 billion 
Annual budget for provision of potable water (2016) – N 17.6 billion. This is to cover the rehabilitation of existing mini waterworks, advancement of Adiyan waterworks phase II and improvement of water reticulation to other communities. </t>
        </r>
      </text>
    </comment>
    <comment ref="AL137" authorId="0">
      <text>
        <r>
          <rPr>
            <sz val="11"/>
            <color indexed="8"/>
            <rFont val="Helvetica Neue"/>
          </rPr>
          <t>Author:
 (*Operational cost including the maintenance, excluding capital cost.)</t>
        </r>
      </text>
    </comment>
    <comment ref="AJ150" authorId="0">
      <text>
        <r>
          <rPr>
            <sz val="11"/>
            <color indexed="8"/>
            <rFont val="Helvetica Neue"/>
          </rPr>
          <t xml:space="preserve">Author:
billing manager noted increase in water storage practices for households so there is less need to give pressured tap flow. </t>
        </r>
      </text>
    </comment>
  </commentList>
</comments>
</file>

<file path=xl/comments4.xml><?xml version="1.0" encoding="utf-8"?>
<comments xmlns="http://schemas.openxmlformats.org/spreadsheetml/2006/main">
  <authors>
    <author>Author</author>
  </authors>
  <commentList>
    <comment ref="M5" authorId="0">
      <text>
        <r>
          <rPr>
            <sz val="11"/>
            <color indexed="8"/>
            <rFont val="Helvetica Neue"/>
          </rPr>
          <t xml:space="preserve">Author:
There are shallow wells but for private uses and it is not included in the regulation. It is not so common. </t>
        </r>
      </text>
    </comment>
    <comment ref="X56" authorId="0">
      <text>
        <r>
          <rPr>
            <sz val="11"/>
            <color indexed="8"/>
            <rFont val="Helvetica Neue"/>
          </rPr>
          <t xml:space="preserve">Author:
Apart from BWSSB’s own water tankers (70-170), there are 3000-4000 private water sellers operating in the city region. They sell extracted groundwater from public or private tube/bore wells, or illegally tapped Cauvery water from BWSSB’s pipelines. 
The RTO is supposed to register the vehicle/tanker, and BBMP to issue them trade licenses, meant to be renewed annually. </t>
        </r>
      </text>
    </comment>
    <comment ref="AB56" authorId="0">
      <text>
        <r>
          <rPr>
            <sz val="11"/>
            <color indexed="8"/>
            <rFont val="Helvetica Neue"/>
          </rPr>
          <t>Author:
Referring here only to on-site sanitation systems such as septic tanks, soak pits, pit latrines etc
In Bangalore, BWSSB has brought in a system whereby vaccum trucks called ‘honeysuckers’ can dispose of their contents (from septic tanks, soak pits) in designated sewage treatment plants, based on a protocol that has yet to be developed.
(https://www.ircwash.org/sites/default/files/op48.pdf Page 16).
There are also private players providing this service.
As of now the collection, treatment and disposal of fecal sludge is NOT regulated. This is envisioned to change under the National Fecal Sludge and Septage Management Policy (FSSM) of 2017. It has guidelines on how safe disposal can occur, but no State has so far implemented a holistic plan. At present the only (national) guidelines for this sector are for the construction of various on-site sanitation solutions such as septic tanks, soak pits, cess pools etc. as described in the National Building Code published by Bureau of Indian Standards. (from Section.1http://amrut.gov.in/writereaddata/FSSM_Policy_Report_23Feb.pdf )]</t>
        </r>
      </text>
    </comment>
    <comment ref="AC56" authorId="0">
      <text>
        <r>
          <rPr>
            <sz val="11"/>
            <color indexed="8"/>
            <rFont val="Helvetica Neue"/>
          </rPr>
          <t>Author:
Should be BWSSB but currnetly no established regulation… New National FSSM Policy - there is no explicit mention of which agency regulates FS disposal.</t>
        </r>
      </text>
    </comment>
    <comment ref="C102" authorId="0">
      <text>
        <r>
          <rPr>
            <sz val="11"/>
            <color indexed="8"/>
            <rFont val="Helvetica Neue"/>
          </rPr>
          <t>Author:
 (only in dhaka city)</t>
        </r>
      </text>
    </comment>
    <comment ref="W102" authorId="0">
      <text>
        <r>
          <rPr>
            <sz val="11"/>
            <color indexed="8"/>
            <rFont val="Helvetica Neue"/>
          </rPr>
          <t xml:space="preserve">Author:
 * The sellers are registered and about 50% of the manufacturers’ water are certified by the government testing laboratory, Bangladesh Standards and Testing Institution (BSTI), The rest are doing their business without any oversight. </t>
        </r>
      </text>
    </comment>
    <comment ref="D119" authorId="0">
      <text>
        <r>
          <rPr>
            <sz val="11"/>
            <color indexed="8"/>
            <rFont val="Helvetica Neue"/>
          </rPr>
          <t>Author:
Kampala Capital City Authority (KCCA) – as a lead agency for National Environmental Management Authority (NEMA)</t>
        </r>
      </text>
    </comment>
    <comment ref="C137" authorId="0">
      <text>
        <r>
          <rPr>
            <sz val="11"/>
            <color indexed="8"/>
            <rFont val="Helvetica Neue"/>
          </rPr>
          <t>Author:
 (formally, but not in practice)</t>
        </r>
      </text>
    </comment>
    <comment ref="R137" authorId="0">
      <text>
        <r>
          <rPr>
            <sz val="11"/>
            <color indexed="8"/>
            <rFont val="Helvetica Neue"/>
          </rPr>
          <t>Author:
 But poorly.</t>
        </r>
      </text>
    </comment>
  </commentList>
</comments>
</file>

<file path=xl/comments5.xml><?xml version="1.0" encoding="utf-8"?>
<comments xmlns="http://schemas.openxmlformats.org/spreadsheetml/2006/main">
  <authors>
    <author>Author</author>
  </authors>
  <commentList>
    <comment ref="G3" authorId="0">
      <text>
        <r>
          <rPr>
            <sz val="11"/>
            <color indexed="8"/>
            <rFont val="Helvetica Neue"/>
          </rPr>
          <t>Author:
Market exchange currency conversion:
https://www.oanda.com/currency/converter/
Dates:
Cochabamba: 15th April 2017
Dhaka: 15th Nov 2017
All other cities: 15th July 2017</t>
        </r>
      </text>
    </comment>
    <comment ref="E5" authorId="0">
      <text>
        <r>
          <rPr>
            <sz val="11"/>
            <color indexed="8"/>
            <rFont val="Helvetica Neue"/>
          </rPr>
          <t>Author:
In Caracas the price for water is, in general terms, very low. Also, probably most people are not paying. It is difficult to estimate what % do pay because metering capacity at household level is very poor. In formal areas of the city people have to pay, otherwise service is cut. The price indicated in A3 is the tariff usually applied in households placed in the planned area of the city (my own estimation). In informal settlements, most of the people don’t pay for water service, therefore, to establish the most common cost of water service it is not easy, probably most of the people in Caracas are not paying</t>
        </r>
      </text>
    </comment>
    <comment ref="G5" authorId="0">
      <text>
        <r>
          <rPr>
            <sz val="11"/>
            <color indexed="8"/>
            <rFont val="Helvetica Neue"/>
          </rPr>
          <t>Author:
July 2017 (8,600 VEF to 1 USD).</t>
        </r>
      </text>
    </comment>
    <comment ref="I5" authorId="0">
      <text>
        <r>
          <rPr>
            <sz val="11"/>
            <color indexed="8"/>
            <rFont val="Helvetica Neue"/>
          </rPr>
          <t>Author:
though 74% daily water access looks like a high figure, it is common to find people in these stat that get water only from 1-3am. So it does not mean that access is good.</t>
        </r>
      </text>
    </comment>
    <comment ref="E43" authorId="0">
      <text>
        <r>
          <rPr>
            <sz val="11"/>
            <color indexed="8"/>
            <rFont val="Helvetica Neue"/>
          </rPr>
          <t>Author:
Brazil PPP: 2.19</t>
        </r>
      </text>
    </comment>
    <comment ref="AA44" authorId="0">
      <text>
        <r>
          <rPr>
            <sz val="11"/>
            <color indexed="8"/>
            <rFont val="Helvetica Neue"/>
          </rPr>
          <t>Author:
*even though a share of this population might have the habit of leaving the water jars or glasses rest for a minute before consuming, due to the white aspecto f the water once it is out of the tap (iwhich happen in some locations, and people atribute it chloride concentrations)</t>
        </r>
      </text>
    </comment>
    <comment ref="E48" authorId="0">
      <text>
        <r>
          <rPr>
            <sz val="11"/>
            <color indexed="8"/>
            <rFont val="Helvetica Neue"/>
          </rPr>
          <t>Author:
Fixed cost: $2,423.04COP; $637.19 for 0-18/m3; $1,991.23 for 18+/m3
over 18 cubic meters of consumption is considered the 'penalization fee'
at 10m3/month = 2423.04 (monthly) + 637.19</t>
        </r>
      </text>
    </comment>
    <comment ref="C54" authorId="0">
      <text>
        <r>
          <rPr>
            <sz val="11"/>
            <color indexed="8"/>
            <rFont val="Helvetica Neue"/>
          </rPr>
          <t>Author:
illegally taken from piped supply</t>
        </r>
      </text>
    </comment>
    <comment ref="C55" authorId="0">
      <text>
        <r>
          <rPr>
            <sz val="11"/>
            <color indexed="8"/>
            <rFont val="Helvetica Neue"/>
          </rPr>
          <t>Author:
households not connected or using water</t>
        </r>
      </text>
    </comment>
    <comment ref="E56" authorId="0">
      <text>
        <r>
          <rPr>
            <sz val="11"/>
            <color indexed="8"/>
            <rFont val="Helvetica Neue"/>
          </rPr>
          <t>Author:
0-8000 L = INR 7 per KL; 8001-25,000 L= INR 11 per KL; 25,001-50,000 L= INR 25 per KL; 50,001+ = INR 45 per KL</t>
        </r>
      </text>
    </comment>
    <comment ref="E65" authorId="0">
      <text>
        <r>
          <rPr>
            <sz val="11"/>
            <color indexed="8"/>
            <rFont val="Helvetica Neue"/>
          </rPr>
          <t>Author:
based off section G's alternative supplier</t>
        </r>
      </text>
    </comment>
    <comment ref="E82" authorId="0">
      <text>
        <r>
          <rPr>
            <sz val="11"/>
            <color indexed="8"/>
            <rFont val="Helvetica Neue"/>
          </rPr>
          <t>Author:
PMC Water Tankers provide water when there is an urgent matter via helpline. 
PMC-authorized private tankers provide water for free to areas not connected or under maintenance</t>
        </r>
      </text>
    </comment>
    <comment ref="E90" authorId="0">
      <text>
        <r>
          <rPr>
            <sz val="11"/>
            <color indexed="8"/>
            <rFont val="Helvetica Neue"/>
          </rPr>
          <t>Author:
Rs. 50-70 per month; Rs 8/m3 if 0-5 units, Rs 11/m3 if 6-10 units, Rs 20/m3 if 11-15 units
1 unit = 1 m3
at 10 m3/month
60 (monthly avg) + 11*10 = 170</t>
        </r>
      </text>
    </comment>
    <comment ref="E91" authorId="0">
      <text>
        <r>
          <rPr>
            <sz val="11"/>
            <color indexed="8"/>
            <rFont val="Helvetica Neue"/>
          </rPr>
          <t>Author:
Rs. 50 per month; Rs 5/m3 if 0-5 units, Rs 10/m3 if 6-10 units, Rs 15/m3 if 11-15 units
at 10m3/month
50+ (10*10) = 150 rs / month</t>
        </r>
      </text>
    </comment>
    <comment ref="E92" authorId="0">
      <text>
        <r>
          <rPr>
            <sz val="11"/>
            <color indexed="8"/>
            <rFont val="Helvetica Neue"/>
          </rPr>
          <t>Author:
Rs. 50-70 per month; Rs 8/m3 if 0-5 units, Rs 11/m3 if 6-10 units, Rs 20/m3 if 11-15 units</t>
        </r>
      </text>
    </comment>
    <comment ref="E98" authorId="0">
      <text>
        <r>
          <rPr>
            <sz val="11"/>
            <color indexed="8"/>
            <rFont val="Helvetica Neue"/>
          </rPr>
          <t>Author:
60 L.C./liter</t>
        </r>
      </text>
    </comment>
    <comment ref="I102" authorId="0">
      <text>
        <r>
          <rPr>
            <sz val="11"/>
            <color indexed="8"/>
            <rFont val="Helvetica Neue"/>
          </rPr>
          <t>Author:
*These are all 24/7 available in community underground reservoirs, using hand-pump or electrical pump. There is no constant pressure in pipes.</t>
        </r>
      </text>
    </comment>
    <comment ref="E110" authorId="0">
      <text>
        <r>
          <rPr>
            <sz val="11"/>
            <color indexed="8"/>
            <rFont val="Helvetica Neue"/>
          </rPr>
          <t>Author:
Rs 130 per 1000 gallons
1000 gall = 3.785 m3</t>
        </r>
      </text>
    </comment>
    <comment ref="M110" authorId="0">
      <text>
        <r>
          <rPr>
            <sz val="11"/>
            <color indexed="8"/>
            <rFont val="Helvetica Neue"/>
          </rPr>
          <t>Author:
 (depending upon the neighbourhood, income strata of household and household size)</t>
        </r>
      </text>
    </comment>
    <comment ref="I112" authorId="0">
      <text>
        <r>
          <rPr>
            <sz val="11"/>
            <color indexed="8"/>
            <rFont val="Helvetica Neue"/>
          </rPr>
          <t>Author:
As per mutual convenience of mosque managements and local area consumers</t>
        </r>
      </text>
    </comment>
    <comment ref="E113" authorId="0">
      <text>
        <r>
          <rPr>
            <sz val="11"/>
            <color indexed="8"/>
            <rFont val="Helvetica Neue"/>
          </rPr>
          <t>Author:
capital cost to dig a borehole assembly is Rs 80,000 to Rs 100,000</t>
        </r>
      </text>
    </comment>
    <comment ref="AA113" authorId="0">
      <text>
        <r>
          <rPr>
            <sz val="11"/>
            <color indexed="8"/>
            <rFont val="Helvetica Neue"/>
          </rPr>
          <t>Author:
 (Some households use fine cloth to filter the water and then boil it)</t>
        </r>
      </text>
    </comment>
    <comment ref="E114" authorId="0">
      <text>
        <r>
          <rPr>
            <sz val="11"/>
            <color indexed="8"/>
            <rFont val="Helvetica Neue"/>
          </rPr>
          <t>Author:
bottled water ranges from Rs 5-25. Used lower end since larger quantities of cheaper bottles is more likely purchased.</t>
        </r>
      </text>
    </comment>
    <comment ref="H115" authorId="0">
      <text>
        <r>
          <rPr>
            <sz val="11"/>
            <color indexed="8"/>
            <rFont val="Helvetica Neue"/>
          </rPr>
          <t>Author:
as per mutually agreed frequency b/w supplier and consumer</t>
        </r>
      </text>
    </comment>
    <comment ref="C120" authorId="0">
      <text>
        <r>
          <rPr>
            <sz val="11"/>
            <color indexed="8"/>
            <rFont val="Helvetica Neue"/>
          </rPr>
          <t>Author:
some are privately-owned standpipes</t>
        </r>
      </text>
    </comment>
    <comment ref="E120" authorId="0">
      <text>
        <r>
          <rPr>
            <sz val="11"/>
            <color indexed="8"/>
            <rFont val="Helvetica Neue"/>
          </rPr>
          <t>Author:
Uganda PPP: 1,185.8
Sold as 20L Jerrycans. *50 to convert to kL</t>
        </r>
      </text>
    </comment>
    <comment ref="E126" authorId="0">
      <text>
        <r>
          <rPr>
            <sz val="11"/>
            <color indexed="8"/>
            <rFont val="Helvetica Neue"/>
          </rPr>
          <t>Author:
N 0.055 per liter- LWC water tariff;
N 0.32 per liter- Upper middle class gated estate</t>
        </r>
      </text>
    </comment>
    <comment ref="G126" authorId="0">
      <text>
        <r>
          <rPr>
            <sz val="11"/>
            <color indexed="8"/>
            <rFont val="Helvetica Neue"/>
          </rPr>
          <t>Author:
PPP $0.44</t>
        </r>
      </text>
    </comment>
    <comment ref="E128" authorId="0">
      <text>
        <r>
          <rPr>
            <sz val="11"/>
            <color indexed="8"/>
            <rFont val="Helvetica Neue"/>
          </rPr>
          <t>Author:
Water from public tap/stand pipe is fetched at no cost by citizens. This does not encourage people to connect water to their houses. However, the state government pays a sum of N14.6 million each month to the LWC. This amount is sourced from State deductions from all Local Governments in the state
No cost is charged for households that have tube wells or boreholes for their personal water supply. Nonetheless, some individuals construct boreholes and sell water commercially within the city either to individuals or water vendors who collect water in 10-12 kegs of 25 litres each from the boreholes and sell to others.</t>
        </r>
      </text>
    </comment>
    <comment ref="E129" authorId="0">
      <text>
        <r>
          <rPr>
            <sz val="11"/>
            <color indexed="8"/>
            <rFont val="Helvetica Neue"/>
          </rPr>
          <t>Author:
Tube well/borehole for private use is cost-free. Only industial facilities are billed for use of water from boreholes.</t>
        </r>
      </text>
    </comment>
    <comment ref="L137" authorId="0">
      <text>
        <r>
          <rPr>
            <sz val="11"/>
            <color indexed="8"/>
            <rFont val="Helvetica Neue"/>
          </rPr>
          <t>Author:
5% of minimum wage for first 2 blocks</t>
        </r>
      </text>
    </comment>
    <comment ref="L143" authorId="0">
      <text>
        <r>
          <rPr>
            <sz val="11"/>
            <color indexed="8"/>
            <rFont val="Helvetica Neue"/>
          </rPr>
          <t>Author:
 (average per month is Mk1000, per pail is K40 for CWP, for yard stand pipe MK50)</t>
        </r>
      </text>
    </comment>
    <comment ref="E153" authorId="0">
      <text>
        <r>
          <rPr>
            <sz val="11"/>
            <color indexed="8"/>
            <rFont val="Helvetica Neue"/>
          </rPr>
          <t>Author:
sold as 20L jerrycans</t>
        </r>
      </text>
    </comment>
    <comment ref="E159" authorId="0">
      <text>
        <r>
          <rPr>
            <sz val="11"/>
            <color indexed="8"/>
            <rFont val="Helvetica Neue"/>
          </rPr>
          <t>Author:
Water vendor prices depend on the source of the water, type of vendor [a tanker-truck offer relatively lower prices than a handcart vendor-as shown in Section G- Alternative Water Supplier], neighborhood [middle-class neighborhoods pay relatively higher than low-income neighborhoods- the prices are ‘speculative’], and prevailing ‘water supply environment’ [in times of rationing, like the case currently, water prices charged by vendors are higher]. It is thus difficult to ascertain the average without a good sample for the various neighborhoods of the city-Nairobi is quite diverse</t>
        </r>
      </text>
    </comment>
  </commentList>
</comments>
</file>

<file path=xl/comments6.xml><?xml version="1.0" encoding="utf-8"?>
<comments xmlns="http://schemas.openxmlformats.org/spreadsheetml/2006/main">
  <authors>
    <author>Author</author>
  </authors>
  <commentList>
    <comment ref="M3" authorId="0">
      <text>
        <r>
          <rPr>
            <sz val="11"/>
            <color indexed="8"/>
            <rFont val="Helvetica Neue"/>
          </rPr>
          <t>Author:
Market exchange currency conversion:
https://www.oanda.com/currency/converter/
Dates:
Cochabamba: 15th April 2017
Dhaka: 15th Nov 2017
All other cities: 15th July 2017</t>
        </r>
      </text>
    </comment>
    <comment ref="O3" authorId="0">
      <text>
        <r>
          <rPr>
            <sz val="11"/>
            <color indexed="8"/>
            <rFont val="Helvetica Neue"/>
          </rPr>
          <t>Author:
Market exchange currency conversion:
https://www.oanda.com/currency/converter/
Dates:
Cochabamba: 15th April 2017
Dhaka: 15th Nov 2017
All other cities: 15th July 2017</t>
        </r>
      </text>
    </comment>
    <comment ref="K5" authorId="0">
      <text>
        <r>
          <rPr>
            <sz val="11"/>
            <color indexed="8"/>
            <rFont val="Helvetica Neue"/>
          </rPr>
          <t xml:space="preserve">Author:
Hidrocapital utility manager estimates this to be 85% but INE data is more reliable. The figure is higher due to illegal connections and because it measures by household, whereas Hidrocapital measures by customer. “One customer” could be an entire apartment building for Hidrocapital. </t>
        </r>
      </text>
    </comment>
    <comment ref="N5" authorId="0">
      <text>
        <r>
          <rPr>
            <sz val="11"/>
            <color indexed="8"/>
            <rFont val="Helvetica Neue"/>
          </rPr>
          <t>Author:
The official document with the water tariff system defines a charge named as the right for connecting to the city’s sewerage, but the water utility has not set this tariff yet. The water bill for all users includes water service and wastewater collection.</t>
        </r>
      </text>
    </comment>
    <comment ref="AO5" authorId="0">
      <text>
        <r>
          <rPr>
            <sz val="11"/>
            <color indexed="8"/>
            <rFont val="Helvetica Neue"/>
          </rPr>
          <t>Author:
In Venezuela water utilities doesn’t use this indicator, only coverage of wastewater collection (about 85% for Caracas). The water utility doesn´t have a register of households, but for customers. An entire building is considered as 1 customer with one contract. To have an idea of this, Hidrocapital (the water utility) has 220 000 residential customers in Caracas, but Caracas’ population is more than 3 million people. At the end, water coverage and wastewater collection coverage are estimations.
Additional explanation: The water utility only records the indicator Coverage of wastewater collection, it is not the same than household rate of connection. The coverage means proportion of households connected to the sewerage. It is supposed to be the same than the figure in table 11, the problem is that  97 % came for a different source, the National Institute for Satistics (INE) and 85 % was given to me today for one manager of the utility. Unfortunately, the water utility does not have an accurate register of data or indicators and there is not public access for it. I was reading today some reports from NGO’s and academics researchers and a common complaint is the lack of information and inconsistencies between utilities and INE data.</t>
        </r>
      </text>
    </comment>
    <comment ref="K8" authorId="0">
      <text>
        <r>
          <rPr>
            <sz val="11"/>
            <color indexed="8"/>
            <rFont val="Helvetica Neue"/>
          </rPr>
          <t>Author:
J+No data = .65 - rounding up to 1% for "open defecation"</t>
        </r>
      </text>
    </comment>
    <comment ref="J9" authorId="0">
      <text>
        <r>
          <rPr>
            <sz val="11"/>
            <color indexed="8"/>
            <rFont val="Helvetica Neue"/>
          </rPr>
          <t>Author:
Informal drain</t>
        </r>
      </text>
    </comment>
    <comment ref="K9" authorId="0">
      <text>
        <r>
          <rPr>
            <sz val="11"/>
            <color indexed="8"/>
            <rFont val="Helvetica Neue"/>
          </rPr>
          <t>Author:
collapsed into A. sewer</t>
        </r>
      </text>
    </comment>
    <comment ref="AO13" authorId="0">
      <text>
        <r>
          <rPr>
            <sz val="11"/>
            <color indexed="8"/>
            <rFont val="Helvetica Neue"/>
          </rPr>
          <t xml:space="preserve">Author:
The coverage is below the demand. Consequently all the connections available are taken. The families which do not have a connection employ alternatives as septic tanks   </t>
        </r>
      </text>
    </comment>
    <comment ref="AB19" authorId="0">
      <text>
        <r>
          <rPr>
            <sz val="11"/>
            <color indexed="8"/>
            <rFont val="Helvetica Neue"/>
          </rPr>
          <t>Author:
Concessionaire 1: CEDAE - 12 larger sewage treatment plants; Concessionaire 2: Foz Águas 5 - 14 larger sewage treatment plants; Several smaller sewage treatment plants coming from urbanization programs of the federal municipal government</t>
        </r>
      </text>
    </comment>
    <comment ref="AG19" authorId="0">
      <text>
        <r>
          <rPr>
            <sz val="11"/>
            <color indexed="8"/>
            <rFont val="Helvetica Neue"/>
          </rPr>
          <t>Author:
Some of these % estimates were based off capacitiy. Many STS are not operating at full capacity. So these numbers are not fully representative.
% estimates were found by (people served)/(total census population)</t>
        </r>
      </text>
    </comment>
    <comment ref="AO19" authorId="0">
      <text>
        <r>
          <rPr>
            <sz val="11"/>
            <color indexed="8"/>
            <rFont val="Helvetica Neue"/>
          </rPr>
          <t>Author:
There is legislation in Rio de Janeiro,
 that if the company offers the sanitation service, the population is obliged to accept the service.  I am locating this legislation and the article that brings this information.
 So we maintain the 53% out of  initial data of 53%.</t>
        </r>
      </text>
    </comment>
    <comment ref="AO43" authorId="0">
      <text>
        <r>
          <rPr>
            <sz val="11"/>
            <color indexed="8"/>
            <rFont val="Helvetica Neue"/>
          </rPr>
          <t>Author:
In city of São Paulo, the households and other buildings need to connect to the sewer, mandatorily, if their street has collection trunks. However, it there are many cases in which the connection have not been done yet, due to lack of information, not increase the monthly water taxes or not to have the connection costs. The rate varies significantly amongst the regions of Sao Paulo city, between 0.1% and 5% of not connect establishments when connection is accessible. By an estimated value, the rate of connection was considered 97%.</t>
        </r>
      </text>
    </comment>
    <comment ref="AP43" authorId="0">
      <text>
        <r>
          <rPr>
            <sz val="11"/>
            <color indexed="8"/>
            <rFont val="Helvetica Neue"/>
          </rPr>
          <t>Author:
São Paulo has a separated system, and only municipal wastewater is treated in the WWTPs.</t>
        </r>
      </text>
    </comment>
    <comment ref="AT43" authorId="0">
      <text>
        <r>
          <rPr>
            <sz val="11"/>
            <color indexed="8"/>
            <rFont val="Helvetica Neue"/>
          </rPr>
          <t>Author:
Pit latrines are not common in São Paulo</t>
        </r>
      </text>
    </comment>
    <comment ref="AP44" authorId="0">
      <text>
        <r>
          <rPr>
            <sz val="11"/>
            <color indexed="8"/>
            <rFont val="Helvetica Neue"/>
          </rPr>
          <t>Author:
The treatment plants that attend Sao Paulo are responsible for receiving the sludge. There is no dedicated plant only for sludge treatment.</t>
        </r>
      </text>
    </comment>
    <comment ref="AP45" authorId="0">
      <text>
        <r>
          <rPr>
            <sz val="11"/>
            <color indexed="8"/>
            <rFont val="Helvetica Neue"/>
          </rPr>
          <t>Author:
The conventional WWTPs that attend São Paulo generally treat sludge on site.</t>
        </r>
      </text>
    </comment>
    <comment ref="L48" authorId="0">
      <text>
        <r>
          <rPr>
            <sz val="11"/>
            <color indexed="8"/>
            <rFont val="Helvetica Neue"/>
          </rPr>
          <t xml:space="preserve">Author:
If the informal settlement is 550000, this was estimated as 680000. however she specifies it was 'wastewater construction', not facility construction. This needs clarity. </t>
        </r>
      </text>
    </comment>
    <comment ref="N48" authorId="0">
      <text>
        <r>
          <rPr>
            <sz val="11"/>
            <color indexed="8"/>
            <rFont val="Helvetica Neue"/>
          </rPr>
          <t xml:space="preserve">Author:
180000 COP plus 15% of the construction of the wastewater connection according to the level of the household. </t>
        </r>
      </text>
    </comment>
    <comment ref="AO48" authorId="0">
      <text>
        <r>
          <rPr>
            <sz val="11"/>
            <color indexed="8"/>
            <rFont val="Helvetica Neue"/>
          </rPr>
          <t xml:space="preserve">Author:
 I wish to reiterate that even though the sanitation connection in the municipal company says 87% it is an estimation due to the connections that are legal. There are many illegal conections to the wastewater treatment plant and many illegal connection to nearby rivers. </t>
        </r>
      </text>
    </comment>
    <comment ref="C49" authorId="0">
      <text>
        <r>
          <rPr>
            <sz val="11"/>
            <color indexed="8"/>
            <rFont val="Helvetica Neue"/>
          </rPr>
          <t>Author:
 They are connected by pipes directly to a stream or river</t>
        </r>
      </text>
    </comment>
    <comment ref="N56" authorId="0">
      <text>
        <r>
          <rPr>
            <sz val="11"/>
            <color indexed="8"/>
            <rFont val="Helvetica Neue"/>
          </rPr>
          <t>Author:
INR 120 + 25% of monthly water bill (but outdated)
Average monthly water bill is INR 250
120+(250*.25)=182.5
182.5/19.98 = 9.13…. Monthly charge</t>
        </r>
      </text>
    </comment>
    <comment ref="N57" authorId="0">
      <text>
        <r>
          <rPr>
            <sz val="11"/>
            <color indexed="8"/>
            <rFont val="Helvetica Neue"/>
          </rPr>
          <t xml:space="preserve">Author:
One time septic tank cleaning services offered by private players in the city. </t>
        </r>
      </text>
    </comment>
    <comment ref="N58" authorId="0">
      <text>
        <r>
          <rPr>
            <sz val="11"/>
            <color indexed="8"/>
            <rFont val="Helvetica Neue"/>
          </rPr>
          <t>Author:
This is a conservative minimum estimate for one pit latrines - with temporary superstructure / or made of hollow bricks with roof. The rates in the report (INR 1515-6875) have been compounded at 8% for 4 years to get an idea of possible current rates. 
Pour flush twin pit-latrines (INR 7257) compounded at 8% for 4 years amounts to: INR 10,000.
http://www.gramalaya.in/pdf/appropriateLowcost_toilet_technology.pdf
Pour flush twin pit-latrines constructed by NGO Abhinav: INR 12,000-13,000
http://www.abhinavindia.org/page-details.php?pid=12
https://www.giveindia.org/p-10147-promote-health-and-hygiene-by-helping-build-a-low-cost-toilet.aspx
Pour flush twin-pit latrine costs between INR 15,000-20,000 approx.
http://www.swachhbharaturban.in:8080/sbm/content/writereaddata/SBM_Guideline.pdf ; pg 39</t>
        </r>
      </text>
    </comment>
    <comment ref="N70" authorId="0">
      <text>
        <r>
          <rPr>
            <sz val="11"/>
            <color indexed="8"/>
            <rFont val="Helvetica Neue"/>
          </rPr>
          <t xml:space="preserve">Author:
no official fee, but resident has to pay for trench digging costs and materials
The cost depends on how far the sewer pipe located from the individual property. The cost ranges between Rs. 4000 to 12,000. In the case of multi-story building, the cost is shared across all residents. </t>
        </r>
      </text>
    </comment>
    <comment ref="AO70" authorId="0">
      <text>
        <r>
          <rPr>
            <sz val="11"/>
            <color indexed="8"/>
            <rFont val="Helvetica Neue"/>
          </rPr>
          <t>Author:
(Note: Any new developmental projects are required to go through review from the Sewerage Project (SP) Department and obtain remarks and a No Objection Certificate (NOC) thereafter stating the connectivity arrangement to the main sewer lines laid by MCGM, making it compulsory to connect to the city sewer network. In a scenario where sewerage network connectivity is not found feasible the project needs to provide a treatment facility with further approval and NOC from the SP Dept. This process is compulsory and thus connecting to the city sewer network is compulsory for any authorized developments undertaken in the city. In an alternate scenario, where developments have already been undertaken with septic tanks, and sewer networks are laid down later, the MCGM insists such developments to connect to the network, unless not feasible. )</t>
        </r>
      </text>
    </comment>
    <comment ref="AS70" authorId="0">
      <text>
        <r>
          <rPr>
            <sz val="11"/>
            <color indexed="8"/>
            <rFont val="Helvetica Neue"/>
          </rPr>
          <t>Author:
(Solid Waste Management &amp; Transport Department sends out Cesspool Lorries which have vacuum suction pumps to clean out sludge from pit latrines and deposits them at the STPs)</t>
        </r>
      </text>
    </comment>
    <comment ref="AT70" authorId="0">
      <text>
        <r>
          <rPr>
            <sz val="11"/>
            <color indexed="8"/>
            <rFont val="Helvetica Neue"/>
          </rPr>
          <t>Author:
(Solid Waste Management &amp; Transport Department sends out Cesspool Lorries which have vacuum suction pumps to clean out sludge from pit latrines and deposits them at the STPs)</t>
        </r>
      </text>
    </comment>
    <comment ref="AA102" authorId="0">
      <text>
        <r>
          <rPr>
            <sz val="11"/>
            <color indexed="8"/>
            <rFont val="Helvetica Neue"/>
          </rPr>
          <t>Author:
 -But Partially. Can treat only about 1% of the total sewer of Dhaka City</t>
        </r>
      </text>
    </comment>
    <comment ref="AG102" authorId="0">
      <text>
        <r>
          <rPr>
            <sz val="11"/>
            <color indexed="8"/>
            <rFont val="Helvetica Neue"/>
          </rPr>
          <t xml:space="preserve">Author:
*according to WASA data. In reality, serves very little (~3%) bc of damaged lines and pumping stations. </t>
        </r>
      </text>
    </comment>
    <comment ref="K103" authorId="0">
      <text>
        <r>
          <rPr>
            <sz val="11"/>
            <color indexed="8"/>
            <rFont val="Helvetica Neue"/>
          </rPr>
          <t>Author:
The figure is estimated considering any type of  tank for containment of the sludge. Practically they are not septic tanks as per proper design. More than 80% of such tanks are without soak pit and connected to storm water drainage system.</t>
        </r>
      </text>
    </comment>
    <comment ref="L103" authorId="0">
      <text>
        <r>
          <rPr>
            <sz val="11"/>
            <color indexed="8"/>
            <rFont val="Helvetica Neue"/>
          </rPr>
          <t>Author:
cost for 3 chambers, divide by 3</t>
        </r>
      </text>
    </comment>
    <comment ref="N103" authorId="0">
      <text>
        <r>
          <rPr>
            <sz val="11"/>
            <color indexed="8"/>
            <rFont val="Helvetica Neue"/>
          </rPr>
          <t>Author:
Most connect to drain/sewer lines
Cost for emptying Communal Septic Tanks.
Average cost for emptying a septic tank of 2 chambers (Approx 4 m3) by manual labor isTk.2,000
Average cost for emptying a septic tank of 4 chambers (Approx 8 m3) by Vacutug Machine is Tk.8,000
Average cost for emptying septic tank in general Tk. 1,000 per m3 by manual labor and Tk. 2,000 by Vacutag, provided it can reach to the spot.
Private: 2 chambers by manual 2000 BDT
Communal: 4 chambers BDT 5000 for manual labor, 8000 BDT for vacutag lorry</t>
        </r>
      </text>
    </comment>
    <comment ref="AS103" authorId="0">
      <text>
        <r>
          <rPr>
            <sz val="11"/>
            <color indexed="8"/>
            <rFont val="Helvetica Neue"/>
          </rPr>
          <t>Author:
The STP is connected with sewerage pipe network and collects sludge from the households connected to the system.
In rare cases the cleaners dump the sludge from Septic tank to nearby pumping station or sewerage network manually. In some other cases they are discharged to the water drainage system. The percentage is negligible as at present the entire sewerage system is in a mess.
Most of the household septic tanks are connected to adjacent drainage system which carries the sludge to rivers ultimately.</t>
        </r>
      </text>
    </comment>
    <comment ref="AT103" authorId="0">
      <text>
        <r>
          <rPr>
            <sz val="11"/>
            <color indexed="8"/>
            <rFont val="Helvetica Neue"/>
          </rPr>
          <t>Author:
In the past with NGOs intervention sludge from the pit latrines and community latrines were carried to nearby pumping station or sewerage network manually. The percentage is negligible as at present the entire sewerage system is in a mess and only one pumping station is in operation. 
Sludge’s are usually buried under the ground or discharged in low lying water bodies</t>
        </r>
      </text>
    </comment>
    <comment ref="E104" authorId="0">
      <text>
        <r>
          <rPr>
            <sz val="11"/>
            <color indexed="8"/>
            <rFont val="Helvetica Neue"/>
          </rPr>
          <t xml:space="preserve">Author:
It depends on the decision agreed by the users. The contribution is made from time to time according to cost for maintenance </t>
        </r>
      </text>
    </comment>
    <comment ref="L104" authorId="0">
      <text>
        <r>
          <rPr>
            <sz val="11"/>
            <color indexed="8"/>
            <rFont val="Helvetica Neue"/>
          </rPr>
          <t>Author:
Construction cost of Communal Latrines with septic Tank: 
Average cost for construction is Tk. 60,000 per chamber (The latrines in the poor community are having 2 to 5 chambers). The estimated number of users per chamber is 10 to 30 for 3 to 10 families.
3 chambers * 60,000 = 180000</t>
        </r>
      </text>
    </comment>
    <comment ref="N104" authorId="0">
      <text>
        <r>
          <rPr>
            <sz val="11"/>
            <color indexed="8"/>
            <rFont val="Helvetica Neue"/>
          </rPr>
          <t>Author:
manual labor: 5000 BDT
vacutag truck: 8000 BDT</t>
        </r>
      </text>
    </comment>
    <comment ref="E105" authorId="0">
      <text>
        <r>
          <rPr>
            <sz val="11"/>
            <color indexed="8"/>
            <rFont val="Helvetica Neue"/>
          </rPr>
          <t>Author:
It depends on the community decision and they charge variable rate ranging from TK 20-50</t>
        </r>
      </text>
    </comment>
    <comment ref="J108" authorId="0">
      <text>
        <r>
          <rPr>
            <sz val="11"/>
            <color indexed="8"/>
            <rFont val="Helvetica Neue"/>
          </rPr>
          <t>Author:
Table 5 has been filled in with the sample poor community (Kallaynpur Pora Basti) located in the main city for which no change is required. However, the slums located in the periphery areas of Dhaka City, where city corporation’s drains are not available are mostly connected to informal drainage, natural canals and low lying bodies to wash out in rainy season and or reaching to the rives. If we consider the average situation of all slums located in the city and adjacent areas of Dhaka City, then all the figures are to be recalculated. Then we might lose the information and character of the sample slum. I would recommend to keep the table as it is.</t>
        </r>
      </text>
    </comment>
    <comment ref="AO110" authorId="0">
      <text>
        <r>
          <rPr>
            <sz val="11"/>
            <color indexed="8"/>
            <rFont val="Helvetica Neue"/>
          </rPr>
          <t>Author:
The 60 % connectivity rate reflects a low rate of sewerage system link up with dwelling units on the part of KWSB. There are other land management agencies in Karachi such as Cantonment Boards, Defence Housing Authority, Karachi Port Trust and others that grant connections to individual houses and then link their bulk sewers with the KWSB system or put it directly into the storm drains/rivers. Thus the rate of connection sanctioned by KWSB ,in general, remains low.</t>
        </r>
      </text>
    </comment>
    <comment ref="J114" authorId="0">
      <text>
        <r>
          <rPr>
            <sz val="11"/>
            <color indexed="8"/>
            <rFont val="Helvetica Neue"/>
          </rPr>
          <t xml:space="preserve">Author:
This estimate is not available for the entire city. This is recorded under “sewer” but a specific breakdown is not possible. </t>
        </r>
      </text>
    </comment>
    <comment ref="L119" authorId="0">
      <text>
        <r>
          <rPr>
            <sz val="11"/>
            <color indexed="8"/>
            <rFont val="Helvetica Neue"/>
          </rPr>
          <t xml:space="preserve">Author:
 Households usually construct 2-stance pit latrines. This table is for city-wide and thus captured costs for communal blocks not individually provided sanitation blocks. 
For 4-stance block: 12-15 Million UGX </t>
        </r>
      </text>
    </comment>
    <comment ref="N119" authorId="0">
      <text>
        <r>
          <rPr>
            <sz val="11"/>
            <color indexed="8"/>
            <rFont val="Helvetica Neue"/>
          </rPr>
          <t>Author:
Households usually connect with 4-inch and 6-inch is for commercial businesses and industries. This is the size of the pipe and the standard is dictated by NWSC
4 inch connection- 210,000 UGX; 6 inch connection- 262,000 UGX</t>
        </r>
      </text>
    </comment>
    <comment ref="N122" authorId="0">
      <text>
        <r>
          <rPr>
            <sz val="11"/>
            <color indexed="8"/>
            <rFont val="Helvetica Neue"/>
          </rPr>
          <t>Author:
L.C. 35,000 UGX per 200m3  - what the household pays when they empty one time according to key informants</t>
        </r>
      </text>
    </comment>
    <comment ref="K126" authorId="0">
      <text>
        <r>
          <rPr>
            <sz val="11"/>
            <color indexed="8"/>
            <rFont val="Helvetica Neue"/>
          </rPr>
          <t xml:space="preserve">Author:
From Shuaib: For informal drains, there is no possibility for any estimate and would not like to make data for the sake. I have contacted some of our respondents and they can hardly give a figure of users of informal drains. </t>
        </r>
      </text>
    </comment>
    <comment ref="N127" authorId="0">
      <text>
        <r>
          <rPr>
            <sz val="11"/>
            <color indexed="8"/>
            <rFont val="Helvetica Neue"/>
          </rPr>
          <t>Author:
depending on the distance of the premises to the septage collection point and location of the septic tank within the premises.</t>
        </r>
      </text>
    </comment>
    <comment ref="Q127" authorId="0">
      <text>
        <r>
          <rPr>
            <sz val="11"/>
            <color indexed="8"/>
            <rFont val="Helvetica Neue"/>
          </rPr>
          <t>Author:
 (since 2010)</t>
        </r>
      </text>
    </comment>
    <comment ref="AB127" authorId="0">
      <text>
        <r>
          <rPr>
            <sz val="11"/>
            <color indexed="8"/>
            <rFont val="Helvetica Neue"/>
          </rPr>
          <t>Author:
In Lagos, there are as many as 400 private sewage facilities of various capacities. Some of the private sewage facilities are closed within residential estates. There are also government-owned municipal wastewater treatment plants. Four of these were built more than 30 years ago of which three are situated in government housing estates in Abesan (Ipaja), Oke-Afa (Isolo), Iponri (Surulere) and State secretariat, Alausa. Abesan serves about 50,000 people (population equivalent) and the smallest (Alausa) serves about 10,000 people.
In addition, there are 20 new small-sized wastewater treatment plants in government estates commissioned within the last three years. Four of the general hospitals in the city (Shomolu, Apapa, Ifako-Ijaiye and Surulere) also have small-sized waste water treatment plants.
There are also others existing in the city owned by the Federal government e.g.
1. FESTAC (Largest in Lagos, moribund)
2. University of Lagos (Partially functional)
3. Gowon Estate (moribund)
4. Games village,  Surulere (moribund)</t>
        </r>
      </text>
    </comment>
    <comment ref="K133" authorId="0">
      <text>
        <r>
          <rPr>
            <sz val="11"/>
            <color indexed="8"/>
            <rFont val="Helvetica Neue"/>
          </rPr>
          <t>Author:
Collapsed into "pit latrine" category</t>
        </r>
      </text>
    </comment>
    <comment ref="K134" authorId="0">
      <text>
        <r>
          <rPr>
            <sz val="11"/>
            <color indexed="8"/>
            <rFont val="Helvetica Neue"/>
          </rPr>
          <t>Author:
counted as "open defecation"</t>
        </r>
      </text>
    </comment>
    <comment ref="N138" authorId="0">
      <text>
        <r>
          <rPr>
            <sz val="11"/>
            <color indexed="8"/>
            <rFont val="Helvetica Neue"/>
          </rPr>
          <t>Author:
Depends on: distance from the sewer network, type of consumer, and if there pavement. 
Varies between MZM 300 to MZM 4,000.00/square meter.</t>
        </r>
      </text>
    </comment>
    <comment ref="AO138" authorId="0">
      <text>
        <r>
          <rPr>
            <sz val="11"/>
            <color indexed="8"/>
            <rFont val="Helvetica Neue"/>
          </rPr>
          <t>Author:
Maputo Sanitation coverage: 
• 9% connected to sewage system 
• The remain 90% have an onsite sanitation facility (secure and unsecure)</t>
        </r>
      </text>
    </comment>
    <comment ref="N141" authorId="0">
      <text>
        <r>
          <rPr>
            <sz val="11"/>
            <color indexed="8"/>
            <rFont val="Helvetica Neue"/>
          </rPr>
          <t>Author:
manual evacuation</t>
        </r>
      </text>
    </comment>
    <comment ref="N143" authorId="0">
      <text>
        <r>
          <rPr>
            <sz val="11"/>
            <color indexed="8"/>
            <rFont val="Helvetica Neue"/>
          </rPr>
          <t>Author:
small gulper technology</t>
        </r>
      </text>
    </comment>
    <comment ref="AD145" authorId="0">
      <text>
        <r>
          <rPr>
            <sz val="11"/>
            <color indexed="8"/>
            <rFont val="Helvetica Neue"/>
          </rPr>
          <t>Author:
  Mzuzu has no sewer system, only septic tanks are used.  It is individual institutions that have sewerage ponds, not the city.  The city council itself only has a sludge disposal pond where  individual home owners or institutions dispose of sewerage when their own from septic tanks or pit latrines or ponds  systems are full. I made this point last
  This figure is an operational rather than maintenance budget and includes a lot of things such as salaries. It is some kind of blank cheque! In practice very little if anything goes into maintenance.</t>
        </r>
      </text>
    </comment>
    <comment ref="AO145" authorId="0">
      <text>
        <r>
          <rPr>
            <sz val="11"/>
            <color indexed="8"/>
            <rFont val="Helvetica Neue"/>
          </rPr>
          <t>Author:
no sewerage system</t>
        </r>
      </text>
    </comment>
    <comment ref="AP145" authorId="0">
      <text>
        <r>
          <rPr>
            <sz val="11"/>
            <color indexed="8"/>
            <rFont val="Helvetica Neue"/>
          </rPr>
          <t>Author:
there are localized sewer systems e.g. at Moyale military barrack, Mzuzu Hospital, Mzuzu University. Southern Bottlers Mzuzu Plant. This is why I have held that ‘zero’ is not appropriate response. The figure 4 indicated refers to these localized institutional systems</t>
        </r>
      </text>
    </comment>
    <comment ref="D146" authorId="0">
      <text>
        <r>
          <rPr>
            <sz val="11"/>
            <color indexed="8"/>
            <rFont val="Helvetica Neue"/>
          </rPr>
          <t xml:space="preserve">Author:
Water and sanitation in urban Malawi: Can the Millennium Development Goals be met?  
A study of informal settlements in three cities , London: I can estimate up to 51.5% sharing toilets. But this is based on study of 3 settlements </t>
        </r>
      </text>
    </comment>
    <comment ref="L150" authorId="0">
      <text>
        <r>
          <rPr>
            <sz val="11"/>
            <color indexed="8"/>
            <rFont val="Helvetica Neue"/>
          </rPr>
          <t>Author:
Updated March 19, 2018</t>
        </r>
      </text>
    </comment>
    <comment ref="L153" authorId="0">
      <text>
        <r>
          <rPr>
            <sz val="11"/>
            <color indexed="8"/>
            <rFont val="Helvetica Neue"/>
          </rPr>
          <t>Author:
cost assumes fitting a toilet in a room within a building that is already connected to the public sewer. 
 See this toilet (slightly above a basic type) listed for 10,999 on this online builders store: https://www.ctm.co.ke/bathrooms/toilets/chicago-white-toilet-suite-product.html</t>
        </r>
      </text>
    </comment>
    <comment ref="W153" authorId="0">
      <text>
        <r>
          <rPr>
            <sz val="11"/>
            <color indexed="8"/>
            <rFont val="Helvetica Neue"/>
          </rPr>
          <t>Author:
 but at a very small scale, with the compost  mainly used for agriculture</t>
        </r>
      </text>
    </comment>
    <comment ref="AO153" authorId="0">
      <text>
        <r>
          <rPr>
            <sz val="11"/>
            <color indexed="8"/>
            <rFont val="Helvetica Neue"/>
          </rPr>
          <t>Author:
The utility doesn't have statistics that precisely show the connection Rates for both water and sewerage services. However,  he indicated that from their experience, connection rates are very high- above 90% where their services [public water and sewer networks] have coverage [ Now, relate this with the data on spatial coverage of the Utility].</t>
        </r>
      </text>
    </comment>
    <comment ref="AR153" authorId="0">
      <text>
        <r>
          <rPr>
            <sz val="11"/>
            <color indexed="8"/>
            <rFont val="Helvetica Neue"/>
          </rPr>
          <t xml:space="preserve">Author:
Source: Water and Wastewater Treatment in Africa – Current Practices and Challenges - Scientific Figure on ResearchGate. Available from: https://www.researchgate.net/Flowchart-of-Dandora-wastewater-treatment-plant-Nairobi-Kenya_fig1_259536701 [accessed 28 Mar, 2018] </t>
        </r>
      </text>
    </comment>
    <comment ref="N154" authorId="0">
      <text>
        <r>
          <rPr>
            <sz val="11"/>
            <color indexed="8"/>
            <rFont val="Helvetica Neue"/>
          </rPr>
          <t>Author:
4000 for informal settlements
5000 for other customers</t>
        </r>
      </text>
    </comment>
    <comment ref="L155" authorId="0">
      <text>
        <r>
          <rPr>
            <sz val="11"/>
            <color indexed="8"/>
            <rFont val="Helvetica Neue"/>
          </rPr>
          <t>Author:
bio-digesters and plastic septic tanks are cheaper and getting popular here. The other aspects that influence the cost are whether the construction is formally contracted or informal (this is slightly cheaper).
Cheaper option… Plastic bio-digesters: 30,000 tank + 40,000 installation = 40,000Ksh</t>
        </r>
      </text>
    </comment>
    <comment ref="J160" authorId="0">
      <text>
        <r>
          <rPr>
            <sz val="11"/>
            <color indexed="8"/>
            <rFont val="Helvetica Neue"/>
          </rPr>
          <t>Author:
counted as "private septic tank"</t>
        </r>
      </text>
    </comment>
    <comment ref="K161" authorId="0">
      <text>
        <r>
          <rPr>
            <sz val="11"/>
            <color indexed="8"/>
            <rFont val="Helvetica Neue"/>
          </rPr>
          <t>Author:
informal drain estimates are not captured in census data, though it is commonly used. For example, the selected informal settlement primarily uses informal drains.</t>
        </r>
      </text>
    </comment>
  </commentList>
</comments>
</file>

<file path=xl/comments7.xml><?xml version="1.0" encoding="utf-8"?>
<comments xmlns="http://schemas.openxmlformats.org/spreadsheetml/2006/main">
  <authors>
    <author>Author</author>
  </authors>
  <commentList>
    <comment ref="I56" authorId="0">
      <text>
        <r>
          <rPr>
            <sz val="11"/>
            <color indexed="8"/>
            <rFont val="Helvetica Neue"/>
          </rPr>
          <t>Author:
reasonable guess, 2-3 truck drivers</t>
        </r>
      </text>
    </comment>
    <comment ref="L56" authorId="0">
      <text>
        <r>
          <rPr>
            <sz val="11"/>
            <color indexed="8"/>
            <rFont val="Helvetica Neue"/>
          </rPr>
          <t>Author:
 The business is required to get a trade license from BBMP under the Karnataka Municipal Corporations Act, 1976. 
The respondent did not answer this directly, but said BBMP used to register trade licenses earlier, but has now stopped since a couple of years.</t>
        </r>
      </text>
    </comment>
    <comment ref="F70" authorId="0">
      <text>
        <r>
          <rPr>
            <sz val="11"/>
            <color indexed="8"/>
            <rFont val="Helvetica Neue"/>
          </rPr>
          <t>Author:
 (this rate varies depending upon the status of water shortages i.e. demand. During monsoon the rates drop down as there is less demand. However, during summer period rates are on higher side).</t>
        </r>
      </text>
    </comment>
    <comment ref="F81" authorId="0">
      <text>
        <r>
          <rPr>
            <sz val="11"/>
            <color indexed="8"/>
            <rFont val="Helvetica Neue"/>
          </rPr>
          <t xml:space="preserve">Author:
(The standing committee of PMC has passed the resolution that each year 5% will be raised on water tanker prices) </t>
        </r>
      </text>
    </comment>
    <comment ref="J150" authorId="0">
      <text>
        <r>
          <rPr>
            <sz val="11"/>
            <color indexed="8"/>
            <rFont val="Helvetica Neue"/>
          </rPr>
          <t>Author:
 There was a ‘temporary boom’ during the Jan-April 2017 water rationing in the city.</t>
        </r>
      </text>
    </comment>
    <comment ref="C151" authorId="0">
      <text>
        <r>
          <rPr>
            <sz val="11"/>
            <color indexed="8"/>
            <rFont val="Helvetica Neue"/>
          </rPr>
          <t>Author:
[operates a mix of door-to-door service and mobile water point-could change location depending on  the day]</t>
        </r>
      </text>
    </comment>
    <comment ref="J151" authorId="0">
      <text>
        <r>
          <rPr>
            <sz val="11"/>
            <color indexed="8"/>
            <rFont val="Helvetica Neue"/>
          </rPr>
          <t>Author:
Overall, there was a ‘temporary boom’ during the Jan-April 2017 water rationing in the city.</t>
        </r>
      </text>
    </comment>
  </commentList>
</comments>
</file>

<file path=xl/comments8.xml><?xml version="1.0" encoding="utf-8"?>
<comments xmlns="http://schemas.openxmlformats.org/spreadsheetml/2006/main">
  <authors>
    <author>Author</author>
  </authors>
  <commentList>
    <comment ref="C13" authorId="0">
      <text>
        <r>
          <rPr>
            <sz val="11"/>
            <color indexed="8"/>
            <rFont val="Helvetica Neue"/>
          </rPr>
          <t>Author:
http://www.ine.gob.bo/index.php/estadisticas-por-actividad-economica/industria-manufacturera-y-comercio-3</t>
        </r>
      </text>
    </comment>
    <comment ref="C14" authorId="0">
      <text>
        <r>
          <rPr>
            <sz val="11"/>
            <color indexed="8"/>
            <rFont val="Helvetica Neue"/>
          </rPr>
          <t>Author:
http://www.aaps.gob.bo/wp-content/uploads/2016/11/Indicadores-AAPS-2015.pdf</t>
        </r>
      </text>
    </comment>
  </commentList>
</comments>
</file>

<file path=xl/sharedStrings.xml><?xml version="1.0" encoding="utf-8"?>
<sst xmlns="http://schemas.openxmlformats.org/spreadsheetml/2006/main" uniqueCount="2819">
  <si>
    <t>2X</t>
  </si>
  <si>
    <t>3X</t>
  </si>
  <si>
    <t>City Name</t>
  </si>
  <si>
    <t>Country</t>
  </si>
  <si>
    <t>Date started (day-month-year)</t>
  </si>
  <si>
    <t>Date completed (day-month-year)</t>
  </si>
  <si>
    <t>Caracas</t>
  </si>
  <si>
    <t>Venezuela</t>
  </si>
  <si>
    <t>20-06-2017</t>
  </si>
  <si>
    <t>24-07-2017</t>
  </si>
  <si>
    <t>Cochabamba</t>
  </si>
  <si>
    <t>Bolivia</t>
  </si>
  <si>
    <t xml:space="preserve">Rio de Janeiro </t>
  </si>
  <si>
    <t>Brazil</t>
  </si>
  <si>
    <t>São Paulo</t>
  </si>
  <si>
    <t>30/06/2017</t>
  </si>
  <si>
    <t>Santiago de Cali</t>
  </si>
  <si>
    <t>Colombia</t>
  </si>
  <si>
    <t>26/06/2017</t>
  </si>
  <si>
    <t>Bengaluru</t>
  </si>
  <si>
    <t>India</t>
  </si>
  <si>
    <t xml:space="preserve">Mumbai </t>
  </si>
  <si>
    <t>Pune</t>
  </si>
  <si>
    <t xml:space="preserve">19 September 2017
</t>
  </si>
  <si>
    <t>Colombo</t>
  </si>
  <si>
    <t>Sri Lanka</t>
  </si>
  <si>
    <t xml:space="preserve">
31/07/2017
</t>
  </si>
  <si>
    <t>23/08/2017</t>
  </si>
  <si>
    <t>Dhaka</t>
  </si>
  <si>
    <t>Bangladesh</t>
  </si>
  <si>
    <t>Karachi</t>
  </si>
  <si>
    <t>Pakistan</t>
  </si>
  <si>
    <t>Kampala</t>
  </si>
  <si>
    <t>Uganda</t>
  </si>
  <si>
    <t>Lagos</t>
  </si>
  <si>
    <t>Nigeria</t>
  </si>
  <si>
    <t>15-06-2017</t>
  </si>
  <si>
    <t>31-07-2017</t>
  </si>
  <si>
    <t>Maputo</t>
  </si>
  <si>
    <t>Mozambique</t>
  </si>
  <si>
    <t>Mzuzu</t>
  </si>
  <si>
    <t>Malawi</t>
  </si>
  <si>
    <t>16-06-2017</t>
  </si>
  <si>
    <t>Nairobi</t>
  </si>
  <si>
    <t>Kenya</t>
  </si>
  <si>
    <r>
      <rPr>
        <sz val="9"/>
        <color indexed="8"/>
        <rFont val="Calibri"/>
      </rPr>
      <t>20</t>
    </r>
    <r>
      <rPr>
        <vertAlign val="superscript"/>
        <sz val="9"/>
        <color indexed="8"/>
        <rFont val="Calibri"/>
      </rPr>
      <t>th</t>
    </r>
    <r>
      <rPr>
        <sz val="9"/>
        <color indexed="8"/>
        <rFont val="Calibri"/>
      </rPr>
      <t xml:space="preserve"> May 2017</t>
    </r>
  </si>
  <si>
    <t>1st  July 2017</t>
  </si>
  <si>
    <t>A1</t>
  </si>
  <si>
    <t>A2</t>
  </si>
  <si>
    <t>A3</t>
  </si>
  <si>
    <t>A4</t>
  </si>
  <si>
    <t>A5</t>
  </si>
  <si>
    <t>A6</t>
  </si>
  <si>
    <t>A7</t>
  </si>
  <si>
    <t>A8</t>
  </si>
  <si>
    <t>A9</t>
  </si>
  <si>
    <t>A10</t>
  </si>
  <si>
    <t>A11</t>
  </si>
  <si>
    <t>A12</t>
  </si>
  <si>
    <t>A13</t>
  </si>
  <si>
    <t>A14</t>
  </si>
  <si>
    <t>A15</t>
  </si>
  <si>
    <t>A16</t>
  </si>
  <si>
    <t>A17</t>
  </si>
  <si>
    <t>A18</t>
  </si>
  <si>
    <t>A19 a)</t>
  </si>
  <si>
    <t>A19 b)</t>
  </si>
  <si>
    <t>A20</t>
  </si>
  <si>
    <t>A21</t>
  </si>
  <si>
    <t>A22</t>
  </si>
  <si>
    <t>A23</t>
  </si>
  <si>
    <t>A24</t>
  </si>
  <si>
    <t>A25 a)</t>
  </si>
  <si>
    <t>A25 b)</t>
  </si>
  <si>
    <t>A26</t>
  </si>
  <si>
    <t>A27</t>
  </si>
  <si>
    <t>A28</t>
  </si>
  <si>
    <t>A29</t>
  </si>
  <si>
    <t>A30</t>
  </si>
  <si>
    <t>A31</t>
  </si>
  <si>
    <t>A32</t>
  </si>
  <si>
    <t>A33</t>
  </si>
  <si>
    <t>A34</t>
  </si>
  <si>
    <t>A35</t>
  </si>
  <si>
    <t>A36</t>
  </si>
  <si>
    <t>A37</t>
  </si>
  <si>
    <t>A38</t>
  </si>
  <si>
    <t>A39</t>
  </si>
  <si>
    <t>A40</t>
  </si>
  <si>
    <t>A41 a)</t>
  </si>
  <si>
    <t>A41 b)</t>
  </si>
  <si>
    <t>A42</t>
  </si>
  <si>
    <t>A43</t>
  </si>
  <si>
    <t>A44</t>
  </si>
  <si>
    <t>A45 a)</t>
  </si>
  <si>
    <t>A45 b)</t>
  </si>
  <si>
    <t>A46</t>
  </si>
  <si>
    <t>A47</t>
  </si>
  <si>
    <t>A48</t>
  </si>
  <si>
    <t>A49</t>
  </si>
  <si>
    <t>A50</t>
  </si>
  <si>
    <t>A51</t>
  </si>
  <si>
    <t>A52</t>
  </si>
  <si>
    <t>A53</t>
  </si>
  <si>
    <t>A54</t>
  </si>
  <si>
    <t>A55</t>
  </si>
  <si>
    <t>A56 a)</t>
  </si>
  <si>
    <t>A56 b)</t>
  </si>
  <si>
    <t>A57</t>
  </si>
  <si>
    <t>A58</t>
  </si>
  <si>
    <t>A59</t>
  </si>
  <si>
    <t>Informal Settlement Basic Info</t>
  </si>
  <si>
    <t>Workforce and employment</t>
  </si>
  <si>
    <t>Drinking water info in informal settlements (Table 1)</t>
  </si>
  <si>
    <t>Table 1 info source</t>
  </si>
  <si>
    <t>Non-drinking water info in informal settlements (Table 2)</t>
  </si>
  <si>
    <t>Table 2 info source</t>
  </si>
  <si>
    <t>Water supplier</t>
  </si>
  <si>
    <t>Water price</t>
  </si>
  <si>
    <t>Health concerns</t>
  </si>
  <si>
    <t>Water reuse</t>
  </si>
  <si>
    <t>Household water treatment in informal settlements (Table 3)</t>
  </si>
  <si>
    <t>Table 3 info source</t>
  </si>
  <si>
    <t>Sanitation arrangement, usage, and cost in informal settlements (Table 4)</t>
  </si>
  <si>
    <t>Table 4 info source</t>
  </si>
  <si>
    <t>Sanitation facilities maintenance</t>
  </si>
  <si>
    <t>Type of sanitation facility, construction, and fecal sludge removal in informal settlements (Table 5)</t>
  </si>
  <si>
    <t>Table 5 info source</t>
  </si>
  <si>
    <t>If pit latrines are used</t>
  </si>
  <si>
    <t>If septic tanks are used</t>
  </si>
  <si>
    <t>Name</t>
  </si>
  <si>
    <t>Characterizatoin</t>
  </si>
  <si>
    <t>Population</t>
  </si>
  <si>
    <t>No. of Households</t>
  </si>
  <si>
    <t>Avg Household Size</t>
  </si>
  <si>
    <t>% of Women Workforce</t>
  </si>
  <si>
    <t>% of Men Workforce</t>
  </si>
  <si>
    <t>% of Households w/ 1 adult working</t>
  </si>
  <si>
    <t>% of Households w/ 2 adults working</t>
  </si>
  <si>
    <t>% of Households w/ &gt; 2 adults working</t>
  </si>
  <si>
    <t>Monthly Salaries</t>
  </si>
  <si>
    <t>% of workforce in informal employment</t>
  </si>
  <si>
    <t>Drinking water supply</t>
  </si>
  <si>
    <t>% of households use […] for drinking</t>
  </si>
  <si>
    <t>Cost (L.C./ 1. liter, 2. cubic meter, 3. other)</t>
  </si>
  <si>
    <t>Costs ($USD/market exchange)</t>
  </si>
  <si>
    <t>Days/week available</t>
  </si>
  <si>
    <t>Hours/day available</t>
  </si>
  <si>
    <t>Name of sources</t>
  </si>
  <si>
    <t>Informants' names</t>
  </si>
  <si>
    <t>Non-drinking water supply</t>
  </si>
  <si>
    <t>% of households use […] for non-drinking</t>
  </si>
  <si>
    <t>Primary supplier of water</t>
  </si>
  <si>
    <t>More than one system operating at once?</t>
  </si>
  <si>
    <t>Describe different systems</t>
  </si>
  <si>
    <t>Private vendors selling water?</t>
  </si>
  <si>
    <t>Water source of most private vendors</t>
  </si>
  <si>
    <t>Private vendors only sell water when another system fails?</t>
  </si>
  <si>
    <t>Price of water changes during the year?</t>
  </si>
  <si>
    <t>Reason for the change in price</t>
  </si>
  <si>
    <t>% increase in price</t>
  </si>
  <si>
    <t>Reoccurring health concerns w/ water supplied?</t>
  </si>
  <si>
    <t>Reoccurring health concerns</t>
  </si>
  <si>
    <t>Do households regularly reuse water?</t>
  </si>
  <si>
    <t>Purposes for reusing water</t>
  </si>
  <si>
    <t>Water treatment type</t>
  </si>
  <si>
    <t>% of households that use this treatment type</t>
  </si>
  <si>
    <t>Sanitation arrangements</t>
  </si>
  <si>
    <t>% of households that use […]</t>
  </si>
  <si>
    <t>Cost (L.C./1. single use, 2. per  month, 3. other)</t>
  </si>
  <si>
    <t>Systems for maintaining communal sanitation facilities</t>
  </si>
  <si>
    <t>Systems for maintaining public sanitation facilities</t>
  </si>
  <si>
    <t>Sanitation facilities</t>
  </si>
  <si>
    <t>Cost of construction (labor + materials)</t>
  </si>
  <si>
    <t xml:space="preserve">$USD/ market exchange
</t>
  </si>
  <si>
    <t>Cost of connecting to city's main sewage system or emptying one time</t>
  </si>
  <si>
    <t>How is fecal sludge removed from […]?</t>
  </si>
  <si>
    <t>Is it treated after removal?</t>
  </si>
  <si>
    <t>If treated: how and % being treated</t>
  </si>
  <si>
    <t>If not treated: where the fecal sludge goes</t>
  </si>
  <si>
    <t>Materials used to line the walls of pit latrines</t>
  </si>
  <si>
    <t>Are pit latrines located less than 30 meters from …?</t>
  </si>
  <si>
    <t>Are septic tanks located less than 50 meters from …?</t>
  </si>
  <si>
    <t>No. of People</t>
  </si>
  <si>
    <t>Year</t>
  </si>
  <si>
    <t>Source</t>
  </si>
  <si>
    <t>%</t>
  </si>
  <si>
    <t>Live-out domestic worker (man)</t>
  </si>
  <si>
    <t>Live-out domestic worker (woman)</t>
  </si>
  <si>
    <t>Unskilled Construction Worker (man)</t>
  </si>
  <si>
    <t>Unskilled Construction Worker (woman)</t>
  </si>
  <si>
    <t>Terrazas del Alba</t>
  </si>
  <si>
    <t xml:space="preserve">Marisol Olivares </t>
  </si>
  <si>
    <t>Marisol Olivares (This is an estimation of the total amount of families in the community, based on the information provided by Marisol. )</t>
  </si>
  <si>
    <t>3 to 4</t>
  </si>
  <si>
    <t>Informants</t>
  </si>
  <si>
    <t>N/A (For questions 6-10 there is no information available, informants cannot even provide estimation)</t>
  </si>
  <si>
    <t>N/A</t>
  </si>
  <si>
    <t>250,531 bs/month</t>
  </si>
  <si>
    <t xml:space="preserve">Bs. 250531/month </t>
  </si>
  <si>
    <t>A</t>
  </si>
  <si>
    <t>Not converting</t>
  </si>
  <si>
    <t>Marisol Olivares, Berta Sanz, Yanisa Blanco and other informants in short conversations</t>
  </si>
  <si>
    <t>Bs0</t>
  </si>
  <si>
    <t xml:space="preserve">It is important to notice that piped water supply is for all domestic uses. People keep water storage for using when there is no service.  </t>
  </si>
  <si>
    <t>For flushing toilets</t>
  </si>
  <si>
    <t xml:space="preserve">Marisol Olivares, Berta Sanz, Yanisa Blanco and other informants in short conversations. They provide qualitative answers, figures are my own estimations </t>
  </si>
  <si>
    <t xml:space="preserve">Bs 550 000
</t>
  </si>
  <si>
    <t>INE, Informe Geoambiental Distrito Capital  (53 and 55), Venezuela, Gaceta Oficial N° 39.788 (tariff regulations for water and sanitation service)</t>
  </si>
  <si>
    <t>Marisol Olivares, Berta Sanz, Yanisa Blanco</t>
  </si>
  <si>
    <t>F</t>
  </si>
  <si>
    <t>K: Informal drain</t>
  </si>
  <si>
    <t>San Miguel Km4</t>
  </si>
  <si>
    <t>Juan Carlos Caballero, President of the Drinking Water Association San Miguel Km4</t>
  </si>
  <si>
    <t>Juan Carlos Caballero, President of the Drinking Water Association San Miguel Km4 BEST ESTIMATE</t>
  </si>
  <si>
    <t>m3</t>
  </si>
  <si>
    <t>Miguel angel Iriarte, Head administrator of the Dringking Water Association San Miguel Km4</t>
  </si>
  <si>
    <t>The water increase the cost during the dry season</t>
  </si>
  <si>
    <t>None</t>
  </si>
  <si>
    <t>Families reuse water to wash toilets. For instance water used to wash clothes is reused to clean the restrooms and sometimes the kitchens</t>
  </si>
  <si>
    <t>Jaime Delgadillo, Vice-president of the Drinking Water Association San Miguel Km4</t>
  </si>
  <si>
    <t>Communal toilets are not available in San Miguel</t>
  </si>
  <si>
    <t>Public toilet are not available in San Miguel</t>
  </si>
  <si>
    <t>/</t>
  </si>
  <si>
    <t>The Fecal Sludge is treated at the Alba Rancho waste water treatment plant, this treatment plant is operated and managed by SEMAPA, Cochabamba’s water utility. It is estimated that just 60% of the total fecal sludge is treated at the waste water treatment plant the additional 40% is discharged in various points of the Rocha River.</t>
  </si>
  <si>
    <t>Alvaro Enrique Gonzalias M. Water Regulator Analyst at the National Water Authority (AAPS)</t>
  </si>
  <si>
    <t>L</t>
  </si>
  <si>
    <t>I</t>
  </si>
  <si>
    <t xml:space="preserve">/ </t>
  </si>
  <si>
    <t>C</t>
  </si>
  <si>
    <t>B</t>
  </si>
  <si>
    <t>The Fecal Sludge is treated at the Alba Rancho waste water treatment plant, this treatment plant is operated and managed by SEMAPA, Cochabamba’s water utility. There is no data available on the coverage of Fecal sludge collected and threated.</t>
  </si>
  <si>
    <t>Rocinha</t>
  </si>
  <si>
    <t>IBGE; (but) Interview with José Ricardo, Beto and Maria Helena: 100.000 with a floating population that lives and works in the slum, Average: 85.000 inhabitants</t>
  </si>
  <si>
    <t>IBGE</t>
  </si>
  <si>
    <t>IBGE; Interview: 3.5 people per household</t>
  </si>
  <si>
    <t xml:space="preserve">IBGE; Data obtained considering responsibility in the home. The percentage is not known for certain, but it is known that currently the majority of the families the woman as representative of the family, that is to say, she is the one who proves the sustenance, according to Maria Helena. </t>
  </si>
  <si>
    <t>IBGE; Data obtained considering responsibility in the home.</t>
  </si>
  <si>
    <t>937,00/ month man</t>
  </si>
  <si>
    <t>937,00 /month woman</t>
  </si>
  <si>
    <t>2,000 /month man</t>
  </si>
  <si>
    <t>1,800 /month woman</t>
  </si>
  <si>
    <t>IBGE, Final report of the household census of the Rocinha Complex Rio de Janeiro - Dec / 2009 PAC Rocinha</t>
  </si>
  <si>
    <t>Data corroborated with the following key informants: Jose Ricardo, Alberto and Maria Helena.</t>
  </si>
  <si>
    <t>IBGE, Final report of the home census of the Rocinha Complex Rio de Janeiro - Dec / 2009 PAC Rocinha, interviews with representative of the association and resident</t>
  </si>
  <si>
    <t>José Ricardo, Alberto</t>
  </si>
  <si>
    <t>Diff systems include: Piped water (CEDAE), sale of bottled water and drinking gallon, springs of non-potable water when water is lacking. High consumption of bottled water and lack of confidence in the water delivered by the concessionaire. Resident reported that most people drink gallon water, 70% on average. Water value 13 reais / 20 liters. There are 4 springs of non-drinking water and 1 considered drinkable by residents.</t>
  </si>
  <si>
    <t>5: packing companies</t>
  </si>
  <si>
    <t>The value only increases along with the other products according to inflation.</t>
  </si>
  <si>
    <t>Parasites; Hepatitis; Diarrhea (gastroenteritis); Skin diseases due to lack of water, poor hygiene at these times (Interviews: Maria Helena and José Ricardo)</t>
  </si>
  <si>
    <t>Usually a culture of wasting water. Only when water is lacking does it re-use for washing clothes, washing the house, washing the yard and the toilet.</t>
  </si>
  <si>
    <t>Maria Helena, Alberto and José Ricardo</t>
  </si>
  <si>
    <t>Final Report of the House Census of the Rocinha Complex Rio de Janeiro - Dec / 2009 PAC Rocinha</t>
  </si>
  <si>
    <t>Interview with Maria Helena to corroborate data</t>
  </si>
  <si>
    <t>N/A, few remaining are very old, no longer built.</t>
  </si>
  <si>
    <t>STS of the municipality - conventional process</t>
  </si>
  <si>
    <t>IBGE, Final report of the domiciliary census of the Rocinha Complex Rio de Janeiro - Dec / 2009 PAC Rocinha.</t>
  </si>
  <si>
    <t>Interviews with Tatiana, José Ricardo and PJ Cleanser</t>
  </si>
  <si>
    <t>5: No data</t>
  </si>
  <si>
    <t>A, B</t>
  </si>
  <si>
    <t>F: bottled water</t>
  </si>
  <si>
    <t>N/A, few remaining are very old, no longer built</t>
  </si>
  <si>
    <t>H</t>
  </si>
  <si>
    <t>F: without treatment</t>
  </si>
  <si>
    <t>E: no facilities</t>
  </si>
  <si>
    <t>J</t>
  </si>
  <si>
    <t>O: Not connected, does not use water</t>
  </si>
  <si>
    <t>E: bathroom but no toilet</t>
  </si>
  <si>
    <t>K: Flush to river: discard in a unitary system (drainage plus sewage) that is collected and goes to emissary in dry weather with adequate treatment. In rainy weather, it goes to the sea.</t>
  </si>
  <si>
    <t>6: Goes to emissary in dry weather, having proper treatment. In rainy weather it goes to the sea.</t>
  </si>
  <si>
    <t>1, 4: sea during wet season</t>
  </si>
  <si>
    <t>O: No data</t>
  </si>
  <si>
    <t>E: no data</t>
  </si>
  <si>
    <t>Baixa Grande/ Filhos da Terra</t>
  </si>
  <si>
    <t>GeoSampa/ Prefeitura Municipal de São Paulo (http://geosampa.prefeitura.sp.gov.br/PaginasPublicas/_SBC.aspx#). This value was obtained relating the área with specific occupation density.</t>
  </si>
  <si>
    <t>HabitaSampa / Prefeitura Municipal de São Paulo (http://mapa.habitasampa.inf.br/)</t>
  </si>
  <si>
    <t>This aproximate value was defined based the population and number of households given by the following sources: Infocidades/ GeoSampa/ Censo demográfico 2010 (IBGE)</t>
  </si>
  <si>
    <t>In this case the percentage was found considering the percentage of women that are employed, in state of São Paulo, and applied to the expected proportion between men and woman in the given population for the área. The values were obtained in Censo 2010 (IBGE). For comparison purpose, the 2000 census (IBGE) presented a 38%, but referring to the whole country (and all forms of urban and rural settlements).</t>
  </si>
  <si>
    <t>In this case the percentage was found considering the percentage of men that are employed, in state of São Paulo, and applied to the expected proportion between men and woman in the given population for the área. The values were obtained in Censo 2010 (IBGE). For comparison purpose, the 2000 census (IBGE) presented a 62 %, but referring to the whole country (and all forms of urban and rural settlements).</t>
  </si>
  <si>
    <t>Rough estimation. I could not find any consistente information for this answer.</t>
  </si>
  <si>
    <t xml:space="preserve">R$ 550.25
</t>
  </si>
  <si>
    <t xml:space="preserve"> R$ 1400-2000
</t>
  </si>
  <si>
    <t xml:space="preserve">Residents in the surroundings: Erika Silva; Ulices Fabian; Paulo Silva; José Itamar da Silva; Josefa Correa; Pedro Silva; Aparecida Bessa; Vanilton Silva Sampaio
Key informant: Wellington Tavares da Silva
</t>
  </si>
  <si>
    <t>5: The water retailed in bottles are usually mineral water from springs, not necessarily in the region – in many cases from near by States.</t>
  </si>
  <si>
    <t xml:space="preserve">Residents in the surroundings: Erika Silva; Ulices Fabian; Paulo Silva; José Itamar da Silva; Josefa Correa; Pedro Silva; Aparecida Bessa; Vanilton Silva Sampaio
Key informant: Wellington Tavares da Silva
Otavio Alves Pereira
</t>
  </si>
  <si>
    <t>O: Bottled water vendors</t>
  </si>
  <si>
    <t>per 20L</t>
  </si>
  <si>
    <t>O: illegal piped water connections</t>
  </si>
  <si>
    <t>F: No treatment</t>
  </si>
  <si>
    <t>2, 4</t>
  </si>
  <si>
    <t>1 (not mandatory); 2</t>
  </si>
  <si>
    <t>If properly managed (in accordance to legislation) it would be directed either to landfill or to a Sabesp WWTP (activated sludge system, along with sewered wastewater).</t>
  </si>
  <si>
    <t>1, 2, 3</t>
  </si>
  <si>
    <t>Jardim São Remo</t>
  </si>
  <si>
    <t xml:space="preserve">Fonte IBGE, Censo 2010 and HabitaSampa </t>
  </si>
  <si>
    <t>Fonte HabitaSampa</t>
  </si>
  <si>
    <t>IBGE, Censo 2010</t>
  </si>
  <si>
    <t>enumerator estimation of census 2010 data</t>
  </si>
  <si>
    <t xml:space="preserve">R$ 1108,38 </t>
  </si>
  <si>
    <t>RS 1400-2000</t>
  </si>
  <si>
    <t>R$8.48 per 10 m3</t>
  </si>
  <si>
    <t>Sabesp https://www9.sabesp.com.br/agenciavirtual/pages/template/siteexterno.iface?idFuncao=13
IBGE, Senso 2010
https://censo2010.ibge.gov.br/agsn/
HabitaSampa (Prefeitura Municipal de São Paulo)
http://mapa.habitasampa.inf.br/</t>
  </si>
  <si>
    <t>same as table 1</t>
  </si>
  <si>
    <t>5. bottled water</t>
  </si>
  <si>
    <t>it is common = 80%</t>
  </si>
  <si>
    <t xml:space="preserve">IBGE, Censo 2010 (https://censo2010.ibge.gov.br/agsn/)
HabitaSampa (http://mapa.habitasampa.inf.br/)
</t>
  </si>
  <si>
    <t>n/a</t>
  </si>
  <si>
    <t>R500</t>
  </si>
  <si>
    <t>R200</t>
  </si>
  <si>
    <t>It goes to the collection network, but not all the collected wastwater in the city is treated – only 70% of it is treated. So it is likely that part of this 40% is not treated.</t>
  </si>
  <si>
    <t>4. major rives</t>
  </si>
  <si>
    <t xml:space="preserve">R$ 0.848 </t>
  </si>
  <si>
    <t>F: no treatment</t>
  </si>
  <si>
    <t>some do not treat = 20%</t>
  </si>
  <si>
    <t>R700</t>
  </si>
  <si>
    <t>vacuum truck</t>
  </si>
  <si>
    <t>Tanks can be disludged, and the collected material discharged in wastewater treatment plant. However this cycle is not Always completed. If properly managed (in accordance to legislation) it would be directed either to landfill or to a Sabesp WWTP (activated sludge system, along with sewered wastewater).</t>
  </si>
  <si>
    <t>1, 3</t>
  </si>
  <si>
    <t>K: self provisioned drain</t>
  </si>
  <si>
    <t>10% discharges directly to a small river stream. Also a big share of it is close to sewer lines, but residentes have not made the connection properly</t>
  </si>
  <si>
    <t>Comuna 20</t>
  </si>
  <si>
    <t>Cali en Cifras</t>
  </si>
  <si>
    <t>key informants</t>
  </si>
  <si>
    <t>Cali en Cifras, www.emcali.com.co</t>
  </si>
  <si>
    <t>Daniela Aranda</t>
  </si>
  <si>
    <r>
      <rPr>
        <sz val="9"/>
        <color indexed="8"/>
        <rFont val="Calibri"/>
      </rPr>
      <t>Cali en Cifras, www.emcali.com.co</t>
    </r>
  </si>
  <si>
    <t xml:space="preserve">Most recurring health concerns are not attributed to the water, however according to the statistics from the subsidized health care, gastric problems are common all around. </t>
  </si>
  <si>
    <t xml:space="preserve">Cooking, washing and drinking </t>
  </si>
  <si>
    <t>Administrative records: Cali en Cifras</t>
  </si>
  <si>
    <t>Daniela Arandan</t>
  </si>
  <si>
    <t>Cali en cifras, www.emcali.com.co</t>
  </si>
  <si>
    <t>There are no communal sanitation facilities.</t>
  </si>
  <si>
    <t>Public sanitation is maintained by the public wastewater treatment facility.</t>
  </si>
  <si>
    <t>(51%)The wastewater flushed to sewer connected to wastewater treatment plant is treated in its entirely.</t>
  </si>
  <si>
    <t>www.emcali.com.co</t>
  </si>
  <si>
    <t>Hugo Salazar</t>
  </si>
  <si>
    <t>O: Illegal piped water connections</t>
  </si>
  <si>
    <t>E</t>
  </si>
  <si>
    <t>O: Not connected, don't use water</t>
  </si>
  <si>
    <t>N/A, no longer built and the remaining are very old</t>
  </si>
  <si>
    <t>Koramangala Slum (Resettlement) Cluster</t>
  </si>
  <si>
    <t>Selva (Local community leader)</t>
  </si>
  <si>
    <t>INR 9000</t>
  </si>
  <si>
    <t>INR 6000</t>
  </si>
  <si>
    <t xml:space="preserve">INR 3750 </t>
  </si>
  <si>
    <t>L.C. 3000</t>
  </si>
  <si>
    <t>Bangalore Water Supply and Sewerage Board (BWSSB)</t>
  </si>
  <si>
    <t xml:space="preserve">For drinking and other potable uses, water is provided by BWSSB since 2002 (plot level supply). 90% area and households are covered by this, except Muneshwara Block. Residents from Muneshwara block come to nearby areas to fill water for drinking/potable purposes, from the private taps/connections from BWSSB pipelines. 
For non-drinking purposes, there are a number of tube/bore wells with mini water tanks and public stand posts, used by majority of households in the area. 
Older protected/unprotected wells are closed and no longer used as water quality is very poor.
</t>
  </si>
  <si>
    <t>The public/communal toilet facilities are provided and maintained by the private NGO Sulabh International. Individuals pay per use. Public toilets typically use borewell water, not BWSSB or Corporation water.</t>
  </si>
  <si>
    <t>BWSSB has provided underground sewage lines and are responsible for maintenance. 15-25% of water bill is sanitary charges/cess. But few households have meters and pay bills.</t>
  </si>
  <si>
    <t>15-25% of monthly water bill</t>
  </si>
  <si>
    <t>1, 2</t>
  </si>
  <si>
    <t xml:space="preserve">Sewer lines from area connect to main sewer line which goes to KC Valley-Bellandur STP. 
The STP does not do full treatment – its only primary and secondary.
KC Valley STP Capacity is 248MLD. Not sure on how much is currently being treated. 
</t>
  </si>
  <si>
    <t xml:space="preserve">Bangalore Water Supply and Sewerage Board (BWSSB)
Selva (Local community leader)
</t>
  </si>
  <si>
    <t>C/D</t>
  </si>
  <si>
    <t>INR 5 for single use of latrine; INR 10 for single use of bathing</t>
  </si>
  <si>
    <t>C (private owned)</t>
  </si>
  <si>
    <t>D</t>
  </si>
  <si>
    <t xml:space="preserve">BWSSB, BBMP </t>
  </si>
  <si>
    <t>Siddarth Nagar (Add.: Siddarth Nagar, Four Bungalow, Mhada, Andheri (W), Mumbai 400 053).</t>
  </si>
  <si>
    <t>ICDS</t>
  </si>
  <si>
    <t>Key Informant</t>
  </si>
  <si>
    <t>5000 - 7000 man</t>
  </si>
  <si>
    <t>7000 - 8000 women</t>
  </si>
  <si>
    <t>10000 - 14000 man</t>
  </si>
  <si>
    <t>8000 - 12000  woman</t>
  </si>
  <si>
    <t>85-90</t>
  </si>
  <si>
    <t>Depends on convenience and when vendors are open</t>
  </si>
  <si>
    <t xml:space="preserve">Mr. Jaymati, Ms. Anita Chavaria, Ms. Rekha Raut </t>
  </si>
  <si>
    <t>Only during rainy season - typically from mid-June to September.</t>
  </si>
  <si>
    <t>Mr. Jaymati, Ms. Anita Chavaria, Ms. Rekha Raut</t>
  </si>
  <si>
    <t xml:space="preserve">1, 2 </t>
  </si>
  <si>
    <t xml:space="preserve">The residents suffer with various water born disease e.g. cholera, diarrhea.  </t>
  </si>
  <si>
    <t xml:space="preserve">For washing floor </t>
  </si>
  <si>
    <t>NA</t>
  </si>
  <si>
    <t>-</t>
  </si>
  <si>
    <t xml:space="preserve">O: Piped water from workplace </t>
  </si>
  <si>
    <t>Depends on work hours; varies</t>
  </si>
  <si>
    <t>F: No treatment (water from workplace)</t>
  </si>
  <si>
    <t>50-100 per month</t>
  </si>
  <si>
    <t>K: Pour to open drain (squatting pan toilet)</t>
  </si>
  <si>
    <t>6: directly into open drain to sea</t>
  </si>
  <si>
    <t>4: To open drain and then sea</t>
  </si>
  <si>
    <t>Table 1 and 2 were combined at a (10% for drinking) : (90% for non-drinking) water supply ratio, based on enumerator's analysis</t>
  </si>
  <si>
    <t>F: No treatment (bottled water)</t>
  </si>
  <si>
    <t>Sangamwadi Ward (Ward No. 1,2,3,4,5,6,16,17,18,19,20,21)</t>
  </si>
  <si>
    <t>Census Population data</t>
  </si>
  <si>
    <t>INR 7000</t>
  </si>
  <si>
    <t>INR 5600</t>
  </si>
  <si>
    <t>7 days</t>
  </si>
  <si>
    <t xml:space="preserve">2_CDP_Physical_Social_infra.pdf,
www.punecorporation.org
Copy of Water bills.
</t>
  </si>
  <si>
    <t xml:space="preserve">Mr. V.G. Kulkarni
(PMC official, Chief engineer, Water department)
Mr. Vivek Dubewar
(Jr. Engineer, Bund Garden Water Station)
</t>
  </si>
  <si>
    <t>A. Piped water into dwelling</t>
  </si>
  <si>
    <t>kl</t>
  </si>
  <si>
    <t>2_CDP_Physical_Social_infra.pdf</t>
  </si>
  <si>
    <t>Some private vendors are selling water to private consumers depending on the need of the consumer. This is not a regular practice and a consumer is fully responsible for the cost of the water they purchase from private vendor.</t>
  </si>
  <si>
    <t>4. Tanker-trucks from PMC water tanker filling point</t>
  </si>
  <si>
    <t>Not everywhere water is reused; but in some societies/residential blocks water is reused for gardening purpose. According to new guideline, Rain water harvesting is mandatory in new societies and residential complexes.</t>
  </si>
  <si>
    <t>In the interview, Mr. Kulkarni mentioned that the water quality is periodically checked and the water is safe to drink and use. Most of the households are having their own small scale/domestic water filters with UV/RO technology.</t>
  </si>
  <si>
    <t xml:space="preserve">Mr. Sandip Babulal Chavan
(PMC official, Divisional Health Inspector)
</t>
  </si>
  <si>
    <t xml:space="preserve">No community operated sanitation facility is present in the settlement.
</t>
  </si>
  <si>
    <t xml:space="preserve">The maintenance of public urinals and toilets are being outsourced to different private contractors. These contractors hire people on monthly wage system for maintenance of the public sanitation facilities. </t>
  </si>
  <si>
    <t>Rs. 157500</t>
  </si>
  <si>
    <t>Rs. 2000</t>
  </si>
  <si>
    <t xml:space="preserve">The sewer lines are connected to nearby STP plant where it is under treatment by various methods like screening and settling. </t>
  </si>
  <si>
    <t>5. Other, specify: Bricks and Mortar</t>
  </si>
  <si>
    <t>kL</t>
  </si>
  <si>
    <t>Varies</t>
  </si>
  <si>
    <t xml:space="preserve">INR 460 for 30kL for HelpLine PMC Tankers; 0 cost for PMC-authorized private tankers. 
</t>
  </si>
  <si>
    <t xml:space="preserve">Rs. 75 per month
</t>
  </si>
  <si>
    <t>Rs. 9000</t>
  </si>
  <si>
    <t xml:space="preserve">6. Connected with the sewer lines
</t>
  </si>
  <si>
    <t>M: Private Water Vendors</t>
  </si>
  <si>
    <t>Kl</t>
  </si>
  <si>
    <t>M</t>
  </si>
  <si>
    <t xml:space="preserve">INR 1350 for 30kL
</t>
  </si>
  <si>
    <t>Rs. 40 per month</t>
  </si>
  <si>
    <t>Borella South Grama Niladhari Division</t>
  </si>
  <si>
    <t>Department of Census and Statistics (Census of Population and Housing 2011)</t>
  </si>
  <si>
    <t>Department of Census and Statistics (Census of Population and Housing 2011); NATIONAL WATER SUPPLY AND DRAINAGE BOARD LAW, No. 2 OF 1974  Government Notifications (Gazette notification)  (www.waterboard.lk/web/images/contents/consumer_help/water_tariff_e.pdf)</t>
  </si>
  <si>
    <t>Ms.Iresha Udeni , Grama Niladhari, Borella South</t>
  </si>
  <si>
    <t xml:space="preserve">1. Department of Census and Statistics (Census of Population and Housing 2011)
2. NATIONAL WATER SUPPLY AND DRAINAGE BOARD LAW, No. 2 OF 1974  Government Notifications (Gazette notification)  (www.waterboard.lk/web/images/contents/consumer_help/water_tariff_e.pdf)
</t>
  </si>
  <si>
    <t xml:space="preserve">Mr.D.R.M.C.M.Rathnayake, Statistician, Data Dissemination Unit, Department of Census and Statistics
</t>
  </si>
  <si>
    <t>Census of Population and Housing 2011</t>
  </si>
  <si>
    <r>
      <rPr>
        <sz val="11"/>
        <color indexed="8"/>
        <rFont val="Calibri"/>
      </rPr>
      <t>Department of Census and Statistics,</t>
    </r>
    <r>
      <rPr>
        <b val="1"/>
        <sz val="12"/>
        <color indexed="8"/>
        <rFont val="Times New Roman"/>
      </rPr>
      <t xml:space="preserve"> </t>
    </r>
    <r>
      <rPr>
        <b val="1"/>
        <sz val="9"/>
        <color indexed="8"/>
        <rFont val="Arial"/>
      </rPr>
      <t>Census of Population and Housing 2011</t>
    </r>
  </si>
  <si>
    <t>Mr.D.R.M.C.M.Rathnayake</t>
  </si>
  <si>
    <t xml:space="preserve">The Colombo Municipal Council is responsible for maintenances of communal sanitation facilities. </t>
  </si>
  <si>
    <t>The Colombo Municipal Council is responsible for maintenances of communal sanitation facilities.</t>
  </si>
  <si>
    <t>4 Sea Outfall</t>
  </si>
  <si>
    <t>Department of Census and Statistics/ National Water Supply and Drainage board</t>
  </si>
  <si>
    <t>L.C.0</t>
  </si>
  <si>
    <t>4: Sea outfall through the sewerage network</t>
  </si>
  <si>
    <t>$20.33 (manual), $71.15 (vacuum truck)</t>
  </si>
  <si>
    <t>4: Buried/ Sea Out fall</t>
  </si>
  <si>
    <t>L.C.10,  1. Single use (For an outsourced private company for cleaning)</t>
  </si>
  <si>
    <t>K</t>
  </si>
  <si>
    <t>4: Sea, through the canals/drain</t>
  </si>
  <si>
    <t>O: no data</t>
  </si>
  <si>
    <t>Kallyanpur Pora Basti</t>
  </si>
  <si>
    <t>WSUP data, Kallyanpur</t>
  </si>
  <si>
    <t>Key Informants, CBO Leaders, Kallyanpur</t>
  </si>
  <si>
    <t>L.C. 10000</t>
  </si>
  <si>
    <t>per m3</t>
  </si>
  <si>
    <t>7 days (available)</t>
  </si>
  <si>
    <t>24 hours</t>
  </si>
  <si>
    <t xml:space="preserve">Water and Sanitation for the Urban Poor (WSUP), International NGO worked in the community. </t>
  </si>
  <si>
    <t xml:space="preserve">Rasheda Begum Shapna, CBO Leader, and Facilitator of RUPA PROJECT, Kallyan pur 
Mr. Abul Kashem Mondol, Chair Person, NDBUS, NGO 
Mr. Habibur Raahman, WSUP, Dhaka </t>
  </si>
  <si>
    <t xml:space="preserve">DWASA web site, WASA documents for tariff increase; 
SUP, Base line Survey: Bangladesh LIC WASH Programme, 2014 </t>
  </si>
  <si>
    <t xml:space="preserve">Rasheda Begum Shapna, CBO Leader, and Facilitator of RUPA PROJECT 
Mr. Abul Kashem Mondol, Chairperson, NDBUS, NGO </t>
  </si>
  <si>
    <t>WASA increased the tariff to recover operation and maintenance cost of water supply system from all customers. In Nov 2016 the tariff was raised to Tk. 10 per M3 from Tk. 8.49 and again raised in Aug 2017, by 0.50 from Tk.10.50 by WASA</t>
  </si>
  <si>
    <t xml:space="preserve">17.78% increase in Sep 2016 
5% increase in August 2017 </t>
  </si>
  <si>
    <t xml:space="preserve">Diarrhea in extreme summer season when water supply face shortage or become intermittent for some weeks </t>
  </si>
  <si>
    <t xml:space="preserve">ternational Journal of Natural and Social Sciences, 2017, 4(2) Water supply and sanitation situation of Kalyanpur slum area in Dhaka,  Mehnaz Abbasi Badhan </t>
  </si>
  <si>
    <t xml:space="preserve">Rasheda Begum Shapna, CBO Leader, and Facilitator of RUPA PROJECT 
Mr. Abul Kashem Mondol, General Secretary, NDBUS, NGO </t>
  </si>
  <si>
    <t>Tk  50 per month</t>
  </si>
  <si>
    <t xml:space="preserve">International Journal of Natural and Social Sciences, 2017, 4(2) Water supply and sanitation situation of Kalyanpur slum area in Dhaka,  Mehnaz Abbasi Badhan </t>
  </si>
  <si>
    <t xml:space="preserve">Investment cost has been paid by NGOs 
Maintenance is done by CBOs 
Users pay monthly charge of Tk 10 to 50 per household for operation and maintenance cost </t>
  </si>
  <si>
    <t xml:space="preserve">Public sanitation facilities are not available in the slums. Public toilets installed  in different parts are poorly maintained by City Corporation and most of them are nonfunctional. A recent initiative has been undertaken by engaging private companies to take the responsibilities of maintenance against collecting charge for each use by the users. </t>
  </si>
  <si>
    <t>1, 2, 6: connected direct to drainage</t>
  </si>
  <si>
    <t>4 drainage, to 1 canals/rivers</t>
  </si>
  <si>
    <t xml:space="preserve">Participatory Management Initiative for Development (PMID), Analysis of factors affecting the usage, operation and maintenance of community latrines in low income communities (lics), in Dhaka city, 2013 for WSUP Bangladesh LIC WASH Programme 2013-15 </t>
  </si>
  <si>
    <t>5: concrete slabs and rings</t>
  </si>
  <si>
    <t>G</t>
  </si>
  <si>
    <t>CBO Leaders, Kallyanpur</t>
  </si>
  <si>
    <t xml:space="preserve"> BBS, Statistical Pocket Book, Bangladesh 2015</t>
  </si>
  <si>
    <t>Physical Visits and discussion with Key informant, WSUP Office</t>
  </si>
  <si>
    <t xml:space="preserve">Physical Visits and discussion with Key informants; </t>
  </si>
  <si>
    <t>Tk. 20 Per month</t>
  </si>
  <si>
    <t>Visit and Discussion with water user families and key informant</t>
  </si>
  <si>
    <t>1 (15%), 2 (85%)</t>
  </si>
  <si>
    <t>3 (4%), 4 drainage (81%)</t>
  </si>
  <si>
    <t>Visit and Discussion with water user families and key informants</t>
  </si>
  <si>
    <t>K. Informal drain</t>
  </si>
  <si>
    <t>Ghaziabad Sector 11 ½  Orangi Town Karachi</t>
  </si>
  <si>
    <t>as per TTRC's study</t>
  </si>
  <si>
    <t>area’s people / key informant estimates</t>
  </si>
  <si>
    <t>7-9</t>
  </si>
  <si>
    <t>2016</t>
  </si>
  <si>
    <t>L.C. 9,000 to 12,000 man</t>
  </si>
  <si>
    <t>L.C. 5,000 to 8,000 woman</t>
  </si>
  <si>
    <t>L.C. Rupees 800 per day man, working 15-18 days per month</t>
  </si>
  <si>
    <t>0-1 days</t>
  </si>
  <si>
    <t xml:space="preserve">Note all information gather by field visit and interview with 7 people of Ghaziabad. </t>
  </si>
  <si>
    <t>varies according to need</t>
  </si>
  <si>
    <t>Note all information gather by field visit and interview with people of Ghaziabad.</t>
  </si>
  <si>
    <t>Pipe water (KWSB), Water Taker (Private), Whole bore (people own efforts)  RO (private)</t>
  </si>
  <si>
    <t>There are some reasons such as weather changes and increase the water consumption.</t>
  </si>
  <si>
    <t>30 to 40</t>
  </si>
  <si>
    <t>Stomach pain problems.</t>
  </si>
  <si>
    <t>no use</t>
  </si>
  <si>
    <t>To overcome any sanitation problem people make collection themselves and maintain They include community based organizations, youth organizations and groups and also local political workers and their associatest.</t>
  </si>
  <si>
    <t>External sanitation maintain (Secondary and Main).only union council and Town administration is responsible to do all sanitation and Maintain work.</t>
  </si>
  <si>
    <t>community representatives, 2017.</t>
  </si>
  <si>
    <t>14,000 per month (avg 17.5 days)</t>
  </si>
  <si>
    <t>K: informal drain – community built; pipe not laid by KWSB</t>
  </si>
  <si>
    <t>per m3 / kL</t>
  </si>
  <si>
    <t>F (No treatment)</t>
  </si>
  <si>
    <t>M: reverse osmosis plant</t>
  </si>
  <si>
    <t>per L</t>
  </si>
  <si>
    <t>Varies according to need</t>
  </si>
  <si>
    <t>12 to 14</t>
  </si>
  <si>
    <t>Kalimali Settlement, Bwaiise III, Kawempe Division, Kampala City</t>
  </si>
  <si>
    <t>ACTogether/NSDFU/SDI, Kampala Profiles, Kawempe Division</t>
  </si>
  <si>
    <t>FGD (Focus Group Discussion)</t>
  </si>
  <si>
    <t>FGD</t>
  </si>
  <si>
    <t>Very few</t>
  </si>
  <si>
    <t>150,000 UGX to 200,000 UGX</t>
  </si>
  <si>
    <t>150, 000 UGX to 300, 000 UGX</t>
  </si>
  <si>
    <t>per kL</t>
  </si>
  <si>
    <t>Key informants engaged in a focus group discussion (FGD)
1. Kasaalu Ronald
2. Nsiimire Hadijah
3. Hirya Geoffrey
4. Sendegeya Jonathan
5. Nakijjoba Sophia 
6. Mukasa Abdu
7. Kakaire Saka</t>
  </si>
  <si>
    <t>Profiling data for the settlement which is available at the community center where the FGD was held</t>
  </si>
  <si>
    <t xml:space="preserve">Key informants engaged in a focus group discussion (FGD)
1. Kasaalu Ronald
2. Nsiimire Hadijah
3. Hirya Geoffrey
4. Sendegeya Jonathan
5. Nakijjoba Sophia 
6. Mukasa Abdu
7. Kakaire Saka
</t>
  </si>
  <si>
    <t>FGD, profiling information by SDI</t>
  </si>
  <si>
    <t>Responsibility placed in hands of caretaker, who cleans and collects fees from users, with a project management committee (PMC) in place to provide oversight. The PMC is composed of members of the same community</t>
  </si>
  <si>
    <t>NA - No public sanitation facilities in settlement</t>
  </si>
  <si>
    <t>Evacuated and transported to Lubigi or Bugolobi sewage</t>
  </si>
  <si>
    <t>B, E, H: Streams</t>
  </si>
  <si>
    <t xml:space="preserve">per kL </t>
  </si>
  <si>
    <t>F: Disinfection tablet</t>
  </si>
  <si>
    <t>2, 5</t>
  </si>
  <si>
    <t>For the few who empty lately: Evacuated and transported to Lubigi or Bugolobi sewage treatment plant (&lt;15%)</t>
  </si>
  <si>
    <t>4: abandoned, new one dug</t>
  </si>
  <si>
    <t>100 UGX for short visit, 200 UGX for long visit, 500 for bathing, all for single use; 5,000 UGX for monthly subscription</t>
  </si>
  <si>
    <t>0, exists but no interview estimate</t>
  </si>
  <si>
    <r>
      <rPr>
        <b val="1"/>
        <sz val="9"/>
        <color indexed="8"/>
        <rFont val="Arial"/>
      </rPr>
      <t xml:space="preserve">MAKOKO </t>
    </r>
    <r>
      <rPr>
        <b val="1"/>
        <sz val="9"/>
        <color indexed="19"/>
        <rFont val="Arial"/>
      </rPr>
      <t>(excluding houses on lagoon)</t>
    </r>
  </si>
  <si>
    <t>Lagos State Government Ministry of Physical Planning and Urban Development (2013). Mainland Central Model City Plan 2032</t>
  </si>
  <si>
    <t>Lagos Household Survey 2010</t>
  </si>
  <si>
    <r>
      <rPr>
        <strike val="1"/>
        <sz val="9"/>
        <color indexed="8"/>
        <rFont val="Arial"/>
      </rPr>
      <t>N</t>
    </r>
    <r>
      <rPr>
        <sz val="9"/>
        <color indexed="8"/>
        <rFont val="Arial"/>
      </rPr>
      <t>15,000-20,000 man</t>
    </r>
  </si>
  <si>
    <r>
      <rPr>
        <strike val="1"/>
        <sz val="9"/>
        <color indexed="8"/>
        <rFont val="Arial"/>
      </rPr>
      <t>N</t>
    </r>
    <r>
      <rPr>
        <sz val="9"/>
        <color indexed="8"/>
        <rFont val="Arial"/>
      </rPr>
      <t>15,000 woman</t>
    </r>
  </si>
  <si>
    <r>
      <rPr>
        <strike val="1"/>
        <sz val="9"/>
        <color indexed="8"/>
        <rFont val="Arial"/>
      </rPr>
      <t>N</t>
    </r>
    <r>
      <rPr>
        <sz val="9"/>
        <color indexed="8"/>
        <rFont val="Arial"/>
      </rPr>
      <t xml:space="preserve"> 77000</t>
    </r>
  </si>
  <si>
    <r>
      <rPr>
        <strike val="1"/>
        <sz val="9"/>
        <color indexed="8"/>
        <rFont val="Arial"/>
      </rPr>
      <t>N</t>
    </r>
    <r>
      <rPr>
        <sz val="9"/>
        <color indexed="8"/>
        <rFont val="Arial"/>
      </rPr>
      <t xml:space="preserve"> 66000</t>
    </r>
  </si>
  <si>
    <t>Private        12  hours
Public           3 hours</t>
  </si>
  <si>
    <t>S. S. Idowu
Folashade Azeez</t>
  </si>
  <si>
    <t>Ranges $3-4 USD/PPP depending on electricity</t>
  </si>
  <si>
    <t xml:space="preserve">There are 4 boreholes provided for the community use through the World Bank funded Lagos Metropolis Development and Governance Project (LMDGP). Water is fetched from these boreholes at no cost. There is also water supply by private persons who have constructed boreholes for their personal use. Community members buy water from private-owners of boreholes when there is no electricity to run the public boreholes. They also service those who are unable to fetch water from the public sources. </t>
  </si>
  <si>
    <r>
      <rPr>
        <sz val="9"/>
        <color indexed="8"/>
        <rFont val="Arial"/>
      </rPr>
      <t xml:space="preserve">5. Other, specify: </t>
    </r>
    <r>
      <rPr>
        <b val="1"/>
        <sz val="9"/>
        <color indexed="8"/>
        <rFont val="Arial"/>
      </rPr>
      <t>purchase of manufactured sachet water from distributors</t>
    </r>
    <r>
      <rPr>
        <sz val="9"/>
        <color indexed="8"/>
        <rFont val="Arial"/>
      </rPr>
      <t xml:space="preserve"> </t>
    </r>
  </si>
  <si>
    <t>Lagos State Household Survey 2013</t>
  </si>
  <si>
    <t>S. S. Idowu</t>
  </si>
  <si>
    <t>The truck operator discharges the sewage at the accredited septage receiving point within the city. The septage is then processed by the removal of particles and debris, and then the coagulant/flocculants is added to sediment the suspended solid and produce a clear supernatant. The supernatant is allowed to flow into the receiving water body while the sludge is dried in the drying bed, bagged and removed by solid waste collector. 45-55% is treated. *Before 2010, septage was directly discharged into water bodies within the city.</t>
  </si>
  <si>
    <t xml:space="preserve">1. Sheik Salaudeen Idowu , Folashade Azeez   (Q49, 52) 
2. Plumber Mushin-Lagos (Q50)
3. Mr Ayodeji Awolesi  (Q53,54)
</t>
  </si>
  <si>
    <t>concrete</t>
  </si>
  <si>
    <t>lake</t>
  </si>
  <si>
    <t>depends on household needs and business hours</t>
  </si>
  <si>
    <t>varies</t>
  </si>
  <si>
    <t>E: Directly into the lagoon</t>
  </si>
  <si>
    <t xml:space="preserve">Nhlamankulu D </t>
  </si>
  <si>
    <t>Water &amp; Sanitation for the Urban Poor. “Relatório de Água e Saneamento dos 11 Bairros do Distrito de Nhalhamankulu pelos Líderes Locais – II Levantamento”. January 2016.</t>
  </si>
  <si>
    <t>(I); Perfil Estatístico do Município de Maputo, Conselho Municipal de Maputo, 2010; (II) Water &amp; Sanitation for the Urban Poor. “Relatório de Água e Saneamento dos 11 Bairros do Distrito de Nhalhamankulu pelos Líderes Locais – II Levantamento”. January 2016.</t>
  </si>
  <si>
    <t>(Maputo Province average) Instituto Nacional de Estatística (INE). “RELATÓRIO FINAL DO INQUÉRITO AO ORÇAMENTO FAMILIAR - IOF-2014/15”</t>
  </si>
  <si>
    <t>2014/2015</t>
  </si>
  <si>
    <t>(Province average) Organização de Trabalhadores de Moçambique (OTM) – Central Sindical Report: “Dinâmica do Actual Mercado de Trabalho e Desafios do Movimento Sindical em Moçambique, 2013”; The World Bank Group. 2017. Republic of Mozambique Urban Safety Nets in Mozambique.</t>
  </si>
  <si>
    <t>(Province average) Organização de Trabalhadores de Moçambique (OTM) – Central Sindical Report: “Dinâmica do Actual Mercado de Trabalho e Desafios do Movimento Sindical em Moçambique, 2013”</t>
  </si>
  <si>
    <t>Instituto Nacional de Estatística. 20016. Inquérito ao Orçamento Familiar, IOF2014/15, Relatório do Módulo da Força de Trabalho.</t>
  </si>
  <si>
    <t>Neighborhood Leader (estimate)</t>
  </si>
  <si>
    <t>2,500 – 3,500</t>
  </si>
  <si>
    <t>1,500 – 2,500</t>
  </si>
  <si>
    <t xml:space="preserve">• WSUP, 2016. Relatório de Água e Saneamento dos 11 Bairros do Distrito de Nhalhamankulu pelos Líderes Locais – II Levantamento”. 
• Zuin, V., Nicholson, M., &amp; Davis, J. (2012). Water access, poverty, and policy changes in peri-urban Maputo. http://www.cra.org.mz/documentos.html
• CRA, 2016. Relatório ao Governo 2015.  http://www.cra.org.mz/relatorioanual.html 
</t>
  </si>
  <si>
    <t xml:space="preserve">• Carla Costa – Water &amp; Sanitation for the Urban Poor Country Programme Manager
• Tomás Agostinho Silva –  Planning Technical Officer - Maputo Water Utility (AdeM) 
• Casimiro Nguo – Nhlamankulu resident
• Ricardo Zacarias Amós – Head of Studies and Projects Unit (CRA)
• Jordi Gallego Ayala – Social Protection Specialist - The World Bank Group
</t>
  </si>
  <si>
    <t xml:space="preserve">• WSUP, 2016. Relatório de Água e Saneamento dos 11 Bairros do Distrito de Nhalhamankulu pelos Líderes Locais – II Levantamento”. </t>
  </si>
  <si>
    <t xml:space="preserve">Dishwashing 
Laundry
House cleaning
</t>
  </si>
  <si>
    <t xml:space="preserve">• Zuin, V., Nicholson, M., &amp; Davis, J. (2012). Water access, poverty, and policy changes in peri-urban Maputo. http://www.cra.org.mz/documentos.html </t>
  </si>
  <si>
    <t>• Casimiro Nguo</t>
  </si>
  <si>
    <t xml:space="preserve">• WSUP, 2016. Relatório de Água e Saneamento dos 11 Bairros do Distrito de Nhalhamankulu pelos Líderes Locais – II Levantamento”. 
• Water and Sanitation Program and Maputo Municipality, 2014. Caracterização do Saneamento em Maputo
</t>
  </si>
  <si>
    <t>• Análio Tembe, Head of Sanitation at the Municipality Drainage Office</t>
  </si>
  <si>
    <t>The facilities are financed through NGO’s Municipality’s partners such as WSUP and Water Aid. They are municipality’s property but managed by the community. The community pays for the maintenance. The community is responsible for the maintenance costs.</t>
  </si>
  <si>
    <t>$25.21  (1. manual); $75.64 (4. gulper)</t>
  </si>
  <si>
    <t>$8  (1. manual); $23 (4. gulper)</t>
  </si>
  <si>
    <t>1, 4</t>
  </si>
  <si>
    <t xml:space="preserve">• WSUP, 2016. Relatório de Água e Saneamento dos 11 Bairros do Distrito de Nhalhamankulu pelos Líderes Locais – II Levantamento”. 
• Water and Sanitation Program and Maputo Municipality, 2014. Caracterização do Saneamento em Maputo
• Hawkins, P., &amp; Muxímpua, O. (2015). Developing business models for fecal sludge management in Maputo.
</t>
  </si>
  <si>
    <t xml:space="preserve">• Carla Barros Costa Water &amp; Sanitation for the Urban Poor Country Programme Manager
• Análio Tembe, Head of Sanitation at the Municipality Drainage Office
• Odete Muxímpua, Water and Sanitation Specialist The World Bank.
</t>
  </si>
  <si>
    <t>1, 2, 4</t>
  </si>
  <si>
    <t>D, E, G</t>
  </si>
  <si>
    <t>2018 costs source:  CRA's website (http://www.cra.org.mz/tarifasemvigor.html); and Ricardo Zacarias Amós – Head of Studies and Projects Unit - CRA)</t>
  </si>
  <si>
    <t>Ricardo Zacarias Amós – Head of Studies and Projects Unit - CRA)</t>
  </si>
  <si>
    <t>20L</t>
  </si>
  <si>
    <t>K: Sanitary block or shared latrines</t>
  </si>
  <si>
    <t>Majority is sent to a wastewater treatment plant but the quality of treatment is very poor.</t>
  </si>
  <si>
    <t>M: Neighbor yard tap</t>
  </si>
  <si>
    <t>Zolozolo West Ward</t>
  </si>
  <si>
    <t>Mzuzu City Council /  Mzimba North District Health Office 2017.Environmental health quarterly report, Mzuzu, Unpublished (Note that Mzuzu City governance  is a mixture of customary and formal systems)</t>
  </si>
  <si>
    <t xml:space="preserve">  Mzuzu City Council and Mzimba North District Health Office (2017). Environmental health quarterly report, Mzuzu, Unpublished 
(Note that Mzuzu City governance  is a mixture of customary and formal systems_) Mzuzu City Council and Ministry of Health)</t>
  </si>
  <si>
    <t xml:space="preserve">Mzuzu City Council and Mzimba North District Health Office (2017). Environmental health quarterly report, Mzuzu, Unpublished 
(Note that Mzuzu City governance  is a mixture of customary and formal systems_) Mzuzu City Council and Ministry of Health
</t>
  </si>
  <si>
    <t xml:space="preserve">Peter Kings Mbale, (ward Councillor),2017, cell; +265 884 618 801 </t>
  </si>
  <si>
    <t xml:space="preserve"> MK. 14,315.70 
</t>
  </si>
  <si>
    <t>MK 14,315.70</t>
  </si>
  <si>
    <t xml:space="preserve">NRWB (2017) Performance Indicators Report
Mzuzu city Council (2017),Environmental Quarterly Health Data Report,  Unpublished 
</t>
  </si>
  <si>
    <r>
      <rPr>
        <sz val="9"/>
        <color indexed="8"/>
        <rFont val="Arial"/>
      </rPr>
      <t>Joseph Miselema, Block Leader, Cell :265884965872: Beatrice Chikwezga, Senior Health Surveillance Assistant, Zolozolo Health Center. Cell:+265999060747  Peter Kings Mbale, (Councilor),2017, cell; +265 884 618 801</t>
    </r>
    <r>
      <rPr>
        <u val="single"/>
        <sz val="9"/>
        <color indexed="8"/>
        <rFont val="Arial"/>
      </rPr>
      <t>,</t>
    </r>
    <r>
      <rPr>
        <sz val="9"/>
        <color indexed="8"/>
        <rFont val="Arial"/>
      </rPr>
      <t xml:space="preserve"> Watson Munthali, (Chairman of police community) cell: +265 999 703 3318</t>
    </r>
  </si>
  <si>
    <t xml:space="preserve">Mzuzu city Council (2017),Environmental Health Data Quarterly Report, Mzuzu city, Unpublished </t>
  </si>
  <si>
    <t>Joseph Miselema, Block Leader, Cell :265884965872: Beatrice Chikwezga, Senior Health Surveillance Assistant, Zolozolo Health Center. Cell:+265999060747</t>
  </si>
  <si>
    <t>An increase in the electricity tariff affects prices of water provided by NRWB, an increase electricity tariff results from inflation. In both cases the cost is borne by the customer</t>
  </si>
  <si>
    <t>Ranges from 80% to 105%</t>
  </si>
  <si>
    <t>For watering lawns, flowers,  vegetable gardens, washing clothes</t>
  </si>
  <si>
    <t xml:space="preserve">Joseph Miselema, Block Leader, Cell :265884965872: Beatrice Chikwezga, Senior Health Surveillance Assistant, Zolozolo Health Center. Cell:+265999060747 Peter Kings Mbale, (Councilor),2017, cell; +265 884 618 801, Watson Munthali, (Chairman of community police) cell: +265 999 703 3318 </t>
  </si>
  <si>
    <t xml:space="preserve">Joseph Miselema, Block Leader, Cell :265884965872: Beatrice Chikwezga, Senior Health Surveillance Assistant, Zolozolo Health Center. Cell:+265999060747,  Peter Kings Mbale, (Councilor),2017, cell; +265 884 618 801 </t>
  </si>
  <si>
    <t>There are no communal sanitation facilities in the settlement</t>
  </si>
  <si>
    <t>LC. 18000</t>
  </si>
  <si>
    <t xml:space="preserve">The emptying is done by private entrepreneurs or by city vehicle and get discharged into the sludge ponds located in Nkhorongo area in the northern part of the city. In the sludge oxidation ponds biodegradation process produces manure. The manure is then harvested and used as organic fertilizer by local communities involved in urban farming </t>
  </si>
  <si>
    <r>
      <rPr>
        <sz val="9"/>
        <color indexed="8"/>
        <rFont val="Arial"/>
      </rPr>
      <t>Peter Kings Mbale, (Councilor),2017, cell; +265 884 618 801</t>
    </r>
    <r>
      <rPr>
        <u val="single"/>
        <sz val="9"/>
        <color indexed="8"/>
        <rFont val="Arial"/>
      </rPr>
      <t>,</t>
    </r>
    <r>
      <rPr>
        <sz val="9"/>
        <color indexed="8"/>
        <rFont val="Arial"/>
      </rPr>
      <t xml:space="preserve"> Watson Munthali, (Chairman of police community) cell: +265 999 703 3318</t>
    </r>
  </si>
  <si>
    <t>A, E, F, G</t>
  </si>
  <si>
    <t>0, no removal</t>
  </si>
  <si>
    <r>
      <rPr>
        <sz val="9"/>
        <color indexed="8"/>
        <rFont val="Arial"/>
      </rPr>
      <t>4:</t>
    </r>
    <r>
      <rPr>
        <sz val="12"/>
        <color indexed="8"/>
        <rFont val="Times New Roman"/>
      </rPr>
      <t xml:space="preserve"> </t>
    </r>
    <r>
      <rPr>
        <sz val="8"/>
        <color indexed="8"/>
        <rFont val="Times New Roman"/>
      </rPr>
      <t>Some households use chemicals that dissolve the faecal matter</t>
    </r>
    <r>
      <rPr>
        <sz val="9"/>
        <color indexed="8"/>
        <rFont val="Arial"/>
      </rPr>
      <t xml:space="preserve"> </t>
    </r>
  </si>
  <si>
    <r>
      <rPr>
        <sz val="9"/>
        <color indexed="8"/>
        <rFont val="Arial"/>
      </rPr>
      <t xml:space="preserve">4: </t>
    </r>
    <r>
      <rPr>
        <sz val="8"/>
        <color indexed="8"/>
        <rFont val="Times New Roman"/>
      </rPr>
      <t xml:space="preserve">Some Household also use chemicals that dissolve the faecal matter. But in general when the pit is full it is left </t>
    </r>
  </si>
  <si>
    <t>4: Some Household also use chemicals that dissolve the feacal matter. When full, a new pit latrine is dug nearby</t>
  </si>
  <si>
    <t xml:space="preserve">6: feaces collected as manure </t>
  </si>
  <si>
    <t>4: natural biological process produces compost manure</t>
  </si>
  <si>
    <t>Kosovo Village in Mathare Valley  [It is one of the 13 Villages that make-up the larger Mathare Valley informal settlement]</t>
  </si>
  <si>
    <t>2017</t>
  </si>
  <si>
    <t>The Key informant [Jason Waweru] estimated the current population to be between 12,000 and 15,000.  Since 2009, there has been densification (redevelopment with tenements and in-fill developments), increasing the number of housing units; hence an increase in the number of households. Kenya Housing and Population Census data, 2009 data indicates at 8000</t>
  </si>
  <si>
    <t>key informant estimate</t>
  </si>
  <si>
    <t>Key Informant’s estimate</t>
  </si>
  <si>
    <t>4000-8000 / man</t>
  </si>
  <si>
    <t>4000-7500/ woman</t>
  </si>
  <si>
    <t xml:space="preserve">Nairobi Water Company Tariffs (see: https://www.nairobiwater.co.ke/index.php/en/watertariffs    
-Mathare Valley Zonal Plan Report:  http://centreforurbaninnovations.com/content/mathare-zonal-plan-collaborative-plan-informal-settlement-upgrading
</t>
  </si>
  <si>
    <t>Key Informant: Jason Waweru, Peter Otieno</t>
  </si>
  <si>
    <t>Key Informants, and Informal Interviews with residents</t>
  </si>
  <si>
    <t>Jason Waweru &amp; Peter Otieno</t>
  </si>
  <si>
    <t>The price is only affected in the event there is a shortage [often short periods], and it could increase from 2 ksh per 20 liter to 5 ksh [in the first –second day of shortage] and most at 10 ksh [in case a shortage prolongs beyond 2 days]. During the recent 2 weeks of severe water rationing in later March-early April, a key informant indicated that a water truck came into the settlement, at a ‘desperate day’  and sold water at 20 ksh per 20 liter-this was the catalyst for petitioning the water company to address the rationing schedule and water supply for the settlement.</t>
  </si>
  <si>
    <t>150% to 900%</t>
  </si>
  <si>
    <t xml:space="preserve">Mainly for Flushing Toilet and cleaning their house floors </t>
  </si>
  <si>
    <t>Key informant and Informal Interviews with the Residents</t>
  </si>
  <si>
    <t>Jason waweru</t>
  </si>
  <si>
    <t>Key informant &amp; Informal Interviews with Residents</t>
  </si>
  <si>
    <t>Jason waweru, Peter Otieno</t>
  </si>
  <si>
    <t>Youth Groups and Women Groups maintain the facilities. They manage the facilities interchangeably, whereby user fees are used to meet the costs of maintenance. One of these facilities (the “Iko-Toilet”) was built by NGOs in collaboration with some corporates-as part of corporate social responsibility- and the other 2 were built through Constituency Development Funds. They were later handed over to the community, through the groups. The sewage from these facilities is drained into Mathare River that abuts the settlement. The public sewer system that was recently constructed in Kosovo [by Athi Water Services Board] is yet to be commissioned for operations.</t>
  </si>
  <si>
    <r>
      <rPr>
        <sz val="9"/>
        <color indexed="8"/>
        <rFont val="Calibri"/>
      </rPr>
      <t>No public facility; owned and maintained by the government was operational at the time of the field visit [in 20/21</t>
    </r>
    <r>
      <rPr>
        <vertAlign val="superscript"/>
        <sz val="9"/>
        <color indexed="8"/>
        <rFont val="Calibri"/>
      </rPr>
      <t xml:space="preserve"> </t>
    </r>
    <r>
      <rPr>
        <sz val="9"/>
        <color indexed="8"/>
        <rFont val="Calibri"/>
      </rPr>
      <t>May 2017] in Kosovo settlement. The only one existing, which was recently constructed by the National Youth Service is yet to be opened for use at that time of conducting the study.</t>
    </r>
  </si>
  <si>
    <t>Key informant, Observation  and  Enumerator’s informal interviews with the residents [field visit]</t>
  </si>
  <si>
    <t>Jason Waweru</t>
  </si>
  <si>
    <t>[Not used]</t>
  </si>
  <si>
    <t>5 for single use; 150 per month for HH &lt;3 ppl; 250-300 per month for HH 3+</t>
  </si>
  <si>
    <t>F: Flush/Pour Flush Sewer to an informal pipes directly to river</t>
  </si>
  <si>
    <t>$268.86 for a shack; $483.97 for block of tenemants</t>
  </si>
  <si>
    <t>shack: $118; block: $213</t>
  </si>
  <si>
    <t>6: informal sewerage</t>
  </si>
  <si>
    <t>kiosk: 0.19</t>
  </si>
  <si>
    <t>F: do not treat water</t>
  </si>
  <si>
    <t xml:space="preserve">L.C. 5
1. Single use
</t>
  </si>
  <si>
    <t>ATM: 0.24</t>
  </si>
  <si>
    <t>8 (only during drought/shortage)</t>
  </si>
  <si>
    <t>very rare</t>
  </si>
  <si>
    <t xml:space="preserve">Note: There is no major difference between drinking water supply and Non-drinking water supply in Kosovo Settlement. The Key informants (J.Waweru and P. Otieno) indicated that rarely does the settlement face pro-longed water scarcity; may be a day or two once in a while, and during that time the household storage can cover for the basic activities. However, it was noted that during that time, some (very few) households draw water from unprotected spring nearby for washing and flushing toilets. 
Figures for Table 1 and 2 are the same. However, note that Kosovo case is exceptional. Other slums in Nairobi have a certain level of differentiation between drinking water and non-drinking water
</t>
  </si>
  <si>
    <t>B0X</t>
  </si>
  <si>
    <t>B0Y</t>
  </si>
  <si>
    <t>B1A</t>
  </si>
  <si>
    <t>B1B</t>
  </si>
  <si>
    <t>B1C</t>
  </si>
  <si>
    <t>B2A</t>
  </si>
  <si>
    <t>B2B</t>
  </si>
  <si>
    <t>B2C</t>
  </si>
  <si>
    <t>B3A</t>
  </si>
  <si>
    <t>B3B</t>
  </si>
  <si>
    <t>B3C</t>
  </si>
  <si>
    <t>B4A</t>
  </si>
  <si>
    <t>B4B</t>
  </si>
  <si>
    <t>B4C</t>
  </si>
  <si>
    <t>B5A</t>
  </si>
  <si>
    <t>B5B</t>
  </si>
  <si>
    <t>B5C</t>
  </si>
  <si>
    <t>B6A</t>
  </si>
  <si>
    <t>B6B</t>
  </si>
  <si>
    <t>B6C</t>
  </si>
  <si>
    <t>B7A</t>
  </si>
  <si>
    <t>B7B</t>
  </si>
  <si>
    <t>B7C</t>
  </si>
  <si>
    <t>B8A</t>
  </si>
  <si>
    <t>B8B</t>
  </si>
  <si>
    <t>B8C</t>
  </si>
  <si>
    <t>B9</t>
  </si>
  <si>
    <t>B10</t>
  </si>
  <si>
    <t>B11</t>
  </si>
  <si>
    <t>B12</t>
  </si>
  <si>
    <t>B12X</t>
  </si>
  <si>
    <t>B12Y</t>
  </si>
  <si>
    <t>City basic Info</t>
  </si>
  <si>
    <t xml:space="preserve">Workforce and employment </t>
  </si>
  <si>
    <t>Informal settlement &amp; city</t>
  </si>
  <si>
    <t>monthly</t>
  </si>
  <si>
    <t>new information collected in July - Aug 2018</t>
  </si>
  <si>
    <t>Total no. of households</t>
  </si>
  <si>
    <t>Average household size</t>
  </si>
  <si>
    <t>% of households in informal settlement</t>
  </si>
  <si>
    <t>average household income in informal settlement</t>
  </si>
  <si>
    <t>average household income in city</t>
  </si>
  <si>
    <t>source, year</t>
  </si>
  <si>
    <t>City land area (sq km)</t>
  </si>
  <si>
    <t>City Population density</t>
  </si>
  <si>
    <t>informal settlement land area (sq km)</t>
  </si>
  <si>
    <t>Informal settlement population density</t>
  </si>
  <si>
    <t>complete name of jurisdiction</t>
  </si>
  <si>
    <t>type of jurisdiction</t>
  </si>
  <si>
    <t>No. of people</t>
  </si>
  <si>
    <t>No. of households</t>
  </si>
  <si>
    <t xml:space="preserve">Caracas’ Metropolitan Area </t>
  </si>
  <si>
    <t>metropolitan municipality</t>
  </si>
  <si>
    <t xml:space="preserve">Instituto nacional de Estadística (INE) [National Institute for Statistics]
In Venezuela the last census was carried out in 2011. Answer for this question  is an official projection based on the census 2011
</t>
  </si>
  <si>
    <t>Instituto nacional de Estadística (INE) [National Institute for Statistics]</t>
  </si>
  <si>
    <t xml:space="preserve">3.7  people </t>
  </si>
  <si>
    <t xml:space="preserve">Instituto nacional de Estadística (INE) [National Institute for Statistics]
Answers for questions 4, 5 and 11 are based on official projections, it was calculated taking into account a household survey in 2015 and the census 2011. However, it is only for Libertador municipality, the one with the largest population of Caracas, it can be used as a proxy for the entire city.
</t>
  </si>
  <si>
    <t>Bs. 250531 / month</t>
  </si>
  <si>
    <t xml:space="preserve">Bs4623.78 per month  </t>
  </si>
  <si>
    <t xml:space="preserve">Bs  7754 per month </t>
  </si>
  <si>
    <t>informal settlement: enumerator's estimation, 2017; city: INE national institute for statistics, 2012. Details of calculations are in Caracas amendment document.</t>
  </si>
  <si>
    <t>Instituto Geográfico de Venezuela Simón Bolívar (IGVSB), Venezuelan Institute of Geography Simón Bolívar, attribute table from the IGVSB Geoportal http://visor.ide.igvsb.gob.ve/nacional/portal.php</t>
  </si>
  <si>
    <t>Google earth estimation</t>
  </si>
  <si>
    <t xml:space="preserve">Gobierno Autónomo Municipal de Cochabamba </t>
  </si>
  <si>
    <t xml:space="preserve">Municipality </t>
  </si>
  <si>
    <t>National Institute of Statistics</t>
  </si>
  <si>
    <t>L.C. 1200 per month</t>
  </si>
  <si>
    <t>L.C. 1500</t>
  </si>
  <si>
    <t xml:space="preserve">Complete source information, including year: Bolivian National Institute of Statistics http://www.ine.gob.bo/index.php/mercado-laboral/introduccion-7 
Interview to Miguel angel Iriarte, Head administrator of the Drinking Water Association San Miguel Km 4. </t>
  </si>
  <si>
    <t>Municipal Territorial Development plan CBBA 2016-2020</t>
  </si>
  <si>
    <t>municipality of rio de janeiro</t>
  </si>
  <si>
    <t>municipality</t>
  </si>
  <si>
    <t>L.C. 1136.53/month</t>
  </si>
  <si>
    <t>L.C. 1.209,17  per month</t>
  </si>
  <si>
    <t>L.C. 1.518,55 per month</t>
  </si>
  <si>
    <t xml:space="preserve">IBGE - 2010
(http://noticias.r7.com/rio-de-janeiro/noticias/renda-da-rocinha-e-quase-10-vezes-menor-que-a-de-bairro-nobre-vizinho-20601118.html)
</t>
  </si>
  <si>
    <t>IGBE 2017 https://cidades.ibge.gov.br/brasil/rj/rio-de-janeiro/panorama</t>
  </si>
  <si>
    <r>
      <rPr>
        <sz val="11"/>
        <color indexed="8"/>
        <rFont val="Calibri"/>
      </rPr>
      <t xml:space="preserve">IPP/Municipality of Rio, 2011 </t>
    </r>
    <r>
      <rPr>
        <sz val="8"/>
        <color indexed="8"/>
        <rFont val="Calibri"/>
      </rPr>
      <t> </t>
    </r>
  </si>
  <si>
    <r>
      <rPr>
        <u val="single"/>
        <sz val="11"/>
        <color indexed="21"/>
        <rFont val="Calibri"/>
      </rPr>
      <t> (http://portalgeo.rio.rj.gov.br/estudoscariocas/download/3272_FavelasCariocas_compara%C3%A7%C3%A3o_das_%C3%A1reas_ocupadas_2004_2011.pdf)</t>
    </r>
  </si>
  <si>
    <t>São Paulo City</t>
  </si>
  <si>
    <t>12.04 million</t>
  </si>
  <si>
    <t>IBGE (https://cidades.ibge.gov.br/v4/brasil/sp/sao-paulo/panorama)</t>
  </si>
  <si>
    <t>Infocidade – Prefeitura de São Paulo (http://infocidade.prefeitura.sp.gov.br/htmls/9_domicilios_segundo_condicao_de_proprieda_2010_462.html)</t>
  </si>
  <si>
    <t>Censo 2010 (IBGE)</t>
  </si>
  <si>
    <t>SEADE (State Government Foundation for Data Analyses System) http://www.seade.gov.br/produtos/midia/2016/03/Mulher_Trabalho_n27_marco2016-31.pdf</t>
  </si>
  <si>
    <t xml:space="preserve">M.L. R$1076.20
</t>
  </si>
  <si>
    <t>R$ 1400-2000</t>
  </si>
  <si>
    <t xml:space="preserve">19.5 %
</t>
  </si>
  <si>
    <t xml:space="preserve">R$1200,00 </t>
  </si>
  <si>
    <t xml:space="preserve">R$3467.2 </t>
  </si>
  <si>
    <t xml:space="preserve">For the city - IBGE Cidades: https://cidades.ibge.gov.br/brasil/sp/sao-paulo/panorama
Study based on CEM (Centro de Estudos da Metrópole), refering to 2010: http://jornal.usp.br/ciencias/ciencias-humanas/estudo-mapeia-condicoes-das-favelas-em-sao-paulo/
</t>
  </si>
  <si>
    <t>R$1350</t>
  </si>
  <si>
    <t>HabitaSampa</t>
  </si>
  <si>
    <t>IBGE Census 2010</t>
  </si>
  <si>
    <t>Municipality</t>
  </si>
  <si>
    <t>Cali en cifras</t>
  </si>
  <si>
    <t>DANE</t>
  </si>
  <si>
    <t>L.C. $590173 COP per month</t>
  </si>
  <si>
    <t>L.C $1327890 COP per month</t>
  </si>
  <si>
    <t>Cali en cifras, 2015; key informant Juan David Carvajal (worker at municipality, he works with the Cali en cifras Data)</t>
  </si>
  <si>
    <t>Bruhat Bengaluru Mahanagara Palike (BBMP) Area (or Bengaluru Municipal Corporation Area). The city level data based on the Census 2011 corresponds to this jurisdiction.</t>
  </si>
  <si>
    <t>municipal corporation</t>
  </si>
  <si>
    <t>Source National India Census - 2011</t>
  </si>
  <si>
    <t>INR 15000 per month</t>
  </si>
  <si>
    <t>INR 43,000 per month</t>
  </si>
  <si>
    <t xml:space="preserve">Source: NCAER; Year 2007-08 </t>
  </si>
  <si>
    <t>0.275 sq km</t>
  </si>
  <si>
    <t>almost 11 million</t>
  </si>
  <si>
    <t>Source: Issac Arul Selva (key informant); Year: 2016-17</t>
  </si>
  <si>
    <t>BBMP AND BWSSB are not aligned</t>
  </si>
  <si>
    <t>Municipal Corporation of Greater Mumbai (MCGB)</t>
  </si>
  <si>
    <t>Municipal Corporation</t>
  </si>
  <si>
    <t>Directorate of Census Operations, 2011</t>
  </si>
  <si>
    <t>[This data is not recorded as a part of census or as a part of any other survey. No data is available]</t>
  </si>
  <si>
    <t>7000-10000 man</t>
  </si>
  <si>
    <t>8000-12000 woman</t>
  </si>
  <si>
    <t>14000 per month </t>
  </si>
  <si>
    <t>Average 10000 per month</t>
  </si>
  <si>
    <t>13,000
per month</t>
  </si>
  <si>
    <t>15728 INR</t>
  </si>
  <si>
    <r>
      <rPr>
        <sz val="9"/>
        <color indexed="8"/>
        <rFont val="Calibri"/>
      </rPr>
      <t>458</t>
    </r>
    <r>
      <rPr>
        <sz val="8"/>
        <color indexed="8"/>
        <rFont val="Calibri"/>
      </rPr>
      <t> </t>
    </r>
  </si>
  <si>
    <t>source: key informant</t>
  </si>
  <si>
    <t xml:space="preserve">source: Maharashtra government’s economic survey (2013-14) reports 15,728 rupees as the average household income per month in Mumbai. 
https://www.maharashtra.gov.in/Site/upload/WhatsNew/Economic%20Survey%20of%20Maharashtra...pdf
Annexure 3.7 page 32
</t>
  </si>
  <si>
    <t> Municipal Corporation of Greater Mumbai, Report on Draft Development Plan of Mumbai - 2034 (May2016)    http://portal.mcgm.gov.in/irj/go/km/docs/documents/Draft%20Development%20Plan/ENGLISH%20DRAFT%20DP%20REPORT%202034(27May2016)/Draft%20D.P-2034%20Report%20English.pdf   </t>
  </si>
  <si>
    <t>Pune Municipal Corporation</t>
  </si>
  <si>
    <t>INR 9,000</t>
  </si>
  <si>
    <t>interviews, 2017</t>
  </si>
  <si>
    <t>Colombo Municipal Council</t>
  </si>
  <si>
    <t>Department of Census and Statistics</t>
  </si>
  <si>
    <t>Rs 30000</t>
  </si>
  <si>
    <t>RS 22000</t>
  </si>
  <si>
    <t>L.C. 78000 per month</t>
  </si>
  <si>
    <t>85,000 Rs</t>
  </si>
  <si>
    <r>
      <rPr>
        <u val="single"/>
        <sz val="11"/>
        <color indexed="21"/>
        <rFont val="Calibri"/>
      </rPr>
      <t>Household income expenditure survey 2016 http://www.statistics.gov.lk/HIES/HIES2016/HIES2016_FinalReport.pdf</t>
    </r>
  </si>
  <si>
    <t>HOUSEHOLD INCOME AND EXPENDITURE SURVEY - 2012/13 
Department of Census and Statistics</t>
  </si>
  <si>
    <t>map created (GIS shape files) by the Survey department.</t>
  </si>
  <si>
    <t xml:space="preserve">Dhaka City Corporation, Bangladesh  </t>
  </si>
  <si>
    <t>city corporation</t>
  </si>
  <si>
    <t>National Report Volume 3 Urban Area Report, BBS, 2014 (Estimate for 2014 as  9,317,043)</t>
  </si>
  <si>
    <t>National Report Volume 3 Urban Area Report, BBS, 2014 (Estimate for 2014 as 2,137,247)</t>
  </si>
  <si>
    <t>National Report Volume 3 Urban Area Report, BBs, 2014</t>
  </si>
  <si>
    <t>Estimated based on ICCDRB Survey 2015-6 in selected slums and Key informants</t>
  </si>
  <si>
    <t>Key informants and community members</t>
  </si>
  <si>
    <t>Estimated  based on sample survey in 50 households in Green Corner, Dhaka</t>
  </si>
  <si>
    <t>L.C. Tk. 14,421 per month</t>
  </si>
  <si>
    <t xml:space="preserve">L.C. Tk. 55,086 per month </t>
  </si>
  <si>
    <t xml:space="preserve">Source for 12_X and 12_Y: 1 Baseline population and socio economic census, 2015, ICDDRB, Dhaka 
2.Politics, Governance and Middle Income Aspirations: Realities and Challenges, An Empirical Study by Power and Participation Research Centre (PPRC), 2016 </t>
  </si>
  <si>
    <t xml:space="preserve"> Statistical Year Book 2014, Table 4.11</t>
  </si>
  <si>
    <t>* Note:  The total population of Dhaka City shown in population and housing census 2011, Volume 3: Urban Area Report is 6,970,105. The population in slums of Dhaka City shown in the census of Slum Areas and Floating Population,2014 is 646,075 (adding both North and South CC). Taking these figures the % of slum population in Dhaka stands at 9.26% but slum population is shown as in 2014. Therefore, considering the estimated total population of 2014 as 9,317,043, the ratio becomes 8.23%. The lower percentage as BBS is probably due to (i) some change in definition of slum and floating population (ii) limited slum coverage. This issue was raised by NGOs and civil societies, but the official documents remain as it was. The recent estimates from different sources and with my observation the slum population would be around 23%. (One reference may be Human Development in South Asia 2014, Mahbubul Hoq Human Development Center, Pakistan, where it is cited that 21% of the urban population live in slum)</t>
  </si>
  <si>
    <t xml:space="preserve">Source: Baseline population and socio economic census, 2015, ICDDRB, Dhaka </t>
  </si>
  <si>
    <t xml:space="preserve">Source: Governance and Economic Survey, 2015 by PPRC_UNDP, 2015 </t>
  </si>
  <si>
    <t>Community Leaders</t>
  </si>
  <si>
    <t xml:space="preserve">Karachi Division </t>
  </si>
  <si>
    <t xml:space="preserve">municipality </t>
  </si>
  <si>
    <t>Pakistan Bureau of Statisitcs, 2017</t>
  </si>
  <si>
    <t xml:space="preserve"> Pakistan Bureau of Statistics (this figure is for the province of Sindh for all the urban areas including Karachi)</t>
  </si>
  <si>
    <t>Pakistan Bureau of Statistics (this figure is for the province of Sindh for all the urban areas including Karachi)</t>
  </si>
  <si>
    <t>Rs 12000 to Rs 15000 for man</t>
  </si>
  <si>
    <t>Rs 7000 to 10000 for woman</t>
  </si>
  <si>
    <t>Rs 12000 per month for  man</t>
  </si>
  <si>
    <t>Rs 9000 per month for  woman</t>
  </si>
  <si>
    <t>50-55%</t>
  </si>
  <si>
    <t>Rs 35,000  per month</t>
  </si>
  <si>
    <t>estimate around 28,000-30,000RS</t>
  </si>
  <si>
    <t>Feedback from the survey team, 2017</t>
  </si>
  <si>
    <r>
      <rPr>
        <sz val="9"/>
        <color indexed="8"/>
        <rFont val="Calibri"/>
      </rPr>
      <t>1300</t>
    </r>
    <r>
      <rPr>
        <sz val="8"/>
        <color indexed="8"/>
        <rFont val="Calibri"/>
      </rPr>
      <t> </t>
    </r>
  </si>
  <si>
    <r>
      <rPr>
        <sz val="8"/>
        <color indexed="8"/>
        <rFont val="Calibri"/>
      </rPr>
      <t> </t>
    </r>
    <r>
      <rPr>
        <sz val="9"/>
        <color indexed="8"/>
        <rFont val="Calibri"/>
      </rPr>
      <t>source: CDGK (2007, Karachi Strategic Development Plan 2020, City DIstrict Government, Karachi</t>
    </r>
  </si>
  <si>
    <t>Kampala Capital City Authority</t>
  </si>
  <si>
    <t>City</t>
  </si>
  <si>
    <t>1,507,080 people</t>
  </si>
  <si>
    <t>NHPC, Main Report, UBOS</t>
  </si>
  <si>
    <t>Statistical Abstract 2014</t>
  </si>
  <si>
    <t>Statistical Abstract 2014, estimate based on indicators in SA2014</t>
  </si>
  <si>
    <t>150, 000 UGX to 300, 000 UGX for men</t>
  </si>
  <si>
    <t>L.C. 175,000 / month</t>
  </si>
  <si>
    <t>L.C. 450,000 /per month</t>
  </si>
  <si>
    <r>
      <rPr>
        <sz val="10"/>
        <color indexed="8"/>
        <rFont val="Times New Roman"/>
      </rPr>
      <t>189</t>
    </r>
    <r>
      <rPr>
        <sz val="8"/>
        <color indexed="8"/>
        <rFont val="Calibri"/>
      </rPr>
      <t> </t>
    </r>
  </si>
  <si>
    <r>
      <rPr>
        <b val="1"/>
        <sz val="8"/>
        <color indexed="8"/>
        <rFont val="Calibri"/>
      </rPr>
      <t> </t>
    </r>
    <r>
      <rPr>
        <b val="1"/>
        <sz val="10"/>
        <color indexed="8"/>
        <rFont val="Calibri"/>
      </rPr>
      <t>KCCA documents for land surface area</t>
    </r>
  </si>
  <si>
    <t>KCCA slum map 2013</t>
  </si>
  <si>
    <t>Metropolitan Lagos excluding  Badagry, Ikorodu, Ibeju-Lekki and Epe LGAs which have rural communities</t>
  </si>
  <si>
    <t>Lagos Metropolis</t>
  </si>
  <si>
    <t xml:space="preserve">23.3 million </t>
  </si>
  <si>
    <t>Lagos Bureau of Statistics</t>
  </si>
  <si>
    <t xml:space="preserve">N 15000-25000       </t>
  </si>
  <si>
    <t xml:space="preserve">N 15000-25000      </t>
  </si>
  <si>
    <t>N 55,000</t>
  </si>
  <si>
    <t>N 44,000</t>
  </si>
  <si>
    <t>50,300-80,300 N</t>
  </si>
  <si>
    <t>N 58500-87900</t>
  </si>
  <si>
    <t xml:space="preserve">Wage Indicator Foundation, Amsterdam </t>
  </si>
  <si>
    <t>2.12 sq. km i.e Makoko excluding the water front</t>
  </si>
  <si>
    <t>Lagos State Government (2017) Digest of Statistics 2016. Lagos Bureau of Statistics. </t>
  </si>
  <si>
    <r>
      <rPr>
        <sz val="8"/>
        <color indexed="8"/>
        <rFont val="Arial"/>
      </rPr>
      <t>Mainland Central Model City Plan 2032. Lagos State Government Ministry of Physical Planning and Urban Development March 2013</t>
    </r>
    <r>
      <rPr>
        <sz val="11"/>
        <color indexed="8"/>
        <rFont val="Arial"/>
      </rPr>
      <t>. </t>
    </r>
  </si>
  <si>
    <t>Official Bureau of Statistics 2016: N34,584</t>
  </si>
  <si>
    <r>
      <rPr>
        <u val="single"/>
        <sz val="10"/>
        <color indexed="21"/>
        <rFont val="Calibri"/>
      </rPr>
      <t>http://mepb.lagosstate.gov.ng/wp-content/uploads/sites/29/2017/08/Y2016-Digest-of-Statistics.pdf</t>
    </r>
  </si>
  <si>
    <t xml:space="preserve">Maputo City
</t>
  </si>
  <si>
    <t>2017 population census</t>
  </si>
  <si>
    <t>INE, 2012. Inquérito Contínuo aos Agregados Familiares</t>
  </si>
  <si>
    <t xml:space="preserve">INE, (2010). PERFIL ESTATÍSTICO DO MUNICÍPIO 2007-2008 Maputo </t>
  </si>
  <si>
    <t xml:space="preserve">INE, (2016). INQUÉRITO AO ORÇAMENTO FAMILIAR IOF2014/15 RELATÓRIO DO MÓDULO DA FORÇA DE TRABALHO. </t>
  </si>
  <si>
    <t>Respondent estimate</t>
  </si>
  <si>
    <t>MZM 5,000.00 to MZM 15,000.00</t>
  </si>
  <si>
    <t xml:space="preserve">MZM 3,500.00 to MZM 10,000.00 </t>
  </si>
  <si>
    <t>MZM 4,500.00 to MZM 6,000.00</t>
  </si>
  <si>
    <t>8000 MZN</t>
  </si>
  <si>
    <t>10,000 MZN</t>
  </si>
  <si>
    <t>Source: enumerator best estimate based off minimum wage and domestic worker salaries</t>
  </si>
  <si>
    <t>AdeM</t>
  </si>
  <si>
    <t>Planning Department - Afonso Mahumane</t>
  </si>
  <si>
    <t>city</t>
  </si>
  <si>
    <t>(NSO, 2010. Population census report projected figures of 2008 population). The next census for Malawi is planned for 2018</t>
  </si>
  <si>
    <t xml:space="preserve">(NSO, 2010. Population census report projected figures of 2008 population). The next census for Malawi is planned for 2018 </t>
  </si>
  <si>
    <t>2015/16</t>
  </si>
  <si>
    <t>NSO, 2013, Malawi Labour force Survey report, Zomba</t>
  </si>
  <si>
    <t xml:space="preserve"> NSO, 2013, Malawi Labour force Survey report, Zomba </t>
  </si>
  <si>
    <t xml:space="preserve">MK 14,315.70 </t>
  </si>
  <si>
    <t>L.C. &lt;60,000</t>
  </si>
  <si>
    <t>L.C. 66,480</t>
  </si>
  <si>
    <t>2017 for informal, 2005 for city</t>
  </si>
  <si>
    <r>
      <rPr>
        <sz val="10"/>
        <color indexed="8"/>
        <rFont val="Times New Roman"/>
      </rPr>
      <t>144</t>
    </r>
    <r>
      <rPr>
        <sz val="8"/>
        <color indexed="8"/>
        <rFont val="Calibri"/>
      </rPr>
      <t> </t>
    </r>
  </si>
  <si>
    <t>Urban Research &amp; Advocacy Centre (2017) Neighbourhood 4 (Ching’ambo) Enumeration Study Report , Mzuzu   (Ching’ambo is part of Zolozolo West Ward)
Centre for Social Concern (2012) https://cepa.rmportal.net/Library/natural-resources/Growing%20Income%20and%20Nutritional%20Poverty%20an%20Issue%20of%20Social%20Concern.pdf
Mzuzu City (2010) Socio-Economic Profile, Mzuzu, p.43</t>
  </si>
  <si>
    <r>
      <rPr>
        <sz val="9"/>
        <color indexed="25"/>
        <rFont val="Arial"/>
      </rPr>
      <t xml:space="preserve">Mzuzu City Council, 2014, </t>
    </r>
    <r>
      <rPr>
        <b val="1"/>
        <sz val="9"/>
        <color indexed="25"/>
        <rFont val="Arial"/>
      </rPr>
      <t>Mzuzu Urban Structure Plan 2015-2030</t>
    </r>
    <r>
      <rPr>
        <sz val="9"/>
        <color indexed="25"/>
        <rFont val="Arial"/>
      </rPr>
      <t>, Mzuzu</t>
    </r>
  </si>
  <si>
    <t>Urban Research &amp; Advocacy Centre (URAC), 2018, Calculated as part of Disaster Risk Management Project- Settlement Profiling</t>
  </si>
  <si>
    <t>(relate this to cost of basic needs monthly at Mk71,798)</t>
  </si>
  <si>
    <t xml:space="preserve">NAIROBI CITY COUNTY </t>
  </si>
  <si>
    <t>city county</t>
  </si>
  <si>
    <t xml:space="preserve">KNBS (Kenya National Bureau of Statistics), 2018;
</t>
  </si>
  <si>
    <t>Kenya Housing and Population Census Report-Vol 2</t>
  </si>
  <si>
    <t xml:space="preserve">2009 Kenya Population and Housing Census (Variable P42: Economic Activity), Kenya National Bureau of Statistics-Adapted from Socio-Economic Atlas of Kenya: Second Revised Edition of 2016. </t>
  </si>
  <si>
    <t>[Data not readily available during the study]</t>
  </si>
  <si>
    <t xml:space="preserve">L.C. 10,000 </t>
  </si>
  <si>
    <t xml:space="preserve">L.C. 8,000 </t>
  </si>
  <si>
    <t xml:space="preserve">L.C. 12,000 </t>
  </si>
  <si>
    <t xml:space="preserve">53.1 %
</t>
  </si>
  <si>
    <t>60-70%</t>
  </si>
  <si>
    <t>L.C. 8,500 per month</t>
  </si>
  <si>
    <t>L.C. 22,500 per mont</t>
  </si>
  <si>
    <t>2012 for informal figure, 2016 for city</t>
  </si>
  <si>
    <r>
      <rPr>
        <sz val="9"/>
        <color indexed="8"/>
        <rFont val="Calibri"/>
      </rPr>
      <t>695.1</t>
    </r>
    <r>
      <rPr>
        <sz val="8"/>
        <color indexed="8"/>
        <rFont val="Calibri"/>
      </rPr>
      <t> </t>
    </r>
  </si>
  <si>
    <t xml:space="preserve">Official Nairobi City County Website: http://www.nairobi.go.ke/ </t>
  </si>
  <si>
    <r>
      <rPr>
        <sz val="8"/>
        <color indexed="8"/>
        <rFont val="Calibri"/>
      </rPr>
      <t> </t>
    </r>
    <r>
      <rPr>
        <sz val="10"/>
        <color indexed="8"/>
        <rFont val="Times New Roman"/>
      </rPr>
      <t xml:space="preserve">(source: </t>
    </r>
  </si>
  <si>
    <r>
      <rPr>
        <sz val="10"/>
        <color indexed="8"/>
        <rFont val="Calibri"/>
      </rPr>
      <t xml:space="preserve">Measurement on Google Earth </t>
    </r>
    <r>
      <rPr>
        <sz val="11"/>
        <color indexed="8"/>
        <rFont val="Calibri"/>
      </rPr>
      <t xml:space="preserve"> </t>
    </r>
  </si>
  <si>
    <t xml:space="preserve"> Kenya National Bureau of Statistics (2018). Statistical Abstract 2017.  )</t>
  </si>
  <si>
    <t>C1</t>
  </si>
  <si>
    <t>C2</t>
  </si>
  <si>
    <t>C3</t>
  </si>
  <si>
    <t>C4</t>
  </si>
  <si>
    <t>C5</t>
  </si>
  <si>
    <t>C6</t>
  </si>
  <si>
    <t>C7</t>
  </si>
  <si>
    <t>C8</t>
  </si>
  <si>
    <t>C9</t>
  </si>
  <si>
    <t>C10</t>
  </si>
  <si>
    <t>C11 a)</t>
  </si>
  <si>
    <t>C11 b)</t>
  </si>
  <si>
    <t>C12</t>
  </si>
  <si>
    <t>C13</t>
  </si>
  <si>
    <t>C14</t>
  </si>
  <si>
    <t>C15</t>
  </si>
  <si>
    <t>C16</t>
  </si>
  <si>
    <t>C17</t>
  </si>
  <si>
    <t>C18</t>
  </si>
  <si>
    <t>C19</t>
  </si>
  <si>
    <t>C20</t>
  </si>
  <si>
    <t>C21</t>
  </si>
  <si>
    <t>C22</t>
  </si>
  <si>
    <t>C23</t>
  </si>
  <si>
    <t>C24</t>
  </si>
  <si>
    <t>C25</t>
  </si>
  <si>
    <t>C26</t>
  </si>
  <si>
    <t>C27</t>
  </si>
  <si>
    <t>C28</t>
  </si>
  <si>
    <t>C29</t>
  </si>
  <si>
    <t>C30</t>
  </si>
  <si>
    <t>C31</t>
  </si>
  <si>
    <t>C31_X</t>
  </si>
  <si>
    <t>C32</t>
  </si>
  <si>
    <t>C33</t>
  </si>
  <si>
    <t>C34</t>
  </si>
  <si>
    <t>C35</t>
  </si>
  <si>
    <t>C36</t>
  </si>
  <si>
    <t>C37</t>
  </si>
  <si>
    <t>C38</t>
  </si>
  <si>
    <t>C39</t>
  </si>
  <si>
    <t>C40</t>
  </si>
  <si>
    <t>C41</t>
  </si>
  <si>
    <t>C42</t>
  </si>
  <si>
    <t>C43</t>
  </si>
  <si>
    <t>C44</t>
  </si>
  <si>
    <t>C45 a)</t>
  </si>
  <si>
    <t>C45 b)</t>
  </si>
  <si>
    <t xml:space="preserve">C46 </t>
  </si>
  <si>
    <t>C47</t>
  </si>
  <si>
    <t>C48</t>
  </si>
  <si>
    <t>C49</t>
  </si>
  <si>
    <t>C50</t>
  </si>
  <si>
    <t>C51</t>
  </si>
  <si>
    <t>C52</t>
  </si>
  <si>
    <t>C53</t>
  </si>
  <si>
    <t>C54</t>
  </si>
  <si>
    <t>C55</t>
  </si>
  <si>
    <t>C56</t>
  </si>
  <si>
    <t>C57</t>
  </si>
  <si>
    <t>C58</t>
  </si>
  <si>
    <t>Water Utilities (Table 6)</t>
  </si>
  <si>
    <t>Table 6 Info Source</t>
  </si>
  <si>
    <t xml:space="preserve">Water utility price </t>
  </si>
  <si>
    <t>Water subsidy</t>
  </si>
  <si>
    <t>Water availability</t>
  </si>
  <si>
    <t>Water treatment plants</t>
  </si>
  <si>
    <t>Water treatment plants: households served, construction costs (Table 7)</t>
  </si>
  <si>
    <t>Table 7 info source</t>
  </si>
  <si>
    <t>About the water treatment plant that serves the largest proportion of people in the city</t>
  </si>
  <si>
    <t>No. of water utilities provide water in the city</t>
  </si>
  <si>
    <t>Water utility name</t>
  </si>
  <si>
    <t>Jurisdiction of this utility</t>
  </si>
  <si>
    <t>% of utility's water comes from […] source</t>
  </si>
  <si>
    <t>Problem with […] source</t>
  </si>
  <si>
    <t>Owner of the utility</t>
  </si>
  <si>
    <t>Regulator of the utility</t>
  </si>
  <si>
    <t>Financing of the utility</t>
  </si>
  <si>
    <t>Customers served by the utility</t>
  </si>
  <si>
    <t>Employees served by the utility (No. of people)</t>
  </si>
  <si>
    <t xml:space="preserve">Structure of the fees for piped municipal water into a dwelling </t>
  </si>
  <si>
    <t>Does the price change according to the total amt of water purchased per month?</t>
  </si>
  <si>
    <t>Does the price change according to the size of the house?</t>
  </si>
  <si>
    <t>Are there different prices in different neighborhoods in the city?</t>
  </si>
  <si>
    <t>Reasons for different prices in different neighborhoods</t>
  </si>
  <si>
    <t>Is water subsidized for poor neighborhoods?</t>
  </si>
  <si>
    <t>How this subsidy works</t>
  </si>
  <si>
    <t>Is water subsidized for non-poor neighborhoods?</t>
  </si>
  <si>
    <t>Water availability depends on the time of year or season?</t>
  </si>
  <si>
    <t>How the amt of water changes during the year</t>
  </si>
  <si>
    <t>Amt of water produced through the city's water system each year</t>
  </si>
  <si>
    <t>% of water produced is non-revenue water?</t>
  </si>
  <si>
    <t>Is there enough water available for all connected households?</t>
  </si>
  <si>
    <t>Reason for the deficit</t>
  </si>
  <si>
    <t>Quantify the deficit per year</t>
  </si>
  <si>
    <t>Is there enough water available for all households in the city, if all were connected?</t>
  </si>
  <si>
    <t>Quantify the deficit (% of households that would not be served)</t>
  </si>
  <si>
    <t>Is there continued pressure in the piped system?</t>
  </si>
  <si>
    <t>Total Municipal Budget of 2016</t>
  </si>
  <si>
    <t>Annual budget for the entire city water system</t>
  </si>
  <si>
    <t>Annual budget for the maintenance of the entire city water system</t>
  </si>
  <si>
    <t>Is there a water treatment plant in the ciy?</t>
  </si>
  <si>
    <t>% of water used by households is treated at a treatment plan</t>
  </si>
  <si>
    <t>No. of water treatment plants serve the city</t>
  </si>
  <si>
    <t>No. of water treatment plants are currently working</t>
  </si>
  <si>
    <t>Name of water treatment plant</t>
  </si>
  <si>
    <t>% of households served by […] plant per year</t>
  </si>
  <si>
    <t>Year […] was built</t>
  </si>
  <si>
    <t>Cost of building […] plant</t>
  </si>
  <si>
    <t>Financing of the construction cost of […] plant</t>
  </si>
  <si>
    <t>Annual budget for […] plant</t>
  </si>
  <si>
    <t>Annual cost of maintenance for […] plant</t>
  </si>
  <si>
    <t>Informants' name</t>
  </si>
  <si>
    <t>Is water filtered at a treatment plant?</t>
  </si>
  <si>
    <t xml:space="preserve"> Regularly test the turbidity of any filtered water?</t>
  </si>
  <si>
    <t>Provide a chemical (coagulant) prior to the filter?</t>
  </si>
  <si>
    <t xml:space="preserve"> Use GAC as part of the filtration step?</t>
  </si>
  <si>
    <t xml:space="preserve"> Chlorinate the water supplied to households? </t>
  </si>
  <si>
    <t>Test the chlorine residual as it leaves the plant daily?</t>
  </si>
  <si>
    <t xml:space="preserve">Regularly test the chlorine resudual out in the distribution system? </t>
  </si>
  <si>
    <t>Describe what chlorine residual testing is done out in the system</t>
  </si>
  <si>
    <t>Use or contract the water provided to any tanker trucks?</t>
  </si>
  <si>
    <t>Adjust the pH of the treated water to minimize corrosion of pipes?</t>
  </si>
  <si>
    <t>Test the water after treatment for Total Coliform bacteria?</t>
  </si>
  <si>
    <t>Periodically collect bacteria samples out in the distribution system?</t>
  </si>
  <si>
    <t>Describe the system for collecting bacteria samples</t>
  </si>
  <si>
    <t>A: Business</t>
  </si>
  <si>
    <t>B: Households</t>
  </si>
  <si>
    <t>C: Other</t>
  </si>
  <si>
    <t xml:space="preserve">A. Hidrocapital
</t>
  </si>
  <si>
    <t xml:space="preserve">E: 30%; F: 70
</t>
  </si>
  <si>
    <t xml:space="preserve">Pollution in reservoirs, high cost in pumping because of difference in height (600 m) and distance (100 km) between the main source and the city. </t>
  </si>
  <si>
    <t xml:space="preserve">A., B. 
</t>
  </si>
  <si>
    <t xml:space="preserve">1,157
</t>
  </si>
  <si>
    <t>(Inter-American Development Bank 2016)</t>
  </si>
  <si>
    <t>Santiago Arconada, Calogero Brutto</t>
  </si>
  <si>
    <r>
      <rPr>
        <sz val="9"/>
        <color indexed="8"/>
        <rFont val="Calibri"/>
      </rPr>
      <t>The price is per cubic meter/month, there is a fixed charge for the first 15 m</t>
    </r>
    <r>
      <rPr>
        <vertAlign val="superscript"/>
        <sz val="9"/>
        <color indexed="8"/>
        <rFont val="Calibri"/>
      </rPr>
      <t xml:space="preserve">3   </t>
    </r>
    <r>
      <rPr>
        <sz val="9"/>
        <color indexed="8"/>
        <rFont val="Calibri"/>
      </rPr>
      <t>and then the charge is based on the water consumed until 40 m</t>
    </r>
    <r>
      <rPr>
        <vertAlign val="superscript"/>
        <sz val="9"/>
        <color indexed="8"/>
        <rFont val="Calibri"/>
      </rPr>
      <t>3</t>
    </r>
    <r>
      <rPr>
        <sz val="9"/>
        <color indexed="8"/>
        <rFont val="Calibri"/>
      </rPr>
      <t>. There are 2 blocks for excessive consumption (40-100 m</t>
    </r>
    <r>
      <rPr>
        <vertAlign val="superscript"/>
        <sz val="9"/>
        <color indexed="8"/>
        <rFont val="Calibri"/>
      </rPr>
      <t xml:space="preserve">3 </t>
    </r>
    <r>
      <rPr>
        <sz val="9"/>
        <color indexed="8"/>
        <rFont val="Calibri"/>
      </rPr>
      <t>and more than 100 m</t>
    </r>
    <r>
      <rPr>
        <vertAlign val="superscript"/>
        <sz val="9"/>
        <color indexed="8"/>
        <rFont val="Calibri"/>
      </rPr>
      <t xml:space="preserve">3 </t>
    </r>
    <r>
      <rPr>
        <sz val="9"/>
        <color indexed="8"/>
        <rFont val="Calibri"/>
      </rPr>
      <t>) where higher charges applies. However, the volume of metered water billed is less than 40 % and billing is usually made by estimation. Hidrocapital cannot afford micrometers for all residential connections.</t>
    </r>
  </si>
  <si>
    <t>Actually, the subsidy is 100 % because in poor households there is no charge for water service. However, the concept of service is not the same in these sectors of cyclic regime, where the supply is not permanent. The formal sector of the city have different service conditions than the informal and poor sector (the regulation establish a social tariff for low-income households, it could be between 1/4-1/2 of regular tariff. However, for these households is common practice to provide the service for free)</t>
  </si>
  <si>
    <t xml:space="preserve">During dry season different kind of rationing plans are applied. </t>
  </si>
  <si>
    <t>1: 18 cubic meters/second</t>
  </si>
  <si>
    <t>Total demand (domestic+ industrial+commercial+ official sector) is higher than total water production. Besides that, there are losses for almost 30 % due to deterioration of the network.  For domestic service only, water is enough, it is about half of total water production. We have lost production capacity in our basins due to deforestation (Suárez 2011)</t>
  </si>
  <si>
    <t>8-11 cubic meters/sec</t>
  </si>
  <si>
    <t xml:space="preserve">Mismanagement of the water infrastructure and an uneven allocation. The network is not complete, particularly in informal settlements, in these communities there are cases with service every 20 days. </t>
  </si>
  <si>
    <t>Difficult to estimate</t>
  </si>
  <si>
    <t>Bs. 7 349 084 535  for 2016</t>
  </si>
  <si>
    <t>Hidrocapital 2014 budget (more than just Caracas): Bs 1 855 538 668,82</t>
  </si>
  <si>
    <t xml:space="preserve">Bs  1,330,713,710.30 </t>
  </si>
  <si>
    <t>A.  La Mariposa</t>
  </si>
  <si>
    <t>15  % population</t>
  </si>
  <si>
    <t>Yr  1951</t>
  </si>
  <si>
    <t>In 2012 there was a loan from CAF (150 million USD) for rehabilitation and optimization of major water treatment plants. It includes these 3 plants. However, until 2016 the financial execution was less than 3 %</t>
  </si>
  <si>
    <t xml:space="preserve">Hidrocapital website; La Guairita Treatment Plant-Project Design (INOS, 1964),
(Hidrocapital n.d.) (Instituto Nacional de Obras Sanitarias 1964) 
</t>
  </si>
  <si>
    <t xml:space="preserve">Source:
Gaceta oficial del Distrito Metropolitano de Caracas (Official Gazette of Caracas’ Metropolitan Municipality)
Published on December 18, 2015
</t>
  </si>
  <si>
    <t>B. Ciudad Caracas (La Guairita)</t>
  </si>
  <si>
    <t>25  % population</t>
  </si>
  <si>
    <t>Yr  1967</t>
  </si>
  <si>
    <t>Bs 20,000,000</t>
  </si>
  <si>
    <t>World Bank Loan</t>
  </si>
  <si>
    <t>C.  Caujarito</t>
  </si>
  <si>
    <t>40 % population</t>
  </si>
  <si>
    <t>Yr 1978</t>
  </si>
  <si>
    <t>SEMAPA</t>
  </si>
  <si>
    <t>A: 50%; C: 50%</t>
  </si>
  <si>
    <t>Groundwater in different jurisdiction, water rights negotiations, exploited groundwater; 3 surface water sources located outside of jurisdictions</t>
  </si>
  <si>
    <t>Indicadores de desempeño 2015 (in Spanish): http://www.aaps.gob.bo/wp-content/uploads/2016/11/Indicadores-AAPS-2015.pdf</t>
  </si>
  <si>
    <t>Christian Jacos Reque, Head of the Operations Department at the Water Utility SEMAPA</t>
  </si>
  <si>
    <t>The fees are structured by m3 consumed. At the same time the tariffs are structure in two main categories: Residential and Commercial. Furthermore, water tariffs increase with the demand.</t>
  </si>
  <si>
    <t>Water is not subsidized for poor households. However there is an especial tariff called “solidarity rate” which is part of the block system of water tariffs design to support the low income families around the city. People consuming less than 3cubic meters are subject to a lower tariff than the average, 10 Bolivianos per 3 cubic meters.  This model has been highly questioned by academics explaining that poor households tend to hold a higher number of family members than the average family in the city which result in a higher water consumption. Finally poor families end up paying higher rates.</t>
  </si>
  <si>
    <t>During the rainy season there is more availability which allow the water utility to increase the production of water. On the other hand, During the dry season water scarcity is present which is the main variable that limit the water production to the city of Cochabamba.</t>
  </si>
  <si>
    <t>26791664.56 cubic meters</t>
  </si>
  <si>
    <t>The water scarcity characterized the city of Cochabamba since 1960s. The main problem is the availability of water sources in the city and surroundings. For this reason the city of Cochabamba rely on water sources from other municipalities and communities around this city.</t>
  </si>
  <si>
    <t>800 liters/sec</t>
  </si>
  <si>
    <t>L.C. 993,500,000.00 for 2016</t>
  </si>
  <si>
    <t>BOB$ 242,010,063.00 per year 2017</t>
  </si>
  <si>
    <t>BOB$ 8,957,328.01 per year  2017</t>
  </si>
  <si>
    <t>Cala Cala I</t>
  </si>
  <si>
    <t>5,472,350.92 Bs</t>
  </si>
  <si>
    <t>469,680.18 Bs</t>
  </si>
  <si>
    <t>Engineer Rocio G. Palacios T. Head of the treatment Department</t>
  </si>
  <si>
    <t>The water utility collect the samples in sterilized containers of 250 ml of capacity. It is added to the container a phosphate buffer solution of 1.8%.</t>
  </si>
  <si>
    <t>Cala Cala II</t>
  </si>
  <si>
    <t>Aranjuez</t>
  </si>
  <si>
    <t>BOB$ 91 million</t>
  </si>
  <si>
    <t>Japanese govt through their aid agency JICA</t>
  </si>
  <si>
    <t>Cona Cona</t>
  </si>
  <si>
    <t>Chungara</t>
  </si>
  <si>
    <t>Camara de Carga Arcocagua</t>
  </si>
  <si>
    <t>A. CEDAE</t>
  </si>
  <si>
    <t xml:space="preserve">C: 86.95; E: 13; G: Isolated surface sources scattered, 0.5 </t>
  </si>
  <si>
    <t>Water security, because it is a single and exclusive major source for Rio de Janeiro, any problem in the Rio Paraíba do Sul or Rio Guandu affects the majority of the population of Rio de Janeiro.</t>
  </si>
  <si>
    <t>4: 99.9996% state of RJ, 0.0004% minority stakeholders</t>
  </si>
  <si>
    <t xml:space="preserve">A, B </t>
  </si>
  <si>
    <t>News Extra Journal, Balance CEDAE 2016, site CEDAE, Presentation of Water supply systems of the City of Rio de Janeiro, with emphasis on GUANDU, SNIS.</t>
  </si>
  <si>
    <t>Luiz Firmino, Paulo Afonso and Julio Cesar</t>
  </si>
  <si>
    <t>3.39 M.L./m³</t>
  </si>
  <si>
    <t>Rates by Location. CEDAE has in its tariff collection policy the differentiated tariff "A" and "B", according to the locality, created by Decree No. 23,676 of November 4, 1997. The districts and municipalities with their corresponding tariffs can be verified in the link: http://www.cedae.com.br/tarifas. Low income areas have a social tariff or often do not have a cost in distribution, which is characterized as authorized unbilled consumption.</t>
  </si>
  <si>
    <t>Social Rate: Deprived communities and housing estates intended for low-income residents, who submit documentation in compliance with Decree 25.438 / 99, may qualify for the benefit of a differentiated rate called Social Tariff. Or it often has no cost in distribution, which is characterized as authorized unbilled consumption.</t>
  </si>
  <si>
    <t xml:space="preserve"> It varies by the amount of water available by pressure, that many districts of the municipality are without access to water for periods of time, hours or days
In quantitative terms, the main sources do not vary the flow, but springs and minority sources vary according to rainfall and water availability at times of the year.</t>
  </si>
  <si>
    <t>31,536,000 cubic meters</t>
  </si>
  <si>
    <t>L.C. 30.9 billions for 2016</t>
  </si>
  <si>
    <t>provided in additional doc but need clarification</t>
  </si>
  <si>
    <t>2 large water treatment plants and smaller stations for chlorination in small springs</t>
  </si>
  <si>
    <t xml:space="preserve">all </t>
  </si>
  <si>
    <t>A. Water Treatment Plant GUANDU</t>
  </si>
  <si>
    <t>International Loan</t>
  </si>
  <si>
    <t>L.C. 8 million / month</t>
  </si>
  <si>
    <t>Website CEDAE, SNIS, Presentation of the water supply systems of the City of Rio de Janeiro.</t>
  </si>
  <si>
    <t>Julio Cesar</t>
  </si>
  <si>
    <t>The monthly number of required analyzes is determined by ordinance 2914/11 according to the population of the municipality. The team divides these points into routines that leave frequently until completing this quantitative and in this script, the points with the highest population and sensitivity of the population (priority hospitals for hemodialysis clinics and schools, condominiums for the large population served) are prioritized. The sampling plan is set up in conjunction with regional sanitary surveillance to ensure spatial distribution of the points as well.</t>
  </si>
  <si>
    <t>Source: municipality of rio de janeiro (http://www.rio.rj.gov.br/dlstatic/10112/1521865/4188801/LivroOficialdaPC2016.pdf )</t>
  </si>
  <si>
    <t>B. System of Ribeirao das Lajes</t>
  </si>
  <si>
    <t>C. Chlorination points in minority water sources</t>
  </si>
  <si>
    <t>SABESP</t>
  </si>
  <si>
    <t xml:space="preserve">A: 1% 
F: 99%
</t>
  </si>
  <si>
    <t>The reservoirs often receive wastewater discharge from informal ocupations. Runoff can also be a source of contamination.</t>
  </si>
  <si>
    <t>A, C</t>
  </si>
  <si>
    <t>SNIS – Sistema Nacional de Informações sobre Saneamento. Ministério das Cidades – Secretaria Nacional de Saneamento Ambiental (www.snis.gov.br). Água e Esgoto. 2006</t>
  </si>
  <si>
    <t>Progressive tariff, by cubic meter, with several consumption ranges. The minimum monthly tariff is equivalente to 10 m3.</t>
  </si>
  <si>
    <t>According to Sabesp, the water tariffs can be reduced for poor families or even social entities without revenue, once proven eligibility. There are specific ranges and prices specific to slums and áreas of social interests.</t>
  </si>
  <si>
    <t>(During this critical periods of shortages, which occur sporadically, the pricing structure changes and water conservancy programs take place, reducing taxes for consumers that reduce the costs).</t>
  </si>
  <si>
    <r>
      <rPr>
        <sz val="9"/>
        <color indexed="8"/>
        <rFont val="Calibri"/>
      </rPr>
      <t>2. Other: 3,604,922.74 m</t>
    </r>
    <r>
      <rPr>
        <vertAlign val="superscript"/>
        <sz val="9"/>
        <color indexed="8"/>
        <rFont val="Calibri"/>
      </rPr>
      <t>3</t>
    </r>
    <r>
      <rPr>
        <sz val="9"/>
        <color indexed="8"/>
        <rFont val="Calibri"/>
      </rPr>
      <t>/day</t>
    </r>
  </si>
  <si>
    <t xml:space="preserve">The water availability is very critical in São Paulo, comparing its demand and the offer from the regional water system. Considering the expected annual per capita demand and the population in the city, the annual water availability in the watersheds integrating the system cannot supply it. However, on the daily basis, there is no significant lack of water to the population, once water is imported from neighboring systems to balance the déficit. Currently, the reservoir systems are being integrated to further and further watersheds to collect more water to supply the city.
According to ANA (National Water Agency), the current status of the city is that it needs new water source/ reservoir system in the three main system.
(http://atlas.ana.gov.br/atlas/forms/analise/Geral.aspx?est=6#)
</t>
  </si>
  <si>
    <t>2: 300 000 m3/d</t>
  </si>
  <si>
    <t>With the increase of connections, the pressure over the water demand will make the situation even more critical. Strategies are taking place to assure water availability even during dry periods. However, currently there can occur deficits in some parts of the city.</t>
  </si>
  <si>
    <t>R$ 54,407,300,347.00</t>
  </si>
  <si>
    <t>A.  ETA Guaraú</t>
  </si>
  <si>
    <t xml:space="preserve">http://site.sabesp.com.br/site/interna/Default.aspx?secaoId=183
http://atlas.ana.gov.br/atlas/forms/analise/Geral.aspx?est=6#
http://www.saopaulo.sp.gov.br/spnoticias/ultimas-noticias/sistema-guarapiranga-amplia-capacidade-de-abastecimento-1/
</t>
  </si>
  <si>
    <t>It was identified that in the year of 2015 (most updated data found), the total investment in water and sanitation by the service provider was R$ 2,085,629,739.02.
(From this total, R$ 526,775,485.76 for sanitation and R$ 1,446,293,640.15 for water supply).
The operational costs for the company was
R$ 3,819,411,017.36.</t>
  </si>
  <si>
    <t>B. ETA do Alto da Boa Vista</t>
  </si>
  <si>
    <t>Source: Municipal Budget based on municipal publication - http://www.camara.sp.gov.br/orcamento2016/
Specific budget for water and sanitation based on SNIS (Sistema Nacional de Informações sobre Saneamento) - http://app.cidades.gov.br/serieHistorica/#</t>
  </si>
  <si>
    <t>C. ETA Taiaçupeba</t>
  </si>
  <si>
    <t>D.  ETA Casa Grande</t>
  </si>
  <si>
    <t>Emcali</t>
  </si>
  <si>
    <t>C: 100</t>
  </si>
  <si>
    <t>Upriver contamination by agriculture malpractices</t>
  </si>
  <si>
    <t xml:space="preserve">The piped water has a standing fee according to the social economical level of the household, there are 6 levels. The fee includes: fixed charge, long term inversion, maintenance and operation, infrastructural reposition and for levels 5 and 6 a subvention fee that subsidizes levels 1, 2 and 3. Leve 4 has neither. </t>
  </si>
  <si>
    <t xml:space="preserve">They change according to the social economical level assigned to them by the municipal council. </t>
  </si>
  <si>
    <t>Higher social economical levels pay a higher price to subsidize lower social economical level.</t>
  </si>
  <si>
    <t>312,206,400 cubic meters</t>
  </si>
  <si>
    <t>L.C. 2.6 billion pesos for 2016</t>
  </si>
  <si>
    <t xml:space="preserve">2.8 billion COP </t>
  </si>
  <si>
    <t>1.6 billion COP</t>
  </si>
  <si>
    <t>A. Puerto Mallarino</t>
  </si>
  <si>
    <t xml:space="preserve">Central government investment and Emcali’s social capitalization fund that is built on the investment fee charged to the users. </t>
  </si>
  <si>
    <t>540,000 million COP</t>
  </si>
  <si>
    <t>324,000 million COP</t>
  </si>
  <si>
    <r>
      <rPr>
        <u val="single"/>
        <sz val="11"/>
        <color indexed="21"/>
        <rFont val="Calibri"/>
      </rPr>
      <t>www.emcali.com.com</t>
    </r>
  </si>
  <si>
    <r>
      <rPr>
        <sz val="9"/>
        <color indexed="8"/>
        <rFont val="Calibri"/>
      </rPr>
      <t xml:space="preserve">Monitoring system with 148 daily samples in each water supply plant and pumping systems. </t>
    </r>
    <r>
      <rPr>
        <sz val="12"/>
        <color indexed="8"/>
        <rFont val="Calibri"/>
      </rPr>
      <t xml:space="preserve"> </t>
    </r>
    <r>
      <rPr>
        <sz val="9"/>
        <color indexed="8"/>
        <rFont val="Calibri"/>
      </rPr>
      <t xml:space="preserve">There are four and various pumping stations. The city is relatively flat and so the initial pumps cannot transport the water all overt the city. </t>
    </r>
  </si>
  <si>
    <t>B. Río Cauca</t>
  </si>
  <si>
    <t>Yr 1958</t>
  </si>
  <si>
    <t>180,000 million COP</t>
  </si>
  <si>
    <t>108,000 million COP</t>
  </si>
  <si>
    <t>C. Río Cali</t>
  </si>
  <si>
    <t>Yr 1930</t>
  </si>
  <si>
    <t>171, 000 million COP</t>
  </si>
  <si>
    <t>102,000 million COP</t>
  </si>
  <si>
    <t>D. Río Melendez</t>
  </si>
  <si>
    <t>Yr 1980</t>
  </si>
  <si>
    <t>9, 000 million COP</t>
  </si>
  <si>
    <t>5,400 million COP</t>
  </si>
  <si>
    <t>A: Bangalore Water Supply and Sewerage Board (BWSSB)</t>
  </si>
  <si>
    <t>4: almost the same as city but has jurisdictions outside city and also excludes some parts of the city</t>
  </si>
  <si>
    <t>A: 11.5%, F: 88.5 %</t>
  </si>
  <si>
    <t>The river is over utilized and the water is disputed between two neighboring states over sharing the water. The water is pumped for 100 kms for a height of 350m which requires lot of energy</t>
  </si>
  <si>
    <t>National Census 2011 – Household Amenities table 14; Bangalore Water Supply and Sewerage Board (BWSSB)</t>
  </si>
  <si>
    <t xml:space="preserve">Cost set by Bangalore Water Supply and Sewerage Board (BWSSB) is different for Domestic and Non-Domestic Uses. For Domestic use the slabs are:
0 to 8000 Liters = INR 7 per KL
8001 to 25,000 Liters = INR 11 per KL
25,001 to 50,000 Liters = INR 25 per KL
50,001 and above = INR 45 per KL
</t>
  </si>
  <si>
    <t>Income difference is the primary reason for varied prices</t>
  </si>
  <si>
    <t>Slums have free connections</t>
  </si>
  <si>
    <t>The total water cost is heavily subsidized by the government (Only a limited percentage of the bill is paid by the citizen)</t>
  </si>
  <si>
    <t>During drought years / summers, the total water supply would be reduced and it would be available once a day or once a week depending on the situation</t>
  </si>
  <si>
    <t>1. 529250000 cubic meters</t>
  </si>
  <si>
    <t xml:space="preserve">Limited water resources and huge population </t>
  </si>
  <si>
    <t>18250000 cubic meters</t>
  </si>
  <si>
    <t>Demand would increase once connection is made available and also the number of connections required is higher. The resource is limited. The city is growing faster</t>
  </si>
  <si>
    <t>INR 93510.35 million (2016-17</t>
  </si>
  <si>
    <t>41065.7 million INR (2016-2017)</t>
  </si>
  <si>
    <t>INR 9756.53 (in millions) (2016-2017)</t>
  </si>
  <si>
    <t>A. TK Halli</t>
  </si>
  <si>
    <t xml:space="preserve">L.C. 3,300,000,000 Rupees </t>
  </si>
  <si>
    <t>Government funding</t>
  </si>
  <si>
    <t>Unsure</t>
  </si>
  <si>
    <t xml:space="preserve">Reference:
http://bbmp.gov.in/documents/10180/1577508/Approved+Busget+2016-17.pdf/f64b7466-8086-4c0d-826d-532d51548584
</t>
  </si>
  <si>
    <t>B. TG Halli</t>
  </si>
  <si>
    <t>Updated from Raj's email on 2-27-18</t>
  </si>
  <si>
    <t>Department of Drinking Water Supply, Municipal Corporation of Greater Mumbai (MCGM)</t>
  </si>
  <si>
    <t>F: 100</t>
  </si>
  <si>
    <t>No problems. MCGM has planned two new dams for fulfilling the future water needs</t>
  </si>
  <si>
    <t xml:space="preserve">Pranjal Deekshit, </t>
  </si>
  <si>
    <t xml:space="preserve">If the connection is unmetered, then the fee consists of flat charges depending upon the size of the connection and type of dwelling. If the connection is metered then fees is charged as per the number of cubic meters of water consumed. </t>
  </si>
  <si>
    <t>The price is charged considering the socio-economic status of the neighborhood. Slums, low income group housings, housing constructed under SRA etc are charged at lower rate.</t>
  </si>
  <si>
    <t>Entire domestic water supply is subsidized. Following the cross-subsidy principle, higher water charges are levied on commercial water users and domestic water supply is provided at lower rates.</t>
  </si>
  <si>
    <t>1. 1368 million cubic meters</t>
  </si>
  <si>
    <t xml:space="preserve">L.C. 247.771 billion (i.e. 247,771,000,000) for 2016
</t>
  </si>
  <si>
    <t>L.C. Revenue: 21,123,023,000.00; Expenditure: 10,591,545,000.00  per year (for financial year 2014-15)</t>
  </si>
  <si>
    <r>
      <rPr>
        <sz val="9"/>
        <color indexed="8"/>
        <rFont val="Calibri"/>
      </rPr>
      <t>L.C. 6,603,680,000.00</t>
    </r>
    <r>
      <rPr>
        <sz val="11"/>
        <color indexed="8"/>
        <rFont val="Calibri"/>
      </rPr>
      <t xml:space="preserve"> </t>
    </r>
    <r>
      <rPr>
        <sz val="9"/>
        <color indexed="8"/>
        <rFont val="Calibri"/>
      </rPr>
      <t>per year (for financial year 2014-15)</t>
    </r>
  </si>
  <si>
    <t>A. Bhandup Complex (1910 Million Liters per Day (MLD))</t>
  </si>
  <si>
    <t>As a part of Bombay-I project with the support of World Bank</t>
  </si>
  <si>
    <t>Budget figures: as per the annual actual expenditure for the year 2014-15 mentioned in MCGM Budget Estimate 2016-17</t>
  </si>
  <si>
    <t>Water samples are collected on the daily basis from selected sampling locations and these samples are then tested for various parameters including biological parameters. Sometimes tests are also conducted if department receives complaints from residents.</t>
  </si>
  <si>
    <t xml:space="preserve"> SOURCE: MCGM. (2017). Statement of Municipal Commissioner while presenting budget estimate to the standing committee on March 29, 2017.
 This is the revised estimate of the budget figure for 2016-17. </t>
  </si>
  <si>
    <t>B. Vihar + Tulshi (108 MLD)</t>
  </si>
  <si>
    <t>Very old and continuously upgraded over period of time.</t>
  </si>
  <si>
    <t>C. Pajrapor (1340 MLD)</t>
  </si>
  <si>
    <t>1989-1993</t>
  </si>
  <si>
    <t>As a part of Bombay – II and III projects with the support of World Bank</t>
  </si>
  <si>
    <t>D. New Bhandup (900 MLD)</t>
  </si>
  <si>
    <t>Received grant from Central and State Government under JNNURM scheme</t>
  </si>
  <si>
    <t>A. PMC</t>
  </si>
  <si>
    <t>1. Same as City</t>
  </si>
  <si>
    <t>E: 100%</t>
  </si>
  <si>
    <t xml:space="preserve">58 service resevoirs are available. Surface water rivers are polluted, dug wells and bore wells are privately owned now. </t>
  </si>
  <si>
    <t>1.	Public</t>
  </si>
  <si>
    <t>A.	City Government</t>
  </si>
  <si>
    <t xml:space="preserve">A.	User fees/ Portion of the property taxes. </t>
  </si>
  <si>
    <t xml:space="preserve"> 944,939 Total (Businesses and HH combined)</t>
  </si>
  <si>
    <t xml:space="preserve">
PMC website, 2_CDPPhysical_Social_Infra.pdf
</t>
  </si>
  <si>
    <t xml:space="preserve">
Mr. V. G. Kulkarni 
(PMC official, Chief engineer, Water department)
</t>
  </si>
  <si>
    <t>The Portion of the Property tax is collected as water tax which was introduced in April 2000. Presently, water Charges are more dependent on the property.</t>
  </si>
  <si>
    <t xml:space="preserve">The water prices are different for Domestic and Commercial users within the city but it does not change according to neighbourhood.
The water charges are the same throughout the city. 
</t>
  </si>
  <si>
    <t xml:space="preserve">Rs. 9.50/- is the rate of production and
Rs. 3/- is charged for 1000 litters of water usage.
</t>
  </si>
  <si>
    <t xml:space="preserve">S. No.    Domestic Property Taxable Amount (Rs)= Water Charge (Rs)
1: 1-1000 = Rs 900 
2: 1001-3000 = Rs 1000 
3: 3001-5000 = Rs 1100 
4: 5001 onward = Rs 25% or 2500 (whichever is minimum)  
</t>
  </si>
  <si>
    <t>1. 1,300 Metric Litters per day (MLD).</t>
  </si>
  <si>
    <t>Efficient infrastructure is not available. Faulty water meters, inadequate pipelines, leakages and uneven topography of the city causes problem in equal distribution.</t>
  </si>
  <si>
    <t>1. 732 Metric Liters per day (MLD)</t>
  </si>
  <si>
    <t>INR 5600 crore for 2016</t>
  </si>
  <si>
    <t xml:space="preserve">(L.C.) INR 7.5 – 8 Billion
</t>
  </si>
  <si>
    <t xml:space="preserve">L.C. INR 3.2 Billion per year
</t>
  </si>
  <si>
    <t>A. Parvati</t>
  </si>
  <si>
    <t>1968-1972</t>
  </si>
  <si>
    <t>Rs. 4,140,200,000</t>
  </si>
  <si>
    <t>Budget Book 2017</t>
  </si>
  <si>
    <t xml:space="preserve">Mr. V. G. Kulkarni
(PMC official, Chief engineer, Water department)
</t>
  </si>
  <si>
    <t xml:space="preserve">3. Other, specify: Residual Chlorine testing
</t>
  </si>
  <si>
    <t>The sample is selected from selected sites on everyday basis. Selection criteria of the sites in not disclosed.</t>
  </si>
  <si>
    <t>B. Cantonment All</t>
  </si>
  <si>
    <t>1885-1997</t>
  </si>
  <si>
    <t>Rs. 180,000,000</t>
  </si>
  <si>
    <t>C. Vadgaon</t>
  </si>
  <si>
    <t>Rs. 63,600,000</t>
  </si>
  <si>
    <t>D. Warje</t>
  </si>
  <si>
    <t>Rs. 178,050,000</t>
  </si>
  <si>
    <t>E. Warje Augmentation</t>
  </si>
  <si>
    <t>Rs. 74,360,000</t>
  </si>
  <si>
    <t>F. Holkar Old</t>
  </si>
  <si>
    <t>National Water Supply and Drainage Board-Ambatale Water Treatment pant</t>
  </si>
  <si>
    <t>C: 100%</t>
  </si>
  <si>
    <t>Very high pollution from sources in the upstream (Industrial zones, residential and agricultural)</t>
  </si>
  <si>
    <t>D: National gov through ministry of city planning and water supply</t>
  </si>
  <si>
    <t>C. 141,770 Connections in the city</t>
  </si>
  <si>
    <t>National Water Supply &amp; Drainage Board Annual Report 2011</t>
  </si>
  <si>
    <t>Eng. S. Sumanaweera , Assistant General Manager , Research and Development, National Water Supply and and Drainage Board</t>
  </si>
  <si>
    <t>(Attachment 1 below) progressive tariff with a monthly charge. Reduced price for Samurdhi beneficiaries</t>
  </si>
  <si>
    <t>The Sri Lankan government carries out a program by the name of  “Samurdhi” for which beneficiaries are selected by the grama niladhari based on defined criteria. Reduction of the water tariff is one among other benefits they receive such as a monthly stipend, housing loans etc.A special tariff applies to water provided to households of Samurdhi recipients for domestic purposes.</t>
  </si>
  <si>
    <t xml:space="preserve">Average cost of providing water supply facilities is Rs. 158 / m3
 Including recovery of capital investment. The present cost recovery of the NWSDB is Rs. 50/ m3. Hence, the water sector is heavily subsidized and has become a burden to the government
</t>
  </si>
  <si>
    <t>1: 21,900,000 cubic meters</t>
  </si>
  <si>
    <t xml:space="preserve">LKR 14,921,063,000 </t>
  </si>
  <si>
    <t>A. Labugama WTP</t>
  </si>
  <si>
    <t>Yr 1886</t>
  </si>
  <si>
    <t>British Governmemt and rehabilitated by the Government of Hungary (Budapest Waterworks –
BWW)</t>
  </si>
  <si>
    <t>Rs. 97,000,000</t>
  </si>
  <si>
    <t>Rs. 85,000,000</t>
  </si>
  <si>
    <t xml:space="preserve">Sumitha Sumanaweera
Deputy General Manager 
Production -National Water Supply &amp; Drainage Board 
</t>
  </si>
  <si>
    <t>Once a day</t>
  </si>
  <si>
    <t>B. Ambathale WTP</t>
  </si>
  <si>
    <t>Yr 1966</t>
  </si>
  <si>
    <t>Loan Capital Payable from France for Rehabilitation work in 2007 (L.C 40,282,538)</t>
  </si>
  <si>
    <t>Rs. 1,138,016,000</t>
  </si>
  <si>
    <t>Rs. 1,052,000,000</t>
  </si>
  <si>
    <t>1  </t>
  </si>
  <si>
    <t>Dhaka Water Supply and Sewerage Authority (DWASA)</t>
  </si>
  <si>
    <t>A:78%,  
C: 22% </t>
  </si>
  <si>
    <t xml:space="preserve">Underground water table is going down. </t>
  </si>
  <si>
    <t xml:space="preserve">A. User fees as charge for connection and tariff 
B. Block grants from government for investment 
C. Grant and Loan from development partners for investment </t>
  </si>
  <si>
    <t>A: 28,969  </t>
  </si>
  <si>
    <t>B. 3,22,278</t>
  </si>
  <si>
    <t> C. Low Income Communities 3564, D. Institution and Others 7,299 </t>
  </si>
  <si>
    <t>Total 3,040 </t>
  </si>
  <si>
    <t xml:space="preserve">IB-Net web site https://database.ib-net.org/ , DWASA Benchmark Report 2016-2017, DWASA Annual Report 2015-16 </t>
  </si>
  <si>
    <t xml:space="preserve">Mr. Uttam Kumar, Commercial Manager and LIC Focal Point DWASA 
Mr Delowar Hossain, Senior System Analyst, Dhaka WASA 
Mr. Zakir Hossain, Consultant, The World Bank Dhaka </t>
  </si>
  <si>
    <t xml:space="preserve">All connections are metered. The price per cubic meter is TK 10.50 for domestic connection and Tk 33.60 for commercial connection </t>
  </si>
  <si>
    <t>The underground water table goes down and it becomes difficult to extract water at full capacity of the pumps. The quantity slightly reduces due to shortage of supply in extreme summer.</t>
  </si>
  <si>
    <t>1 -   851,631,782 cubic meters</t>
  </si>
  <si>
    <t>Tk. 30,200,300,000 for 2016-17   </t>
  </si>
  <si>
    <t>Tk. 19,676,551,484  per year (2015-2016), Estimated from Audit Report, DWASA 2015-16 including investment</t>
  </si>
  <si>
    <t>Tk.7,607,594,465 per year Estimated from Audit Report, DWASA 2015-16 including investment</t>
  </si>
  <si>
    <t>22% of water supplied to distribution network is from Water Treatment Plants (the distribution netowkr is supplied with WTP water and groundwater sources)</t>
  </si>
  <si>
    <t>Chadnighat Water Treatment Plant</t>
  </si>
  <si>
    <t xml:space="preserve">Yr 1874 </t>
  </si>
  <si>
    <t xml:space="preserve">Audit Report, Financial Reports and Project Status Report of DWASA </t>
  </si>
  <si>
    <t xml:space="preserve">Mr. Sirajuddin, Ex Project Director of Syedabad Water Treatment Plant </t>
  </si>
  <si>
    <t>1 - Free chlorine</t>
  </si>
  <si>
    <t>1 - For emergency supplies only</t>
  </si>
  <si>
    <t xml:space="preserve">Samples collected on random basis, but no schedule is followed </t>
  </si>
  <si>
    <t xml:space="preserve">Annual Report DWASA 2015 </t>
  </si>
  <si>
    <t>Secondary sources and subsequent discussion</t>
  </si>
  <si>
    <t>source: IB-Net, DWASA Bench-mark Data</t>
  </si>
  <si>
    <t xml:space="preserve">City Corporations do not use any amount for water supply </t>
  </si>
  <si>
    <t>Godnyle Treatment Pnat</t>
  </si>
  <si>
    <t xml:space="preserve">Yr 1985 </t>
  </si>
  <si>
    <t xml:space="preserve">Government Project Fund </t>
  </si>
  <si>
    <t>Estimated from Audit Report, Financial Reports and Project Status Report of DWASA</t>
  </si>
  <si>
    <t>Syedabad Water Treatment Plant Phase 1</t>
  </si>
  <si>
    <t xml:space="preserve">Yr 2002 </t>
  </si>
  <si>
    <t xml:space="preserve">Tk 5,500 Million </t>
  </si>
  <si>
    <t xml:space="preserve">Government Project Fund with support from Dutch </t>
  </si>
  <si>
    <t>Syedabad Water Treatment Plant Phase II</t>
  </si>
  <si>
    <t xml:space="preserve">Yr  2013 </t>
  </si>
  <si>
    <t xml:space="preserve">Tk 12,400 Million </t>
  </si>
  <si>
    <t xml:space="preserve">Government Project Fund with support from DANIDA </t>
  </si>
  <si>
    <t>Karachi Water and Sewerage Board</t>
  </si>
  <si>
    <t>A: 3.6%; C: 96.4%</t>
  </si>
  <si>
    <t>The source is fed by Indus river, from where the supply is reducing due to greater apportionment to agricultural use</t>
  </si>
  <si>
    <t>A; C: Subsidies from provincial  government</t>
  </si>
  <si>
    <t>www.kwsb.gos.pk. Various unpublished working records and reports of the KWSB</t>
  </si>
  <si>
    <t>Mr Mohammad Ayub Sheikh, Superintending Engineer, KWSB; Mr Mohammad Shakeel Qureshi, Superintending Engineer, KWSB</t>
  </si>
  <si>
    <t>It is fixed by the provincial government  on the advice of the utility’s advice. It is usually done as Rs per 1000 gallons. It is Rs 130 per 1000 gallons for domestic and Rs 222 per 1000 for commercial and industrial use.</t>
  </si>
  <si>
    <t>The supply greatly reduces during March to June and September to October. These are warm months where the consumption increases</t>
  </si>
  <si>
    <t>1: 6600 million gallons per day</t>
  </si>
  <si>
    <t>The inappropriate distribution is a major issue. Water is not distributed according to any laid down procedure or plan. The influential stake holders acquire more water than the ordinary consumers</t>
  </si>
  <si>
    <t>6600 mgd</t>
  </si>
  <si>
    <t>Inappropriate process of distribution, water losses due to thefts and leakages are the core reasons</t>
  </si>
  <si>
    <t>Rs 34.889 billion for 2016</t>
  </si>
  <si>
    <t>Rs 6.872 Billion</t>
  </si>
  <si>
    <t xml:space="preserve">Rs 34.889 billion </t>
  </si>
  <si>
    <t>A. Hub water filtration plant: Hub filter plant serves locations in Baldia, Orangi and some parts of Lyari</t>
  </si>
  <si>
    <t>Rs 2.6 billion</t>
  </si>
  <si>
    <t>Grant in aid from federal government</t>
  </si>
  <si>
    <t>Rs 143.111 million</t>
  </si>
  <si>
    <t>Rs 140 million</t>
  </si>
  <si>
    <t>www.supremecourt.gov.pk； From the Enquiry Report prepared by Judicial Commision, constituted by Supreme Court of Pakistan</t>
  </si>
  <si>
    <t>Justice Iqbal Kalhoro, Judge, High Court of SIndh</t>
  </si>
  <si>
    <t>No such process is applied. Chlorinattion is erratically done</t>
  </si>
  <si>
    <t>No such system exists</t>
  </si>
  <si>
    <t>source: KMC and KWSB Budget Documents 2016 - 17</t>
  </si>
  <si>
    <t>KMC and KWSB Budget Documents 2016 - 17</t>
  </si>
  <si>
    <t>B.North East Karachi K II filtration plant, North East Karachi Old Plant: North East Karachi plants serve locations such as Federal B Area, North Karachi and New Karachi neighbouhoods</t>
  </si>
  <si>
    <t>1998; 1978</t>
  </si>
  <si>
    <t>Rs 12.477 million; Rs. 6.472 million</t>
  </si>
  <si>
    <t>Rs 9 million; Rs 4 million</t>
  </si>
  <si>
    <t xml:space="preserve">C.Pipri plant： Pipri plant serves susb urban locations along the eastern edge of the city </t>
  </si>
  <si>
    <t>1971; 2003</t>
  </si>
  <si>
    <t>Rs 1.4 billion (new plant)</t>
  </si>
  <si>
    <t>No budget allocated – not working</t>
  </si>
  <si>
    <t>No budget allocated</t>
  </si>
  <si>
    <t>D. Gharo Plant 1; Gharo Plant 2： Gharo plants serve serve Landhi, Korangi and adjacent neighborhoods</t>
  </si>
  <si>
    <t>1943; 1952</t>
  </si>
  <si>
    <t>Rs 9.86 million</t>
  </si>
  <si>
    <t>Rs 7 million</t>
  </si>
  <si>
    <t>E.COD Hills Plant 1; COD Hill Plant2： COD Hill plants central city areas including Gulshan-e-Iqbal and Pakistan Employees Cooperative Housing Society (PECHS)</t>
  </si>
  <si>
    <t>1962; 1962</t>
  </si>
  <si>
    <t>Rs 27.873 million</t>
  </si>
  <si>
    <t>Rs 20 million</t>
  </si>
  <si>
    <t>National Water and Sewerage Corporation (NWSC)</t>
  </si>
  <si>
    <t>D: 100%</t>
  </si>
  <si>
    <t xml:space="preserve">Falling water levels
Fluctuations in water availability due to weather seasonality
Algae blooms due to pollution
</t>
  </si>
  <si>
    <t>A, B, C: Agency loans</t>
  </si>
  <si>
    <t>Total: 270,000 customers</t>
  </si>
  <si>
    <t>NWSC Corporate Plan 2015</t>
  </si>
  <si>
    <t xml:space="preserve">NWSC: 
Sserwajja Eria
Ahabwe Gerald
</t>
  </si>
  <si>
    <t xml:space="preserve">250, 000 UGX – 300, 000 UGX depending on distance from sewer line connection
per cubic meter:
Public standpipes 1,377/= 
Residential/Domestic 2,236/=
Institutional/Government 2,752/=
Industrial/commercial
• First 500m3  per month 3,376/=
• 501 – 1500m3  per month 3,376/=
• Over 1500m3  per month 2,698/=
• Average Water Tariff 2,474/=
</t>
  </si>
  <si>
    <t>Structured under an Urban Pro-poor Programme, where prepaid meters are used and the tariffs charged are 867 UGX per cubic metre, which is 65% of the standard residential tariff, and similar to ‘social tariff’ that is applied to public standpipes.</t>
  </si>
  <si>
    <t>Supply of water is influenced by seasonal rainfall and levels of the lake, which determine the abstraction depth at the two water plants. The pattern is irregular with bumps and highs</t>
  </si>
  <si>
    <r>
      <rPr>
        <sz val="10"/>
        <color indexed="8"/>
        <rFont val="Calibri"/>
      </rPr>
      <t>66,305,796 m</t>
    </r>
    <r>
      <rPr>
        <vertAlign val="superscript"/>
        <sz val="10"/>
        <color indexed="8"/>
        <rFont val="Calibri"/>
      </rPr>
      <t>3</t>
    </r>
  </si>
  <si>
    <t xml:space="preserve">Inadequate supply capacity
Inadequate capital to upgrade system to meet demand
</t>
  </si>
  <si>
    <t>19,000,000 m3</t>
  </si>
  <si>
    <t>The two Ggaba I and II treatment plants are operating at a capacity that does not match the demand for water. There are also operational challenges including intermittent electricity supply, sometimes breakdowns and occasional drop in levels of the lake that affects the abstraction and supply to the booster stations for gravitational flow</t>
  </si>
  <si>
    <t>L.C. 561.33 Billion UGX for 2016/2017</t>
  </si>
  <si>
    <t>51.5 billion UGX</t>
  </si>
  <si>
    <t>38 billion UGX per year</t>
  </si>
  <si>
    <t>A. Ggaba I</t>
  </si>
  <si>
    <t>Not known</t>
  </si>
  <si>
    <t>Donors</t>
  </si>
  <si>
    <t>247 billion UGX</t>
  </si>
  <si>
    <t xml:space="preserve">192 billion UGX </t>
  </si>
  <si>
    <r>
      <rPr>
        <u val="single"/>
        <sz val="10"/>
        <color indexed="21"/>
        <rFont val="Calibri"/>
      </rPr>
      <t xml:space="preserve">https://www.nwsc.co.ug/files/corprateplan/NWSC_CORPORATE_PLAN_2015-2018_APPROVED_FINAL.pdf NWSC, 2016/2017 NWSC Corporate Strategy 2017 </t>
    </r>
  </si>
  <si>
    <t xml:space="preserve">Sserwajja Eria (NWSC)
Ahabwe Gerald (NWSC)
</t>
  </si>
  <si>
    <t>Point-based sampling system combined with random sample collection. Analysis at the NWSC laboratory</t>
  </si>
  <si>
    <t xml:space="preserve">source: MINISTERIAL POLICY STATEMENT, FINANCIAL, YEAR 2016/17
Presented to the Parliament of Uganda By Frank Tumwebaze (MP), MINISTER FOR THE PRESIDENCY AND KAMPALA CAPITAL CITY
</t>
  </si>
  <si>
    <r>
      <rPr>
        <sz val="10"/>
        <color indexed="8"/>
        <rFont val="Calibri"/>
      </rPr>
      <t>B. Ggaba II (expansion)</t>
    </r>
  </si>
  <si>
    <t>67 Million USD</t>
  </si>
  <si>
    <t>Government of Uganda</t>
  </si>
  <si>
    <t>60 billion UGX</t>
  </si>
  <si>
    <t>12 UGX Billion</t>
  </si>
  <si>
    <t>C. Ggaba III
 (2nd expansion)</t>
  </si>
  <si>
    <t>145million Euros</t>
  </si>
  <si>
    <t>Donors and Government of Uganda</t>
  </si>
  <si>
    <t>80 billion UGX</t>
  </si>
  <si>
    <t>8 billion UGX</t>
  </si>
  <si>
    <t xml:space="preserve">LWC manages 3 Major water works and 48 mini water works </t>
  </si>
  <si>
    <t>A. IJU</t>
  </si>
  <si>
    <t>Lagos Water Corporation, Lagos State Water Regulatory Commission 2014 Annual Report</t>
  </si>
  <si>
    <t xml:space="preserve">Key informants (Lagos Water Corporation),  </t>
  </si>
  <si>
    <t>Users are classified on the basis of high-density and low-density areas as well as the structure of the buildings. Presently the proportion of metered properties is low and these can be found mainly in Lekki and Ikeja. There are also different types of meters- conventional and pre-paid. With the conventional meters the price is N150 per cubic meter for domestic properties. Also different rates are paid by households of different residential types.</t>
  </si>
  <si>
    <t>Affordability is the main reason so that the poor will not source for alternatives which will be injurious to their health. Also non-poor neighborhoods such as the low-density, high income areas of Ikoyi, Victoria Island Annex and Ikeja that have meters connected the water price is pay as you use plus service charge</t>
  </si>
  <si>
    <t>For households living in rooming apartments usually occupied by poor people (i.e multi-room) a flat rate of N100 /month per room was charged irrespective of the household size and water use. From November 2016 the rate changed to N200 /month per room</t>
  </si>
  <si>
    <t xml:space="preserve">The amount paid by non-poor household is still low relative to the cost of production. </t>
  </si>
  <si>
    <t>1.   348,408,560 cubic meters</t>
  </si>
  <si>
    <t>Power, aging facilities, and water wastage</t>
  </si>
  <si>
    <t>120.45 billion gallons per year</t>
  </si>
  <si>
    <t>Deficit in treated water</t>
  </si>
  <si>
    <t>no separate budget for metro Lagos, but it is part of the Lagos State budget: N662,558 billion. See comment.</t>
  </si>
  <si>
    <t>2014  N 13.8 billion per year;
2015  N 11.9 billion per year</t>
  </si>
  <si>
    <t>2014  N 657 million per year;
2015  N 1.093 million per year</t>
  </si>
  <si>
    <t>3 major and 44 mini and micro WTPs</t>
  </si>
  <si>
    <t>All working, but at different levels</t>
  </si>
  <si>
    <r>
      <rPr>
        <sz val="9"/>
        <color indexed="8"/>
        <rFont val="Arial"/>
      </rPr>
      <t xml:space="preserve">A.  </t>
    </r>
    <r>
      <rPr>
        <b val="1"/>
        <sz val="9"/>
        <color indexed="8"/>
        <rFont val="Arial"/>
      </rPr>
      <t>Iju (45 MGD)</t>
    </r>
  </si>
  <si>
    <t>£300,000 (1910)</t>
  </si>
  <si>
    <r>
      <rPr>
        <sz val="9"/>
        <color indexed="8"/>
        <rFont val="Arial"/>
      </rPr>
      <t xml:space="preserve">Rehabilitation financed by World Bank in 2012  </t>
    </r>
    <r>
      <rPr>
        <strike val="1"/>
        <sz val="9"/>
        <color indexed="8"/>
        <rFont val="Arial"/>
      </rPr>
      <t>N</t>
    </r>
    <r>
      <rPr>
        <sz val="9"/>
        <color indexed="8"/>
        <rFont val="Arial"/>
      </rPr>
      <t xml:space="preserve"> 1.3 billion</t>
    </r>
  </si>
  <si>
    <t>No budget</t>
  </si>
  <si>
    <t>Lagos Water Corporation, Lagos Bureau of Statistics- Ministry of Economic Planning and Budget, Lagos State</t>
  </si>
  <si>
    <t>Sampling bottles which have been cleaned using spirit or flame are used to collect water ensuring there is no external contamination in the process of collecting samples. The samples are sent to the laboratory for analysis and the results are out in one or two days. This system is done in Adiyan water treatment plant every other day.</t>
  </si>
  <si>
    <t>B. ADIYAN</t>
  </si>
  <si>
    <t>For Lagos STATE, the WTP budget is L.C. (N) 18, 249,067,771.00.</t>
  </si>
  <si>
    <t>For Lagos STATE, the WTP budget for maintenance is L.C. (N) 1.5 billion</t>
  </si>
  <si>
    <r>
      <rPr>
        <sz val="9"/>
        <color indexed="8"/>
        <rFont val="Arial"/>
      </rPr>
      <t xml:space="preserve">B. </t>
    </r>
    <r>
      <rPr>
        <b val="1"/>
        <sz val="9"/>
        <color indexed="8"/>
        <rFont val="Arial"/>
      </rPr>
      <t>Ishasi (4MGD)</t>
    </r>
  </si>
  <si>
    <r>
      <rPr>
        <sz val="9"/>
        <color indexed="8"/>
        <rFont val="Arial"/>
      </rPr>
      <t xml:space="preserve">Rehabilitation financed by World Bank in 2014  </t>
    </r>
    <r>
      <rPr>
        <strike val="1"/>
        <sz val="9"/>
        <color indexed="8"/>
        <rFont val="Arial"/>
      </rPr>
      <t>N</t>
    </r>
    <r>
      <rPr>
        <sz val="9"/>
        <color indexed="8"/>
        <rFont val="Arial"/>
      </rPr>
      <t xml:space="preserve"> 818 million</t>
    </r>
  </si>
  <si>
    <t>World Bank Finance</t>
  </si>
  <si>
    <t>C. ISHASI</t>
  </si>
  <si>
    <r>
      <rPr>
        <sz val="9"/>
        <color indexed="8"/>
        <rFont val="Arial"/>
      </rPr>
      <t xml:space="preserve">C. </t>
    </r>
    <r>
      <rPr>
        <b val="1"/>
        <sz val="9"/>
        <color indexed="8"/>
        <rFont val="Arial"/>
      </rPr>
      <t>Adiyan (70MGD)</t>
    </r>
  </si>
  <si>
    <r>
      <rPr>
        <sz val="9"/>
        <color indexed="8"/>
        <rFont val="Arial"/>
      </rPr>
      <t xml:space="preserve">Rehabilitation financed by World Bank in 2012  </t>
    </r>
    <r>
      <rPr>
        <strike val="1"/>
        <sz val="9"/>
        <color indexed="8"/>
        <rFont val="Arial"/>
      </rPr>
      <t>N</t>
    </r>
    <r>
      <rPr>
        <sz val="9"/>
        <color indexed="8"/>
        <rFont val="Arial"/>
      </rPr>
      <t xml:space="preserve"> 1.9 billion</t>
    </r>
  </si>
  <si>
    <t>N12,381billion (2014);
N 6,502.7 billion (2015)</t>
  </si>
  <si>
    <t>N 5,388.85 billion (2014);
N 1,387.52 billion (2015)</t>
  </si>
  <si>
    <t>D. OTA-IKOSI (smaller utility)</t>
  </si>
  <si>
    <t xml:space="preserve">D. Ota-Ikosi (4MGD)
(smaller plant)
</t>
  </si>
  <si>
    <r>
      <rPr>
        <strike val="1"/>
        <sz val="9"/>
        <color indexed="8"/>
        <rFont val="Arial"/>
      </rPr>
      <t>N</t>
    </r>
    <r>
      <rPr>
        <sz val="9"/>
        <color indexed="8"/>
        <rFont val="Arial"/>
      </rPr>
      <t xml:space="preserve"> 4.5 billion</t>
    </r>
  </si>
  <si>
    <r>
      <rPr>
        <sz val="9"/>
        <color indexed="8"/>
        <rFont val="Arial"/>
      </rPr>
      <t xml:space="preserve">Rehabilitation financed by LASG and expansion in 2016  </t>
    </r>
    <r>
      <rPr>
        <strike val="1"/>
        <sz val="9"/>
        <color indexed="8"/>
        <rFont val="Arial"/>
      </rPr>
      <t>N</t>
    </r>
    <r>
      <rPr>
        <sz val="9"/>
        <color indexed="8"/>
        <rFont val="Arial"/>
      </rPr>
      <t xml:space="preserve"> 4.5 billion</t>
    </r>
  </si>
  <si>
    <t>N1.376 billion (2014);
N 722.52 million (2015)</t>
  </si>
  <si>
    <t>N 596.54million (2014);
N 154.17 million (2015)</t>
  </si>
  <si>
    <t>Águas da Região de Maputo (AdeM)</t>
  </si>
  <si>
    <t>A: 1; C: 99</t>
  </si>
  <si>
    <t>Drought, floods, inert extraction, contamination of water with oils/fats.</t>
  </si>
  <si>
    <t>D: Autonomous Regulatory Authority</t>
  </si>
  <si>
    <t>A: User fees</t>
  </si>
  <si>
    <t>Public: 714</t>
  </si>
  <si>
    <t>Águas da Região de Maputo, 2017. Monthly Report, (April)</t>
  </si>
  <si>
    <t>Tomás Agostinho da Silva – Planning Technical Officer – AdeM water utility</t>
  </si>
  <si>
    <t>Binomial tariff (standing fees, price per cubic meter)</t>
  </si>
  <si>
    <t xml:space="preserve">Minimum consumption up to 5m3 cannot be higher than MZM 150.00 per month and the water bill/month up to 10m3 has to be under 5% of the minimum wage (around MZM 3,600.00) </t>
  </si>
  <si>
    <t>It is applied an increased tariff block. All the first block (5m3) benefit from the subsidy. All customers start from the first block.</t>
  </si>
  <si>
    <t>The source is downstream, and there problems of fair sharing with the upstream country (Swaziland and South Africa, though smaller amount here). There are also drought effects. Currently the reservoir level is at around 25%.</t>
  </si>
  <si>
    <t>22,750 cubic meters</t>
  </si>
  <si>
    <t>Not all the households are connected.</t>
  </si>
  <si>
    <t xml:space="preserve">L.C. 1.427.931.950,00MZN for 2016 - includes investments for water, but no sanitation. Sanitation budget info is not clear due to overlapping governance issues. </t>
  </si>
  <si>
    <t>MZM 1,200,000,000.00</t>
  </si>
  <si>
    <t xml:space="preserve">A. Umbeluzi Water Treatment Plant 1 </t>
  </si>
  <si>
    <t>L.C. WTP 1: public budget/concession</t>
  </si>
  <si>
    <t xml:space="preserve">L.C. MZM 40 million </t>
  </si>
  <si>
    <t>L.C. MZM 35 million before the staff expenses for the WTP and the Distribution Points</t>
  </si>
  <si>
    <t>Water Regulatory Council, (2016). Performance Annual Report</t>
  </si>
  <si>
    <t xml:space="preserve">Tomás Silva – Planning Technical Officer - AdeM Water Utility
Gildo Timóteo – Distribution Administrator - AdeM Water Utility
Ricardo Amós – Tarfiff Expert Water Regulatory Council (CRA)
</t>
  </si>
  <si>
    <t>The collection is made accordingly to fixed points, in the catchment for the raw water, in the filtration for the case of water treated in the WTP; and then in the distribution center. Additionally, it is performed in variable points of the network, accordingly to people agglomeration, such as the markets, hospital, schools and even residences through the consumer’s meter.</t>
  </si>
  <si>
    <t>B. Umbeluzi Water Treatment Plant 2 (expansion)</t>
  </si>
  <si>
    <t>WTP2 and 3: Grant (International Development Agency; European Union; European Union Bank; Dutch Government –FMO; Agence Française de Développement; and Mozambican Government</t>
  </si>
  <si>
    <t>C. Umbeluzi Water Treatment Plant Plant 3 (expansion</t>
  </si>
  <si>
    <t>1.3 billion</t>
  </si>
  <si>
    <t>C: 10%</t>
  </si>
  <si>
    <t xml:space="preserve">The dam capacity (4.6 million cubic metres) is not adequate to meet the growing demand of the city
The dam can supply Mzuzu for 8 months and during rainy seasons alternative sources are used like Lunyangwa river , The treatment plant has got a capacity of 21 thousand cubic metres, this capacity limits supply because you cannot go beyond  21 thousand cubic </t>
  </si>
  <si>
    <t xml:space="preserve">A, B, C: loans that are guaranteed by central government </t>
  </si>
  <si>
    <r>
      <rPr>
        <sz val="10"/>
        <color indexed="8"/>
        <rFont val="Calibri"/>
      </rPr>
      <t>Communal Water Points (CWP):</t>
    </r>
    <r>
      <rPr>
        <sz val="11"/>
        <color indexed="8"/>
        <rFont val="Calibri"/>
      </rPr>
      <t xml:space="preserve"> 230</t>
    </r>
  </si>
  <si>
    <t>NRWB. (2017) Daily or monthly reports, Administrative records</t>
  </si>
  <si>
    <t>Catherine Mwafulirwa, Acting g Projects planning manager, mbewe08@gmail.com, Tamara Nyirenda, water Loss Reduction Engineer , temanyirenda@gmail.com</t>
  </si>
  <si>
    <t>Class A is for those who live in the core of the city, who are considered rich, and Class B in the periphery who are considered as poor and the prices are charged per cubic meter.</t>
  </si>
  <si>
    <t>The NRWB uses a graduated price structure whereby higher income neighbourhoods  pay more than low income neighbourhoods</t>
  </si>
  <si>
    <t>Low income households are charged lower tariff, lower reconnection fee and free new water connection (NWC), communal water points are charged Mk0.40 per liter. However, CWP charge their members K40 per 20 liter pail</t>
  </si>
  <si>
    <t xml:space="preserve">There tends to be low water level in the dam, hence the amount of water pumped is much lower, in the rainy season the system may be clogged. However the problem is more serious in the dry season </t>
  </si>
  <si>
    <t>6,800,000 cubic meters for the whole year</t>
  </si>
  <si>
    <t xml:space="preserve">High Non revenue water, and rapid growth of the city; spatial spread, low density. Dam was designed for 2005 demand. Currently supply is limited by treatment capacity which is 21,200 metres per day. Otherwise there is suppressed demand and there are some areas which are very far from water supply pipelines. If we are to increase treatment capacity, then the water will not be enough. In short, the available sources are not enough. Plans are underway to source funding for another dam in Chikangawa Forest. </t>
  </si>
  <si>
    <r>
      <rPr>
        <sz val="9"/>
        <color indexed="8"/>
        <rFont val="Arial"/>
      </rPr>
      <t>4,000,000m</t>
    </r>
    <r>
      <rPr>
        <vertAlign val="superscript"/>
        <sz val="9"/>
        <color indexed="8"/>
        <rFont val="Arial"/>
      </rPr>
      <t>3</t>
    </r>
  </si>
  <si>
    <t xml:space="preserve">Dam capacity (4.6 million cubic metres) and treatment capacity is 21,000 cubic metres. This limits water treatment and supply., despite having a huge dam capacity. During rainy season they use alternative sources by pumping direct from Lunyangwa river .This gives chance the reservoir to build up  </t>
  </si>
  <si>
    <t>M.K. 1,231,164,000.00 per year</t>
  </si>
  <si>
    <t>M.K. 760,764,000.00 per year</t>
  </si>
  <si>
    <t>A: Lunyangwa</t>
  </si>
  <si>
    <t>Yr  1958</t>
  </si>
  <si>
    <t>na</t>
  </si>
  <si>
    <t>M.K 333,479,438</t>
  </si>
  <si>
    <t>M.K.25,200,000</t>
  </si>
  <si>
    <t>Catherine Mwafulirwa, Ag Projects planning manager, mbewe08@gmail.com, Tamala Nyirenda, water Loss Reduction Engineer , temanyirenda@gmail.com</t>
  </si>
  <si>
    <t>1. Free chlorine</t>
  </si>
  <si>
    <t>Samples are determined on residual chlorine, i.e. when below the standard, bacteria test is carried out on site</t>
  </si>
  <si>
    <t>E: 90%</t>
  </si>
  <si>
    <t>B: Lunyangwa expanded 1</t>
  </si>
  <si>
    <t>Yr 1993</t>
  </si>
  <si>
    <t>M.K.33 million</t>
  </si>
  <si>
    <t>Funded by International Development Agency</t>
  </si>
  <si>
    <t>Description</t>
  </si>
  <si>
    <t>class</t>
  </si>
  <si>
    <t>Post paid</t>
  </si>
  <si>
    <t>Prepaid tariffs</t>
  </si>
  <si>
    <t>Explanation</t>
  </si>
  <si>
    <t>C. Lunyangwa expanded 2</t>
  </si>
  <si>
    <t>Yr 2013</t>
  </si>
  <si>
    <t>M.K. 126 million</t>
  </si>
  <si>
    <t>Funded by World Bank</t>
  </si>
  <si>
    <t>Individuals</t>
  </si>
  <si>
    <t>Class A</t>
  </si>
  <si>
    <r>
      <rPr>
        <b val="1"/>
        <sz val="11"/>
        <color indexed="8"/>
        <rFont val="Calibri"/>
      </rPr>
      <t>873.75/m</t>
    </r>
    <r>
      <rPr>
        <b val="1"/>
        <vertAlign val="superscript"/>
        <sz val="11"/>
        <color indexed="8"/>
        <rFont val="Calibri"/>
      </rPr>
      <t>3</t>
    </r>
  </si>
  <si>
    <r>
      <rPr>
        <b val="1"/>
        <sz val="11"/>
        <color indexed="8"/>
        <rFont val="Calibri"/>
      </rPr>
      <t>774.73m</t>
    </r>
    <r>
      <rPr>
        <b val="1"/>
        <vertAlign val="superscript"/>
        <sz val="11"/>
        <color indexed="8"/>
        <rFont val="Calibri"/>
      </rPr>
      <t>3</t>
    </r>
  </si>
  <si>
    <t>NRWB has since 2016 introduced a new charging policy which aims to reduce their subsidy benefiting the well to do HH located in otherwise low income location[1]. So the well to do HH located in poor locations pay more. This is determined by looking at the quality of the house</t>
  </si>
  <si>
    <t>Class B</t>
  </si>
  <si>
    <r>
      <rPr>
        <b val="1"/>
        <sz val="11"/>
        <color indexed="8"/>
        <rFont val="Calibri"/>
      </rPr>
      <t>640m</t>
    </r>
    <r>
      <rPr>
        <b val="1"/>
        <vertAlign val="superscript"/>
        <sz val="11"/>
        <color indexed="8"/>
        <rFont val="Calibri"/>
      </rPr>
      <t>3</t>
    </r>
  </si>
  <si>
    <t>Institutions</t>
  </si>
  <si>
    <t>1, 339.75</t>
  </si>
  <si>
    <t>Institutions include schools, offices, universities, police /military barracks</t>
  </si>
  <si>
    <t>commercial</t>
  </si>
  <si>
    <t>2,147. 10</t>
  </si>
  <si>
    <t>Includes shops, industries, hotels, bars, restaurants</t>
  </si>
  <si>
    <t xml:space="preserve">A. 
Nairobi City Water and Sewerage Company [NCWSC]
</t>
  </si>
  <si>
    <t xml:space="preserve">A: 1%;
C. only rainy season;
E: 99% 
</t>
  </si>
  <si>
    <t>A. Problem with Ground water
-increasing pollution and receding aquifers
E. Problems with  the main reservoir, Ndakaini Reservoir: 
-water resources governance challenges in the catchment areas, related to equity issues of inter-basin transfer of water. The political issues related to the delayed construction of the Northern Collector Tunnel are an example of how politicized water governance issues have become a challenge to meeting the city’s water needs.
-shortage of rainfalls in the catchment areas for the reservoirs have often resulted in fluctuating water levels in the reservoirs, leading to water shortages for  city. This compelled the city to ration water for the last 6 months [still on-goping during the period of conducting this study].
-The river inlets during the rainy season are not quite as reliable due to rainy seasons becoming unpredictable in terms of intensity and duration.</t>
  </si>
  <si>
    <t>D. Water Services Regulatory Board [WASREB]</t>
  </si>
  <si>
    <t>A., B.</t>
  </si>
  <si>
    <t xml:space="preserve"> https://afriwater.org/   
-Daily Nation Article of Nov. 15, 2014: City Hall moves to end Runda water
Monopoly
-Urban infrastructure in Sub-Saharan Africa – harnessing land values, housing and transport Report on Nairobi Case Study Report No 1.8  31 July, 2015
-Draft Nairobi Distribution Master Plan: Consultancy services for preparation of Nairobi City Water Distribution Master Plan Jan 2017 
-http://www.grundfos.com/about-us/news-and-press/news/public-and-private-partners-shape-nairobi-s-water-future.html  24/06/2015 
-World Bank (2016). Kenya Urbanization Review
-WASREB Impact Report Issues No. 9/2016: A Performance Review of Kenya’s Water Services Sector 2014 – 2015. http://www.wasreb.go.ke/images/impact_reports/WASREB_Impact_Report9.pdf
-Nairobi City Water and Sewerage Company Ltd. 2014/2015 Annual Report and Accounts
</t>
  </si>
  <si>
    <t xml:space="preserve">Nairobi City Water and Sewerage Company Managers:
Josiah Gitu-Billing Manager
Philip Githinji-Production Manager
</t>
  </si>
  <si>
    <t>The NCWSC applies a standing fee (one -off connection fee) per every connection and monthly (regular) fees based on consumption. The Utility company also charges miscellaneous fees such as Meter Rent per Month, Water Deposit, reconnection fee and meter testing fees.</t>
  </si>
  <si>
    <t xml:space="preserve">NCWSC applies different pricing for informal settlements/slum areas. The rest of the pricing is based on an Increasing Block Tariff (IBT).
It is also reported that water resold to Runda residents by Runda Water Ltd is priced comparatively higher [per unit] compared to the customers who are billed directly by the utility company. Similarly, there are cases of tenants being charged slightly higher prices [compared to NCWSC tariff structure], per unit, by landlords who own buildings with water connection from the company. 
Water resellers such as vendors also charge much higher prices per unit in neighborhoods where they dominate supply. [“In higher and middle-income areas users usually pay the regulated NCWSC tariff, although there are some who rely on tankers and private boreholes. In low income neighborhoods, many households are not connected. And even those who are do not get reliable service: so they must use alternative water suppliers, handcarts in particular. As a result, the average real cost of water can be up to ten times that of the lifeline NCWSC tariff. In very-low income Areas (i.e. slums and old colonial African quarters) water is almost entirely provided by water kiosks that tend to hike the price up to 25 times the subsidized rate; despite the fact NCWSC operates a special rate for water kiosks.”
 Source: Gwopa [2010]. Access to Water in Nairobi: Mapping the Inequities beyond Statistics. PP 6. Accessible online: http://access-to-water-in-nairobi.gwopa.org/download/access_to_water_in_Nairobi_mapping_the_inequities_beyond_the_statistics.pdf  ]
</t>
  </si>
  <si>
    <t xml:space="preserve">Considered as areas with poor households, NCWSC applies lower prices-than ordinary domestic/residential connections-for informal settlements/slums by pricing consumption per cubic meter in Water Kiosks as 20, and in a Water ATM dispenser as 25. Ordinary charge for domestic residential is as follows as per the Increasing Block Tariff Structure: a flat rate of 204 (on average is 34 per cubic meter-204/6) for 0-6 units; 53 per cubic meter for 7-60 units; and 64 per cubic meter for consumption above 60 units –with such domestic consumption of above 60 units per month being in most cases for the affluent neighborhoods. This Increasing Block Tariff also applies for commercial/Industrial uses.
[See NCWSC Website page on Tariffs: https://www.nairobiwater.co.ke/index.php/en/watertariffs ]
</t>
  </si>
  <si>
    <t xml:space="preserve">In dry periods of some years when volumes of water in the reservoirs decrease to ‘alarm levels’, water supply is rationed. For instance, for the first quarter of 2017, the Utility rationed water due to low levels of water in the main source, the Ndakaini Reservoir. 
On regular basis, the utility applies an “equitable distribution” policy whereby water distribution is controlled to ensure that every distribution line is fairly served given the inadequate supply available, in relation to the current demand-according to the Billing Manager
</t>
  </si>
  <si>
    <t>201,861,000 cubic meters</t>
  </si>
  <si>
    <t>Due to distribution losses e.g. leakages and fraud connections 
-Decline in water levels during dry seasons of the year
-“While the population and demand increases, the water infrastructure expansion has been left behind. The last major investment was done during development of Ngethu phase 3 in 1997”-The Production Manager</t>
  </si>
  <si>
    <t>51,100,000 cubic meters</t>
  </si>
  <si>
    <t xml:space="preserve">Backlog in meeting demand, where investments in supply have been outpaced by demand, amid rapid urbanization/growth of the city
- Inefficiencies in the supply system
-The cost of treatment increases during rainy season since water has sediments and the turbidity is too high(abnormal to be treated with Aluminum Sulphate-Organic treatments are used during this time which are more expensive since they are not manufactured locally
</t>
  </si>
  <si>
    <t>Small proportion of informal settlements</t>
  </si>
  <si>
    <t>30,828,694,489 (2015-16)</t>
  </si>
  <si>
    <t>L.C. 7,175,479,065</t>
  </si>
  <si>
    <t>L.C. 274,210,287</t>
  </si>
  <si>
    <t xml:space="preserve">A. Sasumua WTP
[WTP is not located in  Nairobi, but serves the city]
</t>
  </si>
  <si>
    <t>Yr 1955, 1961 &amp; 1968</t>
  </si>
  <si>
    <t>[In 2005, AFD gave Government of Kenya a loan of EUR 62 million to rehabilitate the Sasumua after 2003 damages to the infrastructure (see: http://www.afd.fr/webdav/shared/PORTAILS/PAYS/KENYA/Press%20announcement%20inauguration%20Sasumua.pdf ]</t>
  </si>
  <si>
    <t>Loans from Development Banks</t>
  </si>
  <si>
    <t xml:space="preserve">Ministry of Nairobi Metropolitan Development: Development of a Spatial Planning Concept for Nairobi Metropolitan Region Draft Plan April 2011
-Nairobi City Water and Sewerage Company Limited STRATEGIC PLAN 2014/15 – 2018/19. Page 25. 
-http://www.afd.fr/webdav/shared/PORTAILS/PAYS/KENYA/Press%20announcement%20inauguration%20Sasumua.pdf
-World Bank (1998). Implementation Completion Report. Nairobi Third Water Supply Project. December 1998. http://documents.worldbank.org/curated/en/865181468273622384/pdf/multi-page.pdf 
</t>
  </si>
  <si>
    <t xml:space="preserve">NCWSC:
-Philip Githinji-Production Manager
-Josiah Gitu-Billing Manager
-Samuel Maina-Operations &amp; Maintenance Manager
</t>
  </si>
  <si>
    <t>3. Other, [Uses both the Free Chlorine and Total Chlorine. First, chlorine demand is determined then water is applied chlorine. Residue chlorine is retained part of which consumed while the rest reacts with inorganic mater in water pipe system]</t>
  </si>
  <si>
    <t>Samples are taken from both the treatment plant before water is distributed and also on the customers end. On the customers end, samples are collected from various public institutions such as hotels, social places, schools, hospitals while also taking into consideration the geographic coverage</t>
  </si>
  <si>
    <r>
      <rPr>
        <u val="single"/>
        <sz val="11"/>
        <color indexed="21"/>
        <rFont val="Calibri"/>
      </rPr>
      <t xml:space="preserve">http://www.nairobi.go.ke/assets/Documents/BUDGET-FOR-FY-2015-2016.pdf 
</t>
    </r>
    <r>
      <rPr>
        <u val="single"/>
        <sz val="11"/>
        <color indexed="21"/>
        <rFont val="Calibri"/>
      </rPr>
      <t xml:space="preserve">
</t>
    </r>
    <r>
      <rPr>
        <u val="single"/>
        <sz val="11"/>
        <color indexed="21"/>
        <rFont val="Calibri"/>
      </rPr>
      <t xml:space="preserve">[see page 135 of this report for allocation for  “Rehabilitation of Civil Works: Water Supplies and Sewerage”- 7,345,384 [2015/2016], 7,712,653 [projected 2016/2017]
</t>
    </r>
  </si>
  <si>
    <t xml:space="preserve">B. Ngethu WTP
[WTP is not located in  Nairobi, but Kiambu county, and it draws water from Thika Dam/Ndakaini Resevoir]
</t>
  </si>
  <si>
    <t>1972-76: Phase 1,
1978-84: Phase 2,
1997 Phase 3</t>
  </si>
  <si>
    <t xml:space="preserve">
L.C. ksh 495,000,000 [yr.1998]
Phase 3 works, which included extension of the capacity of Ngethu WTP from 190,000 m3/day to 440,000 m3/day was at a combined total of contract value of ksh 5,061,000,000 (yr.1998).
Specifically , the costs for the component of the project for works related to assets for extension of the WTP were as follows: 
Ngethu Water Treatment Plant Extension (Electrical and Mechanical Equipment) cost of Ksh 177,000,000 + Ngethu Water Treatment Plant Extension (Civil Works) at a cost of Ksh 318,000,000, making a total cost of Ksh. 495,000,000 in 1998.  [Source: World Bank. 1998. Implementation Completion Report. Nairobi Third Water Supply Project. December 1998. http://documents.worldbank.org/curated/en/865181468273622384/pdf/multi-page.pdf ]
</t>
  </si>
  <si>
    <t xml:space="preserve">This specific works were financed by World Bank Loan (IDA), with other components of the larger project (Nairobi Third Water Supply Project) being financed by African Development Bank/Fund (AfDB),  European Investment Bank (EIB), OECF of Japan, and Government of Kenya (Land+staff) </t>
  </si>
  <si>
    <t xml:space="preserve">B.
Runda Water Ltd
</t>
  </si>
  <si>
    <t xml:space="preserve">G: About 60% from NCWSC through Bulk Water Supply
</t>
  </si>
  <si>
    <t>Problems with Water from NCWSC
-the utility has been accused of pricing water/per unit higher than the prescribed costs 
River Source
-Inadequate volumes to meet the company’s demand
-variation in rainfalls</t>
  </si>
  <si>
    <t xml:space="preserve">D. Water Services Regulatory Board [WASREB] </t>
  </si>
  <si>
    <t xml:space="preserve">A  </t>
  </si>
  <si>
    <t xml:space="preserve">C.Kabete WTP as the Ruiru/Kabate
Water System
The Kabete WTP is also served by Kikuyu Springs-a “Pipeline of D300 connected Kikuyu Spring no.1 to Kabete WTP via tank no.1 with volume of 150 m3. Pipeline of D200 connected Kikuyu Spring no.2 to Kabete WTP via tank no.2 with volume of 150 m3. The capacity is 4,800 (m3/day) in total.”-Source: NIUPLAN Final Report Part 1 pp 4-45
</t>
  </si>
  <si>
    <t>Yr 1950</t>
  </si>
  <si>
    <t>L.C. [Information not readily available]</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</si>
  <si>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</si>
  <si>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</si>
  <si>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</si>
  <si>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</si>
  <si>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</si>
  <si>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</si>
  <si>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</si>
  <si>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</si>
  <si>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</si>
  <si>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</si>
  <si>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</si>
  <si>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</si>
  <si>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</si>
  <si>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</si>
  <si>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</si>
  <si>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</si>
  <si>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</si>
  <si>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</si>
  <si>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</si>
  <si>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</si>
  <si>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</si>
  <si>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</si>
  <si>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</si>
  <si>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</si>
  <si>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</si>
  <si>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</si>
  <si>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</si>
  <si>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</si>
  <si>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</si>
  <si>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</si>
  <si>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Water and sanitation regulations and enforcement</t>
  </si>
  <si>
    <t>Ground water</t>
  </si>
  <si>
    <t>Surface water</t>
  </si>
  <si>
    <t>Shallow wells</t>
  </si>
  <si>
    <t>Boreholes</t>
  </si>
  <si>
    <t>Water sellers</t>
  </si>
  <si>
    <t>Collection, treatment, and disposal of fecal sludge</t>
  </si>
  <si>
    <t xml:space="preserve">Is ground water regulated? </t>
  </si>
  <si>
    <t>Who regulates ground water?</t>
  </si>
  <si>
    <t>Describe the regulations</t>
  </si>
  <si>
    <t>Examples of how these regulations are enforced</t>
  </si>
  <si>
    <t>Informal institutional arrangements in which surface water is managed</t>
  </si>
  <si>
    <t xml:space="preserve">Is surface water regulated? </t>
  </si>
  <si>
    <t>Who regulates surface water?</t>
  </si>
  <si>
    <t xml:space="preserve">Are shallow wells regulated? </t>
  </si>
  <si>
    <t>Who regulates shallow wells?</t>
  </si>
  <si>
    <t xml:space="preserve">Are boreholes regulated? </t>
  </si>
  <si>
    <t>Who regulates boreholes?</t>
  </si>
  <si>
    <t xml:space="preserve">Are water sellers regulated? </t>
  </si>
  <si>
    <t>Who regulates water sellers?</t>
  </si>
  <si>
    <t xml:space="preserve">Is the collection, treatment, and disposal of fecal sludge regulated? </t>
  </si>
  <si>
    <t>Who regulates fecal sludge disposal?</t>
  </si>
  <si>
    <t>Groundwater is regulated by different laws: 1) water quality  protection from pollution, 2) management and use of water, 3) Standards for potable water</t>
  </si>
  <si>
    <t>The use of groundwater / surface water for water supply requires different permits issued by the ministries responsible for health and water. With their regional offices these ministries monitor the fulfillment of the law and offenders are punished with fines. Some of these permits are related with: use of water, technical  accreditation of Environmental Impact Assessment , among others.</t>
  </si>
  <si>
    <t>There are not specific laws for surface water, apply the same for groundwater in general terms. There are some exemptions, like for instance  the standards for discharge water in rivers and streams</t>
  </si>
  <si>
    <t>In the same way than for groundwater, as indicated above</t>
  </si>
  <si>
    <t>In general terms, apply the same regulations for water supply and there is a presidential decree to regulate  location, construction, protection, operation and maintenance  of boreholes for water supply purposes.</t>
  </si>
  <si>
    <t>The drilling of a borehole for water for water supply requires different permits issued by the ministries responsible for health and water. With their regional offices these ministries monitor the fulfillment of the law and offenders are punished with fines</t>
  </si>
  <si>
    <t xml:space="preserve">There is a presidential decree to regulate drinking water delivered by  trucks, the objective of this regulation is to ensure that water quality comply with national standards for human consumption,  without  important changes during transportation.  In relation with bottled water, it is considered in the same way as food, therefore there are regulations in common and additionally, there are rules for  water quality, including standards for bottled water </t>
  </si>
  <si>
    <t>The Ministry of Health issues permits related with sanitary requirements  for bottled water, management of water sources for tankers and accreditation for water trucks</t>
  </si>
  <si>
    <t>A, B, E: Regional government</t>
  </si>
  <si>
    <t>There is a law for polluters with punishments including fines and prison. There is a regulation for the construction and maintenance of sanitary facilities. There is a national law for regulating wastewater discharge in surface water, also there are specific regulations for particular basins, related with the pollution control</t>
  </si>
  <si>
    <t xml:space="preserve">Housing development projects, industries, and hospitals requires the installation of wastewater treatment plants. They must  apply for permits during project phase, installation and operation. For instance, sanitary accreditation for wastewater treatment plant project,  sanitary accreditation for wastewater treatment plant operation, technical accreditation for EIA. The wastewater treatment systems in operation are under surveillance of some official agencies, like Ministry of Health, Ministry of Ecosocialism and Water,  regional and local government </t>
  </si>
  <si>
    <t>E: Water Utility</t>
  </si>
  <si>
    <t xml:space="preserve">The regulation specify that the water utility holding license service provided by the water authority  is responsible for the regulation of the water resources under the same jurisdiction  </t>
  </si>
  <si>
    <t>Regulations are not enforced</t>
  </si>
  <si>
    <t xml:space="preserve">In the city of Cochabamba (under SEMAPA jurisdiction) there are 35 water cooperatives operating and providing water services to an estimate of 40% of the city’s population . These water cooperatives beyond the provision of water services, informally regulate water resources under their jurisdiction. </t>
  </si>
  <si>
    <t>E: Water utility</t>
  </si>
  <si>
    <t>In the city of Cochabamba there are 35 water cooperatives operating and providing water services to an estimate of 40% of the city’s population . These water cooperatives beyond the provision of water services, informally regulate water resources under their jurisdiction.</t>
  </si>
  <si>
    <t>B, E: Water Utility</t>
  </si>
  <si>
    <t>The regulation specify that the water utility holding license service provided by the water authority  is responsible for the regulation of the water resources under the same jurisdiction</t>
  </si>
  <si>
    <t>E: Water provider</t>
  </si>
  <si>
    <t>In the city of Cochabamba there are 35 water cooperatives operating and providing water services to an estimate of 40% of the city’s population . These water cooperatives beyond the provision of water services, informally regulate water resources under their jurisdiction</t>
  </si>
  <si>
    <t>A, B, C, E: Water provider</t>
  </si>
  <si>
    <t>The water authority develop a regulation in order to endorse the main water providers with the legal endorsement to provide licenses and regulate private water seller as the water tankers</t>
  </si>
  <si>
    <t>Regulation is not enforced</t>
  </si>
  <si>
    <t>A, B, C</t>
  </si>
  <si>
    <t xml:space="preserve">The law 1333 provide specifics regarding the waste water and the jurisdiction of various actors at different level who are responsible to regulate, monitor and penalize the mismanagement of waste water and fecal sludge </t>
  </si>
  <si>
    <t>However, regulations are not enforced</t>
  </si>
  <si>
    <t xml:space="preserve">Inexistent </t>
  </si>
  <si>
    <t>E: State Government and National (in specific cases)</t>
  </si>
  <si>
    <t>9433/97 National Law - establishes national water policy; Law 3239/99 - State Law - Institutes the state water resources policy and creates the state system for the management of water resources for groundwater and surface water -
Http://alerjln1.alerj.rj.gov.br/CONTLEI.NSF/b24a2da5a077847c032564f4005d4bf2/43fd110fc03f0e6c032567c30072625b
; Law 4247/2003 - State Law - provides for charging for the use of water resources in the state of Rio de Janeiro and provides other measures.
Environmental certificate of insignificant use 3000 liters / day - Alternative source of supply, where there is no network or supply is intermittent, wells can be used for human consumption.
;Decree 40156/2006 - Establishes technical and administrative procedures for the regularization of surface and underground water uses, as well as for an integrated inspection action with sanitation service providers, and other measures. SERLA Ordinance No. 555/2007 - establishes the technical and administrative procedures for regularizing the use of surface and underground water by alternative water supply solutions and for the integrated control action with sanitation service providers and provides other measures. Resolution INEA - 84/2014 - Approves the criteria that establish the granting of unenforceability of documents of insignificant use of water resources.</t>
  </si>
  <si>
    <t>Same rules of surface water: Law 4247/2003 - Provides for charging for the use of water resources in the state of Rio de Janeiro and other measures Exemptions from lawsuits - Environmental Certificate of Negligible Use of Water Resources - for extraction of groundwater of less than 5,000 L / day or surface water uptake of less than 34,560 L / day and a flow rate of less than 0,4 L / s; There is a virtual portal for registration and licensing:
http://200.20.53.7/Ineaportal/Frame/Passo1a.aspx
Decree 40156/2006 - Establishes technical and administrative procedures for the regularization of surface and underground water uses, as well as for an integrated inspection action with sanitation service providers, and other measures. Water use - state supervision works by way of denunciation or prior doubt. According to the process opened for licensing.</t>
  </si>
  <si>
    <t>INEA Resolution that exempts from making process for insignificant use - 84/2014 - Ineligibility of granting for being made by virtually consumers</t>
  </si>
  <si>
    <t>E: State government</t>
  </si>
  <si>
    <t>Same regulations for groundwater: 9433/97 National Law - institutes the national policy of water resources - for national areas within the municipality as preservation areas such as Tijuca National Park. Law 3239/99 - State Law - Institutes the state policy of water resources and creates the state system of management of water resources for groundwater and surface waters. Law 4247/2003 - State Law - provides for charging for the use of water resources in the state of Rio de Janeiro and provides other measures. Environmental certificate of negligible use 3000 liters / day - Alternative source of supply, where there is no network or supply is intermittent, well can be used for human consumption. Decree 40156/2006 - Establishes technical and administrative procedures for the regularization of surface and underground water uses, as well as for an integrated inspection action with sanitation service providers, and other measures. SERLA Ordinance No. 555/2007 - establishes the technical and administrative procedures for regularizing the use of surface and groundwater by alternative water supply solutions and for the integrated inspection action with sanitation service providers and other measures. Resolution INEA - 84/2014 - Approves the criteria that establish the granting of unenforceability of documents of insignificant use of water resources.</t>
  </si>
  <si>
    <t>There is no supervision planning, just for denunciation or for procedural doubt. Areas considered national within the municipality should be supervised by a national body (NWA) - example: Tijuca National Park supervised by NWA, special case.</t>
  </si>
  <si>
    <t>Resolution INEA - 84/2014 - Approves the criteria that establish the granting of unenforceability of documents of insignificant use of water resources. In some cases, the responsibility for cleaning, maintenance, operation and monitoring of water bodies is transferred from the state to the municipality by agreement.</t>
  </si>
  <si>
    <t>Same regulations: 9433/97 National Law - institutes the national policy of water resources - for national areas within the municipality as preservation areas such as Tijuca National Park. Law 3239/99 - State Law - Institutes the state policy of water resources and creates the state system of management of water resources for groundwater and surface waters. Law 4247/2003 - State Law - provides for charging for the use of water resources in the state of Rio de Janeiro and provides other measures. Environmental certificate of negligible use 3000 liters / day - Alternative source of supply, where there is no network or supply is intermittent, well can be used for human consumption. Decree 40156/2006 - Establishes technical and administrative procedures for the regularization of surface and underground water uses, as well as for an integrated inspection action with sanitation service providers, and other measures. SERLA Ordinance No. 555/2007 - establishes the technical and administrative procedures for regularizing the use of surface and groundwater by alternative water supply solutions and for the integrated inspection action with sanitation service providers and other measures. Resolution INEA - 84/2014 - Approves the criteria that establish the granting of unenforceability of documents of insignificant use of water resources.</t>
  </si>
  <si>
    <t>There is no supervision planning, only for denunciation or for procedural doubt.</t>
  </si>
  <si>
    <t>It is an arrangement institutionalized by the Basin Committee - management of surface waters and sources, through a solid legal basis and charge for the use of water. The Hydrographic Basin Committees would be responsible for administering water management involving public agencies, users, civil society, Guanabara Bay, a system that still brings a lot of complexity to address the issues of each basin and conflicts for the diversity of actors. Designed with legal basis only deals with charges.</t>
  </si>
  <si>
    <t>INEA manages the licensing of Water Resources. First, authorization is requested to drill, then the right to use water is requested. Same regulations: 9433/97 National Law - institutes the national policy of water resources - for national areas within the municipality as preservation areas such as Tijuca National Park. Law 3239/99 - State Law - Institutes the state policy of water resources and creates the state system of management of water resources for groundwater and surface waters. Law 4247/2003 - State Law - provides for charging for the use of water resources in the state of Rio de Janeiro and provides other measures. Environmental certificate of negligible use 3000 liters / day - Alternative source of supply, where there is no network or supply is intermittent, well can be used for human consumption. Decree 40156/2006 - Establishes technical and administrative procedures for the regularization of surface and underground water uses, as well as for an integrated inspection action with sanitation service providers, and other measures. SERLA Ordinance No. 555/2007 - establishes the technical and administrative procedures for regularizing the use of surface and groundwater by alternative water supply solutions and for the integrated inspection action with sanitation service providers and other measures. Resolution INEA - 84/2014 - Approves the criteria that establish the granting of unenforceability of documents of insignificant use of water resources.</t>
  </si>
  <si>
    <t>There is no supervision planning, just for denunciation or for procedural doubt.</t>
  </si>
  <si>
    <t>On average in the municipality of Rio de Janeiro, 70% of the wells are not regulated. Resolution INEA - 84/2014 - Approves the criteria that establish the granting of unenforceability of documents of insignificant use of water resources.</t>
  </si>
  <si>
    <t>Internal standard INEA - Code NOI-INEA-04 -: Determination INEA nº 23/2012 - Regularization of water resources for all purposes of use by vehicle.</t>
  </si>
  <si>
    <t>It does not have supervision, only by complaint. Companies have to register with the water concessionaire (CEDAE) for purchase and transportation.</t>
  </si>
  <si>
    <t>Registration with the water concessionaire (CEDAE).</t>
  </si>
  <si>
    <t>E: State and municipal government</t>
  </si>
  <si>
    <t xml:space="preserve">DZ-205.R6 - Guideline for Organic Load Control in Effluents of Industrial Origin; NT-202.R-10 (1986) - Criteria and standards for the discharge of liquid effluents; NT-213.R-4 (1990) - Criteria and standards for toxicity control in industrial liquid effluents; DZ-215.R-4 (2007) - Biodegradable organic load control directive for liquid effluents of sanitary origin; Inea Directive DZ-1310.R-7 - Waste Manifest System, approved by Decree No. 4,497, dated 03/09/2004 and published in the Official Gazette of the State of Rio de Janeiro, of 09/21/2004. Waste Manifest System - It is the control instrument that allows INEA to know and monitor the generation, transportation and final destination of the waste generated in the State of Rio de Janeiro and it will be subject to all natural or legal persons, in law Public or private, generators, conveyors and receivers of waste.
</t>
  </si>
  <si>
    <t>Waste Manifest System - periodic management and reporting to the environmental agency (INEA).</t>
  </si>
  <si>
    <t>Disposal of fecal sludge in Municipal Sewage Treatment Stations in a regular manner with waste manifests.</t>
  </si>
  <si>
    <t xml:space="preserve">Underground water can be used under approval of state agency  DAEE (for residential, comercial and industrial purposes). The interventions and operation need to follow the established definitions and scale of usege defined in the conceeded licenses, in order to prevent contamination overuse of underground water capacity.
(Source: http://aguassubterraneas.cetesb.sp.gov.br/legislacao/)
</t>
  </si>
  <si>
    <t>Even though the state government (through the agency DAEE – Departamento de Águas e Energia Elétrica) is responsible to provide the right of use, it receives the support of Cetesb (also a state agency) to monitor the water quality and uses. Measurements are taken every 6 months on strategic spots (wells, springs etc.) for quality assessment.</t>
  </si>
  <si>
    <t>A, E: State government</t>
  </si>
  <si>
    <t>Surface water can be used under approval of state agency  DAEE (for residential, comercial and industrial purposes), respectig the defined requirements (implementation and operation conditions) for the conceeded licenses.</t>
  </si>
  <si>
    <t>Water bodies within the state boundaries are strictly regulated by the state government (through the agency DAEE – Departamento de Águas e Energia Elétrica), the ones that exceeds are subjected to the national authority (ANA – Agencia Nacional de Aguas). State regulations can overcome national requirements, in case they are more strict, in terms of water quality and concervancy.</t>
  </si>
  <si>
    <t>Surface water can be used under approval of state agency  DAEE (for residential, comercial and industrial purposes), respectig the defined requirements (implmentation and operation conditions) for the conceeded licenses.</t>
  </si>
  <si>
    <t>E. State government</t>
  </si>
  <si>
    <t>Making use of underground water (drilling borehole for instance) needs to be authorized by the state government (through the agency DAEE – Departamento de Águas e Energia Elétrica). For that, technical descriptions of the location (ground profile, hydraulic and hydrologic studies etc.) need to justify the proposed use.</t>
  </si>
  <si>
    <t>The Departamento Nacional de Produção Mineral – DNPM is, with the support of State and Municipal governements, responsible for the regulation and monitoring of the mineral water exploration, including commercialization as bottled water. Among the procedures, that need to follow the proper health and safety requirements, the validity of the returnable water bottles (the bottles its self, and the stored water) are importante points that have to be monitored.</t>
  </si>
  <si>
    <t>Validity of water bottles, (the bottles its self, and the stored water), which are in many cases returnable, are verifiied by monitoring agency.</t>
  </si>
  <si>
    <t>B; E: State Government Environmental Agency</t>
  </si>
  <si>
    <t xml:space="preserve">According to municipal legislation (https://leismunicipais.com.br/a/sp/s/sao-paulo/lei-ordinaria/1988/1048/10477/lei-ordinaria-n-10477-1988-dispoe-sobre-disciplina-e-fiscalizacao-dos-servicos-de-limpeza-de-fossas-septicas-e-pocos-de-absorcao-fossas-negras-e-da-outras-providencias):
- Transportation and disposal done only by companies that have been aproved and registered by  municipal government.
- Locations for disposal need to be approved either by Secretaria de Serviços e Obras (Departamento de Limpeza Urbana), or Sabesp
- Departamento de Limpeza is the responsible for supervising the collection and transportation of sludge until disposal site.
- The responsible companies need to have the proper equipment for the activities.
</t>
  </si>
  <si>
    <t>The Departamento de Limpeza Urbana (Municipal Urban Cleaning Department) supervises the activities of collection and disposal of the feacal sludge. For that, one of themeasures to monitoring is through documentation (ilicenses, recipts etc.), tracking the destination and responsibles for the activities.</t>
  </si>
  <si>
    <t>E: regional and local environment corporations</t>
  </si>
  <si>
    <t xml:space="preserve">By Resolution 4133021535 the local environmental corporation, DAGMA, regulates the use and distribution of ground water. The regulations demand a water counter on the first pipe that exists the “well” that leads to the ground water, a monthly report on extracted volume of water, all structures pertaining the water facility are to be inspected and approved by DAGMA.  </t>
  </si>
  <si>
    <t xml:space="preserve">The local environmental corporation in union with the local government reinforce the resolution mentioned above with strong environmental sanctions. The sanctions can go from monetary to closing of the facilities. </t>
  </si>
  <si>
    <t xml:space="preserve">The use and regulation of superficial water is under the Law 373 of 1997 and the decree of 1541 of 1978. They describe the regulation that the regional and local environmental corporations must follow. </t>
  </si>
  <si>
    <t xml:space="preserve">The local environmental corporation in union with the local government reinforce the law and resolution mentioned above with strong environmental sanctions. The sanctions can go from monetary to closing of facilities, companies or household pipelines. </t>
  </si>
  <si>
    <t>2 (There are no shallow wells)</t>
  </si>
  <si>
    <t>2 (There are no boreholes)</t>
  </si>
  <si>
    <t>2 (There are no water sellers)</t>
  </si>
  <si>
    <t xml:space="preserve">Under the Karnataka Ground Water (Regulation and Control of Development and Management) Act 2011 (and Rules 2012): 
1.   Any user wanting to extract and use groundwater in a notified area (for domestic, agricultural, commercial or industrial purposes) shall apply to the KGWA for a permit and shall not drill/dig until such permit is granted. Permit may be granted or refused (subject to considerations), but all such permits must include mandatory provision of artificial recharge structures to be constructed by the applicant within a prescribed period.
2.   Existing users of ground water (wells/borewells) in a notified area shall apply to the KGWA for a registration certificate that recognizes its existing use and other details, which the KGWA may grant or refuse (subject to considerations). Further the KGWA reserves the right to amend terms of the certificate, or cancel the same (subject to considerations).
3.  The KGWA may take specimens of soil, rock, water from wells or elicit any necessary information pertaining to it; and prepare a regular groundwater quality report. It also requires users to install water measuring devices (ISI specifications), if deemed necessary. Every drilling agency shall furnish information pertaining to borewells to the concerned Authority on a monthly basis. The Authority can take a view on the ceiling of groundwater withdrawal depending on the situation. 
4.  The KGWA may direct any groundwater user, in violation of the Act and Rules, to close down extraction of ground water, disconnect power supply or confiscate hydraulic work found to be illegal. Authority can levy penalties (fine/imprisonment) for contravention of Act and Rules.  
5.   The Authority is also empowered to register machinery of drilling agencies and grant certificates subject to conditions regulating their use; seize equipment/devices used for illegal drilling.
6. In urban notified areas, KGWA shall issue directives for constructing Rain Water Harvesting (RWH) in all buildings over 100 sqm; to be enforced by Municipal Corporation while approving building sanctions.
7. The Authority shall identify recharge worthy areas and direct the local authority to implement RWH structures only in these areas. 
Under the Karnataka Ground Water (Regulation for Protection of Sources of Drinking Water) Act, 1999 – the “appropriate authority”, in this case BWSSB (Deputy Commissioner and above) may – a) prohibit sinking a well within 500m of a public drinking water source without permission, b) declare certain areas as being hit by water scarcity, c) in such areas, prohibit or restrict extraction where such well is within 500m of a public drinking water source, d) declares watersheds as “overexploited” (where extraction is 85% of annual recharge), e) prohibit (and sometimes permit) the sinking of wells in overexploited watersheds, and f) close down existing wells in an overexploited area. The authority’s powers include, where a well has been sunk or water has been extracted in contravention of their orders, entry onto land, removal of obstruction, close pumping, disconnect water supply, seize materials being used for extraction, and require the owner to close/seal off the well at his expense.
According to their website, the Groundwater Directorate does the following:
Ground water level monitoring and resource estimation, collection and analysis of samples for ground water quality reports; R&amp;D; selection of high-yielding dug/bore-wells sites, sites for construction of artificial recharge structures - dams, infiltration/injection wells, recharge pits etc., based on scientific study, and solid waste/industrial waste disposal sites for ULBs. Also involved in awareness, outreach and capacity building efforts w.r.t. ground water.
</t>
  </si>
  <si>
    <t xml:space="preserve">The KGWA currently lacks adequate human and financial resources and is receiving support from the Groundwater Directorate to carry out its functions. It has also appointed the BWSSB to enforce the laws/rules. 
While the BWSSB possibly registers old/new borewells, drilling machines/agencies and related information, it is unclear to what extent this database is updated and accurate. Also not sure whether it is the KGWA that checks and approves borewell applications or the BWSSB – and if it’s the latter, whether they are adequately equipped to do so? On ground violations are rampant – for eg, borewells registered for domestic use being exploited for commercial use (by the water tanker mafia). Ground water quality checks remain a major issue. 
Also, enforcement of artificial recharge structures is lax and borewell metering devices possibly non-existent. As such there is poor information on the extent of extraction and therefore, no means of regulation or control. 
</t>
  </si>
  <si>
    <t>Unaware at the moment</t>
  </si>
  <si>
    <t xml:space="preserve">B, E. Other: State Government Authority (parastatal)
</t>
  </si>
  <si>
    <t xml:space="preserve">
The KLCDA Act 2014 and Rules, empowers the KLCDA to regulate as per the following –
1. Prevent and remove all encroachments/obstructions in all lake/tank areas and its natural drainage system within its jurisdiction. 
2.   Prohibit construction of commercial, recreational or industrial complexes within a notified distance from the lake (depending on water spread of a particular lake); breach lake bund or boundary.
3.  Their protection and regeneration - reduce or remove lake siltation, afforestation etc for impounding of storm water and ground water recharge. Allow lake utilization for drinking, fishing, irrigation, education or tourism.  
4.   Prevent pollution - prohibit dumping of any debris, solid or liquid waste, untreated sewage directly or indirectly. Monitor water quality, conserve lake ecology, improve and create habitats for biodiversity and wildlife. 
5.   Impose penalties for violations.
In addition, KLCDA is responsible for:
• Conducting EIA studies where required
• Survey, status, GIS mapping+database and atlas of all lakes and their catchments (thru EMPRI) 
• Create plans for integrated development and approve DPRs
• Promote integrated applied research on all relevant issues
• Public awareness and encourage community participation
• Receive funds or levy govt. approved fees/charges for maintenance and development of lakes - govt, PPP, CSR; technical approval for proposal, etc
KLCDA’s Executive+Governing Council – decides and approves on policy and financial matters; advise govt. 
BBMP is responsible for: 
• Protection of natural valleys/drains
• Construction, remodeling/repair, desilting and maintenance of storm water drains (SWD)
• Removal of encroachments from drains
• Power to order cleansing or fill up any unsanitary wells, water-body/course or drain causing nuisance or health hazard
• Enforcement of rain water harvesting (RWH) rule and protection of drains while giving building sanctions. The BWSSB Act and Rules stipulate that every owner/occupier of a building having sital area of over 2400 sqft or every owner who proposes to construct a building on sital area over 1200 sqft shall provide RWH structure for storage and use, or for ground water recharge within stipulated date and subject to regulations/guidelines issued by the Board; failing which penalties may be levied or water connection disconnected.
BDA: demarcates boundaries of water-bodies, valleys and drains and stipulates development controls. These are:
• In case of water-bodies, a 30m ‘no development zone’ buffer is to be maintained around the lake (as per revenue records) with exception of activities associated with lake and 
• In case of drains, a buffer of 50, 25 and 15m from center of drain to be maintained for primary, secondary and tertiary drains respectively. 
• Lake and drain buffers may be taken into account for reservation of park/open spaces while sanctioning development plans. Other allowed uses: water and sewage treatment plants; roads, paths, culverts, bridges which will not obstruct run-offs or water course.
</t>
  </si>
  <si>
    <t xml:space="preserve">Monitoring and enforcement is very weak – for surface water bodies, RWH and lake/valley buffer controls. 
KLCDA is essentially regulating other urban local bodies, who are in turn responsible for enforcing and implementing. So is Karnataka State Pollution Control Board (KSPCB) who regulates w.r.t water quality. Unclear at the moment, which agency has authority to monitor and penalize violators. To what extent does KLCDA take to task and penalize concerned authorities (BBMP, BWSSB, BDA), if they themselves are the violators? 
Implementation of RWH across the city remains poor, and officially sanctioned or illegal encroachment of water-bodies, valleys and drains remains high.
</t>
  </si>
  <si>
    <t xml:space="preserve">The Karnataka Municipal Corporation Act 1976 makes this mention: 
BBMP has power to permit construction of new wells, tanks/ponds.  
However, if these functions have been transferred to BWSSB, then the regulations specified above under Groundwater, apply to shallow dug wells and borewells.
</t>
  </si>
  <si>
    <t>Same as specified under Groundwater</t>
  </si>
  <si>
    <t xml:space="preserve">B, E. Other: Regional Transport Authority (RTO) </t>
  </si>
  <si>
    <t xml:space="preserve">• During vehicle registration with RTO, the capacity of the tank and whether it has food-grade EPI coating is checked.
• Application to BBMP for trade license to specify source, quantity and quality of water. 
• Rate to be displayed on tanker and dated receipts maintained.  
• Water quality from source and tanker should be tested and certified as per ISI standards by labs empaneled by the BBMP. 
• Private water tanker agency should furnish monthly statistics of number of loads supplied, rate, quality etc to BBMP on a regular basis.
</t>
  </si>
  <si>
    <t xml:space="preserve">BWSSB has categorically stated that it is BBMP that is responsible for regulating these tankers. The BBMP in turn states that Bangalore East, West and South zones are meant to be covered by the BWSSB network, while several outer zones (such as Yelehanka, Rajarajeshwari, Bommanahalli) are catered to by both.
Regulation, monitoring and enforcement of rules relating to borewells, ground water extraction and private water tankers is very weak. It is also unclear whether the different agencies co-ordinate and share databases for better enforcement, or if they maintain accurate and updated databases in the first place. As such, water quality remains a big issue. 
</t>
  </si>
  <si>
    <t>Bangalore’s quasi – regulations as set up by BWSSB are as follows – “…..vacuum trucks are charged a fee of INR 20 (€ 0.30) per m3 of sludge deposited in the sewage treatment plants operated/ managed by BWSSB. The honey-suckers empty household or community pits/ septic tanks and then, in best cases, dump the faecal sludge at the designated emptying sites managed by the BWSSB” (https://www.ircwash.org/sites/default/files/op48.pdf Page 16).</t>
  </si>
  <si>
    <t xml:space="preserve">Enforcement of regulations are lax. Described below as follows -
“Most honey-suckers dump their waste in and around the city illegally, in unlicensed locations, causing considerable pollution and health problems. ”https://www.ircwash.org/sites/default/files/op48.pdf Page 7
</t>
  </si>
  <si>
    <t xml:space="preserve">Some informal arrangements of fecal sludge disposal that have arisen are as follows:
“A small percentage however, has started delivering fecal waste to local farmers who use these as fertilisers. As this study will later reveal, the practice of recycling fecal nutrients at scale has emerged without any form of financial or technical assistance.
Though the dumping of untreated fecal waste in this manner operates outside the existing legal framework, it provides a valuable service to those who are not connected to a water-borne sewerage network, while also reducing the scale of indiscriminate dumping. Moreover, tanker operators make a profit while farmers receive free fertiliser. Needless to say, the absence of regulations hampers the scalability and sustainability of a practice that is observed to have wide ranging benefits.”  
https://www.ircwash.org/sites/default/files/op48.pdf Page 7
</t>
  </si>
  <si>
    <t>2 (exists but not enforced)</t>
  </si>
  <si>
    <t>Property regimes aren’t defined as far as groundwater is concerned and thus existing use is linked with the ownership of land. Any landowner can dig a well or a borehole and extract the water. Accessing groundwater through dug-wells and borewells is a common practice which has given rise to informal groundwater markets. Usually water tankers that sell water to slum-dwellers and other commercial users.</t>
  </si>
  <si>
    <t>E: State level water authority named as Maharashtra Water Resources Regulatory Authority (MWRRA)</t>
  </si>
  <si>
    <t>MWRRA is a recently formed body and is an independent regulatory authority. State water resources ministry had allocated dams (reservoirs) to Mumbai before MWRRA became functional, however even today State Governments plays major role in allocating water to cities including Mumbai.</t>
  </si>
  <si>
    <t>As per the state government water policy, first priority is given to Drinking Water. Accordingly, all demands for urban (including Mumbai) are always given a priority and reflect in reserved quotas of bulk water from one or more reservoirs. Once the quota is granted, city government pays raw water charges to state water resource Ministry and accesses the water. For example, Mumbai sources its water from  seven dams, in which a few are multi-purpose dams (like Bhatsa) and other dams are completely owned and managed by City Government of Mumbai (MCGM).</t>
  </si>
  <si>
    <t>None.</t>
  </si>
  <si>
    <t>2 (Shallow wells do exist in the city)</t>
  </si>
  <si>
    <t>2 (Boreholes do exist in the city)</t>
  </si>
  <si>
    <t xml:space="preserve">1 (partly) </t>
  </si>
  <si>
    <t>The private tanker owners need to registered their tankers with the health department of municipal corporation.</t>
  </si>
  <si>
    <t xml:space="preserve">The health department provides license for each individual tanker linked with its registration number provided by Regional Transport Office. The owner need to renew the license every year. </t>
  </si>
  <si>
    <t xml:space="preserve">No. </t>
  </si>
  <si>
    <t>(Ideally, there is a State Pollution Control Board which supposed to regulate the disposal of waste water in to the sea but it is not effective.)</t>
  </si>
  <si>
    <t>E. Other: State Government of Maharashtra.</t>
  </si>
  <si>
    <t xml:space="preserve">Maharashtra Groundwater act </t>
  </si>
  <si>
    <t>All sub-divisional officers in the district have been appointed as control officers to protect the natural groundwater resources in their respective areas. Prior permission from these officers is a must before any work of digging of wells and bore wells within an area of 500 metres of natural resources is undertaken.</t>
  </si>
  <si>
    <t>No informal institutional entity is a regulator of the ground water resources. However, aquifers are measured and data is collected for overall Maharashtra state by Irrigation department.</t>
  </si>
  <si>
    <t>E. Other: Maharashtra State Government, Irrigation Department; The Maharashtra Water Resources Regulatory Authority (MWRRA)</t>
  </si>
  <si>
    <t xml:space="preserve">State Irrigation department’s regulations.
Maharashtra Groundwater (Development and Management) Act, 2009
</t>
  </si>
  <si>
    <t>No informal institutional entity is a regulator of the surface water resources. However, aquifers are measured and data is collected for overall Maharashtra state by Irrigation department.</t>
  </si>
  <si>
    <t>2. Exist but unregulated</t>
  </si>
  <si>
    <t>No informal institutional entity is a regulator of the shallow wells resources. However, aquifers are measured and data is collected for overall Maharashtra state by Irrigation department.</t>
  </si>
  <si>
    <t xml:space="preserve">E. Other: State government of Maharashtra </t>
  </si>
  <si>
    <t xml:space="preserve">To dig a bore well, permission from collector’s office in required under Maharashtra Groundwater act </t>
  </si>
  <si>
    <t>The Maharashtra Groundwater Act states that the water resources should not be disturbed by digging wells and bore wells in nearby areas. Therefore, priority needs to be given to conserving the natural resources, so that they there is availability of drinking water for a longer period of time</t>
  </si>
  <si>
    <t>No informal institutional entity is a regulator of the ground water resources. However, aquifers are measured and data is collected for overall Maharashtra state by Irrigation department</t>
  </si>
  <si>
    <t xml:space="preserve">No informal institutional entity is a regulator of the private water sellers. These are the private players who sell water to individual customers according to their needs at certain events like functions or marriage ceremonies. </t>
  </si>
  <si>
    <t>E. Other: State Pollution Control Board (MPCB)</t>
  </si>
  <si>
    <t xml:space="preserve">No informal institutional entity is a regulator of the fecal sludge disposal and treatments. </t>
  </si>
  <si>
    <t>2. No, Ground Water is not regulated</t>
  </si>
  <si>
    <t>The quality of water is regulated. Central Environmental Authority (CEA) under the Ministry of Environment ‐ responsible for preventing inland water pollution. Presently no fixed government programs to regularly monitor quality of waters in water bodies However the Central Environmental Authority (CEA) is empowered to; – force industries to monitor industry effluents – Stipulate water quality monitoring conditions under EIA regulations for major development projects</t>
  </si>
  <si>
    <t>2. No, Shallow wells are not regulated</t>
  </si>
  <si>
    <t>2. No, Boreholes are not regulated</t>
  </si>
  <si>
    <t xml:space="preserve">A. National government 
</t>
  </si>
  <si>
    <t>In Sri Lanka, bottled water is regulated by the Ministry of Health through the Food Act. The Food Act requires that bottled water should be safe and processed, bottled, stored, and transported under sanitary conditions. Processing practices addressed in the regulations include protection of the water source from contamination, sanitation at the bottling facility, quality control to ensure bacteriological and chemical safety of water.</t>
  </si>
  <si>
    <t>The Authorized Officers appointed under the Food Act monitors and inspects bottled water products and processing plants. In addition, follows up on consumer and trade complaints and other leads, as appropriate, on use of potentially violative products, and also collect samples for analysis and submit these to Food Laboratories gazette under the Food Act to test for microbiological or chemical contamination.</t>
  </si>
  <si>
    <t>Municipal Council Ordinance: The Local Authorities (LAs)are obliged to adhere to all the activities along the entire sanitation value chain (from the collection of night-soil (excreta) to final disposal). However, guidelines or manuals on collection, transport and disposal are not available to the LAs.</t>
  </si>
  <si>
    <t>Ministry of Environment, 2003 (National Environmental Policy, Section 2.2.8) states, “The impact on, and risks to, environmental quality and public health will be reduced to levels that are socially acceptable by managing waste streams. This will be supported by the prevention of the harmful effects of hazardous substances and through the clean up of existing contaminated sites.” The regulatory discharge standards have already been established. The Central Environment Authority which comes under the Ministry of Environment has provision to take legal actions against improper waste disposal.</t>
  </si>
  <si>
    <t>C - Water authority (WASA)</t>
  </si>
  <si>
    <t xml:space="preserve">WASA Charge Tk 100,000 to 300,000 per year for Deep Tube Wells over 50 mm dia. according to diameters of the well  </t>
  </si>
  <si>
    <t xml:space="preserve">Issuing Permits to install Private Deep Tube well </t>
  </si>
  <si>
    <t>2 exist but not regulated</t>
  </si>
  <si>
    <t xml:space="preserve">Does Not Exist </t>
  </si>
  <si>
    <t>2 (does not exist)</t>
  </si>
  <si>
    <t>tubewells: 2. exists but not regulated</t>
  </si>
  <si>
    <t>2 exists but unregulated</t>
  </si>
  <si>
    <t xml:space="preserve"> - The City Corporation Act 2009 and Pourashava Act 2009 have the provisions of regulating environmental pollution but no specific clause on FSM.  However, these authorities hardly follow the regulation. Please see Note. </t>
  </si>
  <si>
    <t>Does Not Exist </t>
  </si>
  <si>
    <t xml:space="preserve">Note: FSM services are available but for a fraction of the total volume. WASA treated only 3% of by sewerage network and one STP. NGOs (DSK) introduce few small Vautug machine to clean pit latrines and community shared latrines in some slums. With support from UNICEF and technical support from WSUP (NGO), DWASA introduced two fixed larger Vacutug lorries and leased to private company for operation and maintenance at fixed charges. The overall performance of the company is good and they are getting calls from the clients. It seems the market is expanding. They operate both in slums and other areas.   </t>
  </si>
  <si>
    <t>People dig bore holes in their house lawns and other properties to extract ground water without any restraint.</t>
  </si>
  <si>
    <t>E：Water Resources Board - Indus River System Authority (at the inter-provincial level)</t>
  </si>
  <si>
    <t>There are no regulations to monitor the performance of water utility and other concerned stakeholders. Supreme Court of Pakistan has directed the KWSB and Provincial Government to develop a regulatory mechanism in its verdict on public interest litigation on 16 March 2017</t>
  </si>
  <si>
    <t>As mentioned in No. 8 above</t>
  </si>
  <si>
    <t>The functionaries of KWSB and provincial government decide about the quantities and flow frequencies of the surface water from Indus river source to Karachi.</t>
  </si>
  <si>
    <t>The individually dug wells within the property of owners are not regulated by any authority or individual</t>
  </si>
  <si>
    <t>The individually bore holes within the property of owners are not regulated by any authority or individual</t>
  </si>
  <si>
    <t>There are no prescribed regulations for managing water vendors. The KWSB issues rate lists from time to time but these are not followed by the water tanker operator. They charge the customers according to their own rates and service conditions.</t>
  </si>
  <si>
    <t>The water tanker operators obtain water from designated and non-designated hydrants after paying the prescribed charges. They also pay extra amounts to hydrant staff in order to acquire services according to their satisfaction. Thereafter they sell water to residential, commercial, industrial and other customers according to rates mutually negotiated and agreed upon.</t>
  </si>
  <si>
    <t xml:space="preserve">In a general respect, the Sindh Environmental Protection Agency is mandated to monitor the marine environment (where the raw sewage is routinely discharged on a daily basis), but no evidence of active monitoring is found. A public interest litigation was files by a lawyer in Supreme Court of Pakistan, which directed the KWSB to immediately begin improving its dysfunctional sewerage treatment facilities. </t>
  </si>
  <si>
    <t>The raw sewage from neighbourhoods and other urban locations is conveniently discharged into seasonal streams, creeks and other natural or man made depressions without any treatment. Very few industries in the city have installed a waste water treatment plant in order to satisfy the production requirements of their respective customers</t>
  </si>
  <si>
    <t>As a Lead Agency of the National Environmental Management Act, KCCA works in partnership with private labs and NWSC to monitor the quality of water. Biological and physical properties of water quality are monitored regularly. The regulations require at least three tests at specific spots and occasional random tests to protect the health of users of spring wells.</t>
  </si>
  <si>
    <t xml:space="preserve">Regular inspection of premises carried out by KCCA Public Health personnel, KCCA enforcement teams, Police and Village Health Team’s  </t>
  </si>
  <si>
    <t xml:space="preserve">Partnership between KCCA and NWSC </t>
  </si>
  <si>
    <t>As a Lead Agency of the National Environmental Management Act, KCCA works in partnership with private labs and NWSC to monitor the quality of water. Biological and physical properties of water quality are monitored regularly. The regulations require at least three tests at specific spots and occasional random tests</t>
  </si>
  <si>
    <t>2 exist but unregulated</t>
  </si>
  <si>
    <t>E: Unregulated</t>
  </si>
  <si>
    <t>The Public health Act and regulation of KCCA stipulate the standards for fecal sludge management, loading of nutrients and regular tests of underground water because it affects the water used by some households</t>
  </si>
  <si>
    <t>KCCA runs a public pit latrine emptying system with trucks, human resource and technical staff. KCCA has established a call center for complaints and reporting of problems particularly sanitation related.</t>
  </si>
  <si>
    <t>KCCA has judicial power/authority to control and regulate private operators, closely supported by NWSC with jurisdictional mandate  over faecal sludge treatment and disposal</t>
  </si>
  <si>
    <t>1 (for commercial users)</t>
  </si>
  <si>
    <r>
      <rPr>
        <sz val="8"/>
        <color indexed="8"/>
        <rFont val="Arial"/>
      </rPr>
      <t>E. Other</t>
    </r>
    <r>
      <rPr>
        <b val="1"/>
        <sz val="8"/>
        <color indexed="8"/>
        <rFont val="Arial"/>
      </rPr>
      <t>: Lagos State Water Regulatory Commission (state government)</t>
    </r>
  </si>
  <si>
    <t xml:space="preserve"> It is an offence to contaminate ground water sources
- Residents in residential premises are allowed, without a licence from the Lagos State Water Corporation (“LWC”), to construct, dig or extend in their premises, any well, borehole or other works for the supply of water for domestic use only. Such water supply systems must however be sited in hygienically conducive environment, protected from any kind or form of pollution. The quality of the water must also meet the World Health Organisation (“WHO”) recommended standard for water consumed. 
- Where a borehole or well is for commercial purposes, a Licence for groundwater abstraction must be obtained from LWC. Licences are also required to carry on any kind of wastewater business. Fines and terms of imprisonment also apply on conviction for any water infraction provisions under this Law. (EMPL 2017)</t>
  </si>
  <si>
    <t>Carrying out ground water abstraction activities without obtaining necessary authorization attracts a fine</t>
  </si>
  <si>
    <r>
      <rPr>
        <sz val="9"/>
        <color indexed="8"/>
        <rFont val="Arial"/>
      </rPr>
      <t>E. Other</t>
    </r>
    <r>
      <rPr>
        <b val="1"/>
        <sz val="9"/>
        <color indexed="8"/>
        <rFont val="Arial"/>
      </rPr>
      <t>: Lagos State Water Regulatory Commission (state government)</t>
    </r>
  </si>
  <si>
    <r>
      <rPr>
        <sz val="9"/>
        <color indexed="8"/>
        <rFont val="Arial"/>
      </rPr>
      <t>No concessionaire, investor, facility manager, sewage organization, sewage dislodgers, tenement or</t>
    </r>
    <r>
      <rPr>
        <sz val="12"/>
        <color indexed="8"/>
        <rFont val="Times New Roman"/>
      </rPr>
      <t xml:space="preserve"> </t>
    </r>
    <r>
      <rPr>
        <sz val="9"/>
        <color indexed="8"/>
        <rFont val="Arial"/>
      </rPr>
      <t>an individual shall discharge raw sewage, waste water or effluent from sanitary convenience into water bodies</t>
    </r>
  </si>
  <si>
    <t>i. A fine of not less than 100,000 naira only or a term of imprisonment for one month for an individual.
ii. A fine of not less than two hundred thousand naira (200,000) only, or a term of imprisonment for one month or both for a tenement.
iii. A fine of not less than 500,000 naira only or a term of imprisonment for one month for sewage truck dislodgers.
iv. A fine of not less than one million naira only, or a term of imprisonment for one month for an organization.
v. A fine of not less than 10 million naira only or a term of imprisonment of one month and revocationary permit of investor, facility manager, concessionaire until remedial, corrective and preventive measures are put in place.</t>
  </si>
  <si>
    <t>1 (but not effectively)</t>
  </si>
  <si>
    <r>
      <rPr>
        <sz val="9"/>
        <color indexed="8"/>
        <rFont val="Arial"/>
      </rPr>
      <t xml:space="preserve">E. Other: </t>
    </r>
    <r>
      <rPr>
        <b val="1"/>
        <sz val="9"/>
        <color indexed="8"/>
        <rFont val="Arial"/>
      </rPr>
      <t>Lagos State Water Regulatory Commission</t>
    </r>
  </si>
  <si>
    <t xml:space="preserve">All water supplies in Lagos shall comply with the Lagos State Drinking Water Quality Guidelines which have taken into consideration the NSDWQ NIS 554:2007 and WHO guidelines for drinking water quality and the peculiarities of Lagos state.. These prescribe maximum permitted levels for microbiological content, physical/organoleptic parameters, inorganic and organic constituents, radioactive limits and disinfectants and their by-products </t>
  </si>
  <si>
    <t xml:space="preserve"> LSWRC issues periodic guidelines for the monitoring of compliance with regulations provided for the quality of drinking water from private wells in private domestic dwellings.
- Regular surveillance of drinking water sources is carried out to ensure that private wells do not portend risk to the health of the households or general public
- Where the LSWRC becomes aware that water from a specified private supply is contaminated the commission may order the well to be sealed. </t>
  </si>
  <si>
    <t>none</t>
  </si>
  <si>
    <t>Carrying out groundwater abstraction activities without obtaining necessary authorization is illegal.
- Borehole owners and drillers shall ensure the protection of water from boreholes from all sources of contamination in line with the provisions of the Lagos State Water Well Drilling Guidance and Federal Code for Borehole Drilling.</t>
  </si>
  <si>
    <t xml:space="preserve"> A person who carries out or allows the carrying out of well drilling activity for the abstraction of water without a license from LSWRC commits an offence and is liable on summary conviction to a fine or imprisonment for a term of not more than 12 months or both.
- Any borehole water certified to be hazardous to health shall be prohibited temporarily or permanently from being supplied for consumption.</t>
  </si>
  <si>
    <t xml:space="preserve"> Illegal sale of water: It shall be an offence to sell water illegally to the public for any purposes (whether domestic or non-domestic) without proper authorisation of the commission to operate as a licensed water service provider. 
- The operators of bulk water facility for filling tankers for potable water supply shall undertake periodic disinfection of tankers every 30 days at a cost to the tanker operator as shall be approved by the LSWRC.
- Where an operator of a tanker is found to have three infringements of the standards as contained in the guidelines, such operator or tanker will have her license withdrawn, registration cancelled, or tanker seized.</t>
  </si>
  <si>
    <t>Any person guilty of Illegal sale of water is liable on conviction to a minimum fine of 50,000 naira. Any other regulatory action may be taken against such offender by the commission such as sealing of the premises, decommissioning the boreholes or well etc.
- Where a bulk water facility/filling point operator, water tanker operator or water tanker fails to meet the standards as obtained in the existing regulations, such operator or water tanker shall his/her operating license suspended pending a re-assessment by the Commission as to whether such Operator and/or tanker should be allowed to continue to provide the service. 
- Filled tankers not meeting water quality standards shall be required to discharge the water as shall be directed by the LSWRC and at a fee.
- In the first quarter of 2017 the LWRC closed down more than a 100 table water factories in the state for producing and distributing substandard drinking water.
               http://punchng.com/lagos-seals-100-table-water-factories/</t>
  </si>
  <si>
    <t xml:space="preserve">There is an informal regulation of water price which varies in different areas of the city. For example a truck of ten 25 litre kegs is sold for N1000 by water sellers in Ajao Estate (Medium density area) while in Mushin (slum/high density area) a truck of twelve 25 litre kegs is sold for N400 </t>
  </si>
  <si>
    <r>
      <rPr>
        <sz val="9"/>
        <color indexed="8"/>
        <rFont val="Arial"/>
      </rPr>
      <t xml:space="preserve">E. Other: </t>
    </r>
    <r>
      <rPr>
        <b val="1"/>
        <sz val="9"/>
        <color indexed="8"/>
        <rFont val="Arial"/>
      </rPr>
      <t>Lagos State Waste Water Office, Lagos State Water Regulatory Commission</t>
    </r>
  </si>
  <si>
    <t xml:space="preserve"> No concessionaire, investor, facility manager, sewage organisation, sewage dislodgers, tenement or an individual shall discharge raw sewage, waste water or effluent from sanitary convenience into water bodies, sewers, drains or channels either earth or concrete without the permission of the Lagos Waste Water Office.
- The Lagos state metropolis is delineated into six septage catchment areas and septage haulage trucks are allocated to the six catchments with colour code per catchment. Trucks may not go outside their designated catchment area.</t>
  </si>
  <si>
    <t xml:space="preserve"> A fine of not less than 500,000 naira only or a term of imprisonment for one month for sewage truck dislodgers that discharges raw sewerage into water bodies
- In early 2017, 200 houses in the state were issued warnings for indiscriminately discharging sewage and wastewater into undesignated channels 
http://www.financialnigeria.com/lagos-state-shuts-100-table-water-factories-on-poor-safety-standards-sustainable-762.html</t>
  </si>
  <si>
    <t xml:space="preserve">• Potable Water Quality Regulation – that set the water quality minimum standards;
• Private Suppliers Licensing Regulation – recognizes the role of the small scale independent providers in the water service provision. The majority get the water from the sub-aquifers.
• Establishment of the Regional Water Administrations Agency, responsible for all the water resources management.
</t>
  </si>
  <si>
    <t>The Potable Water Quality Regulation is enforced through penalties through the Minister of Heath (seldom applied). The Licensing Regulation is new, it is being defined the procedures for its enforcement.</t>
  </si>
  <si>
    <t xml:space="preserve">There several informal water holes and informal water providers. </t>
  </si>
  <si>
    <t xml:space="preserve">• Establishment of the Regional Water Administrations Agencies, responsible for all the water resources management.
• Raw water tariffs setting;
• Extraction licenses, including amount.
</t>
  </si>
  <si>
    <t xml:space="preserve">• Monitoring/supervision by the Regional Water Administrations Agency
• Possibility of license withdrawal
</t>
  </si>
  <si>
    <t>2 - They exist but are not regulated.</t>
  </si>
  <si>
    <t>Wells are largely constructed arbitrarily by populations according to the needs and resources. No institutions.</t>
  </si>
  <si>
    <t>E: Regional Government Agency</t>
  </si>
  <si>
    <t>Issued licenses, in cases water is to be given to the communities.</t>
  </si>
  <si>
    <t>Boreholes are largely constructed arbitrarily by populations according to the needs and resources. No institutions.</t>
  </si>
  <si>
    <t>C; E: Regional Government Agency and, self-regulation</t>
  </si>
  <si>
    <t>Issued licenses by the regional government agency and approval of reference water tariff is being initiated now.</t>
  </si>
  <si>
    <t xml:space="preserve">Price control among the association water sellers. </t>
  </si>
  <si>
    <t>There are two private providers suppliers association, AFORAMO  (Associacao de Fornecidores Privados de Mocambique) and AMATI.</t>
  </si>
  <si>
    <t>By the legislation the municipality and the regulator have overlapped mandates on sanitation. Given the lack of clarity the regulator is not performing its role. In 2016 the Municipality of Maputo on the other hand, issued a new Bylaw that addresses the management of the fecal sludge within the sanitation chain (collection, treatment, and disposal). But the practice hasn’t changed since the new bylaw was approved, so still no actual regulation</t>
  </si>
  <si>
    <t>Water resources Act (1969), Water works Act (2005)</t>
  </si>
  <si>
    <t xml:space="preserve">The water Resources Board is responsible for implementing water resources act. No one is allowed to abstract underground or surface water without a license; There are five water boards in Malawi i.e. Northern Region Water Board, Central Region Water Board, Southern Region Water Board, Blantyre water Board and Lilongwe Water Board. The boards are mandated to supply portable water to the urban centres across the country. </t>
  </si>
  <si>
    <t xml:space="preserve">The Water resources Board issues permits and also can revoke the permits to abstract water </t>
  </si>
  <si>
    <t xml:space="preserve">The government has supported the establishment of Water users Associations (WUA) that advocate protection of water catchments </t>
  </si>
  <si>
    <t>A, B, C, E</t>
  </si>
  <si>
    <t>The regulations and bylaws  do not allow shallow wells because of risk of contamination</t>
  </si>
  <si>
    <t xml:space="preserve">Water Works Act No. 17 of 1995  
The Act empowers the boards under section 1(3) ‘to levy and enforce payment of rates.’ Under section 6, the boards have power of control and administration of, except for rural water supply areas, all waterworks and all the water in such waterworks and the management of the supply and distribution of such water.’ 
By section 19, water supply must be ‘sufficient’ for the domestic purposes of the inhabitants within the water-area. Mzuzu city is also required to enforce bylaws..[ it should be noted that in reality the Water Works Act implicitly creates a monopoly.  The NRWB is unable currently to supply (legally) sufficient and safe water, but  the law stops anyone from providing any water ]
</t>
  </si>
  <si>
    <t>The Water Resources Board issues permits and also can revoke the permits.  Boreholes are not officially allowed in urban centres under Water Works Act. All the same several boreholes exist in Mzuzu city including at government institutions such as schools. Although illegal the boreholes are installed to ensure access to water where it is not provided or to ensure availability  of water when they are dry taps</t>
  </si>
  <si>
    <t>Water committees are established to manage boreholes which are usually externally supported. The committee members contribute money for maintenance for the sustainability of boreholes</t>
  </si>
  <si>
    <t>Production process,  pH levels, Total Dissolved solids and mineral content</t>
  </si>
  <si>
    <t xml:space="preserve">These are issued with licenses and Malawi Bureau of Standard certifies the water, if there is no compliance a company can be banned  </t>
  </si>
  <si>
    <t xml:space="preserve">A, B, C </t>
  </si>
  <si>
    <t xml:space="preserve">National Sanitation Policy (2006) municipal By-laws , Water Works Act (2005) Local Government Act (1998) </t>
  </si>
  <si>
    <t>Disposal of sludge is only done in designated sites like oxidation sludge ponds, councils issue permits for development of septic tanks. Municipal councils also, provide standards of septic tanks, councils regulate discharge of sludge. Note that, though Water Boards are given the mandate, they refuse to take the responsibility because they claim they do not have capacity to undertake the imposed responsibility</t>
  </si>
  <si>
    <t xml:space="preserve">Private entrepreneurship in management of sludge e.g emptying, hauling and disposal  </t>
  </si>
  <si>
    <t>C, D</t>
  </si>
  <si>
    <t xml:space="preserve">1. Water Act of  2016
2. Water Resources Management Rules-Groundwater  [for operationalizing the Water Act]
3. Water Resources Management Authority [WRMA] carries out routine Ground Water Monitoring to establish the water rest levels for prudent management of the water resources.
4. Groundwater Development Authorization-The Water use activities that require approval by Authority are: Abstraction from groundwater, either by a borehole or a shallow well; Groundwater recharges augmentation; Mixing of waters from different water resources; any other activity that the authority may define with time.
5. Regulation of Groundwater Development
6. Regulations on Artificial Ground Water Recharge
7. Water Quality Monitoring and Effluent Discharge: control of water pollution; regulations on effluent discharge into any water resource 8. Fourth Schedule of the Water Act 2016: Abstraction of Ground Water:
No borehole works without first notifying the authority [Water Resources Management Authority]
9. Regulations on Waste of Ground Water: restrictions preventing any person from causing ground water to run to waste; Restrictions against excessive abstraction of ground water; Restrictions on water  waste (not more than 20% of the water) where transfer  from a well to the user is through conduits; Regulations on “Defective wells” ; Regulations on contamination and pollution of ground water
</t>
  </si>
  <si>
    <t xml:space="preserve">1. Prosecution of Offenders. WRMA has public prosecutors, who prosecute offenders related to the Water Act. The Water Resources Management Rules have stipulated penalties for various offences.
2. The Authority places and enforces conditions on approved water use permits.
3. To prevent excessive abstraction, WRMA has developed guidelines for borehole spacing, has mapped aquifers and their characteristics to facilitate informed decision making during authorization and approval of groundwater developments.
4. WRMA has formulated an Effluent Discharge Control Plan, which is used to enforce regulations on effluent discharge to any water resource. Any person intending to dispose effluent to any water resource must ensure that such effluent is in compliance with this plan.
5. The Authority monitors abstraction and pumping in boreholes 
</t>
  </si>
  <si>
    <t>Water Resources Users Associations-community based organizations [Water Act 2016]</t>
  </si>
  <si>
    <t>1. Water Act of  2016
2. Water Resources Management Rules-Surface Water [for operationalizing the Water Act]-legally enforceable rules.
3. Regulations on watercourses management
4. Regulations on Wetlands Management
5. Regulations on Allocation of Water for Irrigation
6. Regulations on Surface Water harvesting [including dams, hydro water etc.]
7. Establishment of basin areas: Basin water resources committees
8. Permits for Regulation of Water Rights and Works, such as: Temporary abstraction for construction</t>
  </si>
  <si>
    <t xml:space="preserve">1. WRMA declares areas to be Watercourses to facilitate an institutionalized process of managing those areas
2. WRMA declares specific areas as wetlands [“The Authority may by Public Notification and with good cause, declare any portion of land less than one hectare as a wetland for purposes of water resources management”] and goes further to impose development control regulations aimed at ensuring that the areas are conserved, including wetlands on privately owned land.
3. WRMA has formulated an Effluent Discharge Control Plan, which is used to enforce regulations on effluent discharge to any water resource. Any person intending to dispose effluent to any water resource must ensure that such effluent is in compliance with this plan.
4. Currently,WRMA is working with the city county and other stakeholders to clean-up Nairobi river basin. This project, the Nairobi River Restoration Project’, is aimed at ensuring that among other things, sewerage and polluted storm water doesn’t drain into the rivers.
5. Authorization should be obtained for the following activities: Temporary abstraction for construction, Diversion of water from a water course, Abstraction from surface water, Diversion of a water course, Water storage in dams and pans, Effluent discharge being the disposal of waste into a water resource, Swamp, marsh or wetland drainage, Obstruction of water, In-stream works, Mixing of waters from different water resources, Hydropower generation, and Any other use determined from time to time by the Authority.
</t>
  </si>
  <si>
    <t>Community based organizations working with Water Resources Users Association</t>
  </si>
  <si>
    <t>1 (but not effective and successful)</t>
  </si>
  <si>
    <t>B, C, D</t>
  </si>
  <si>
    <t xml:space="preserve">1. Water Act of  2016
2. Water Resources Management Rules-Ground Water [for operationalizing the Water Act]
3. The regulations that apply for groundwater and the Effluent Control Plans are applied for surface water.
</t>
  </si>
  <si>
    <t>The regulation of shallow wells is very “difficult”, according to an official at WRMA. This is because in Nairobi; shallow wells are mainly found/used in some informal settlement areas-especially those that have developed on wetlands and some peri-urban areas/fridges of the city where piped water coverage is low. They are largely managed informally by individuals or communities. However, during water shortages in the city, cases have been witnessed of water vendors drawing water from this wells, which are in many cases unprotected and could be unsafe for drinking water.</t>
  </si>
  <si>
    <t>Shallow wells considered as shared community resources are informally regulated. Such regulations are mainly aimed at controlling pollution and prevention of commercialization of the water services, except in cases where fees are used for maintenance of the resource</t>
  </si>
  <si>
    <t>B. C. D</t>
  </si>
  <si>
    <t xml:space="preserve">1. Water Act of  2016
2. Water Resources Management Rules [embedded on the Water Act]
a. No person shall construct or begin to construct a well without having first given to the Authority notice of his intention to do so to the WRMA
b. A person must give notice of his intension to WRMA and shall comply with such requirements as may be imposed by WRMA
c. One is supposed to keep records of borehole geological logs, water struck level, test pumping data and borehole yield, and upon completion of drilling be submitted to WRMA.
d. Access should be given to WRMA’s officer to the well/borehole for inspection, take samples and documents.
e. Case artesian wells to prevent waste
f. Take water sample from a well/borehole to be analyzed for physical, chemical and bacteriological characteristics and results submitted to WRMA.
g. Install water master meter and piezometer on boreholes upon completion.
</t>
  </si>
  <si>
    <t xml:space="preserve">1. WRMA has strict enforcement on regulations for boreholes. For instance before a borehole is developed, WRMA demands a Hydrogeological Assessment Report which includes among others: “Details of neighboring boreholes, including location, distance from proposed borehole or boreholes, number and construction details, age, current status and use, current abstraction and use.” [WRMA-Water Resources management Rules].
2. WRMA ensures that Borehole development is documented. The process involves: 1] permit application and approval, 2]  Borehole Drilling and Inspection, 3] Test pumping, 4] Water Sample Analysis, 5] Inspection and permit to use the water [in some cases, the boreholes are  “defective”  and water use could be permitted with conditions or no permit is granted at all and sealing is authorized]. Routine field checks help enforce these regulations.
</t>
  </si>
  <si>
    <t>There cases of residents in some neighborhoods who undertake informal monitoring of abstraction levels, especially in higher –income neighborhoods [e.g. Karen area] where boreholes are many and excessive pumping in one borehole could affect recharge in another one.</t>
  </si>
  <si>
    <t>According to the Water Act, “Anybody who supplies water to more than 20 households, at least 25,000 liters per day, to register with the industry regulator after providing details of where they obtain their water.”</t>
  </si>
  <si>
    <t>The regulator inspects whether resellers are operating with licenses. Depending on the quantity of water handled per day, the vendor will pay different fees for the license [Kenya Water Act, 2002- section 56]</t>
  </si>
  <si>
    <t xml:space="preserve">Arrangements are based on individual institution where each (institution) device their own management measures
Note that the regulation of water vendors is very weak and inefficient. 
( see: http://www.mediamaxnetwork.co.ke/news/346987/kidero-blames-merchants-vendors-cholera-spread/
</t>
  </si>
  <si>
    <t>E. Other:  National Environment Management Authority [NEMA]</t>
  </si>
  <si>
    <t xml:space="preserve">Public Health Law
NEMA Environmental Regulations:
Exhauster Truck services , the main service where public sewer is non-existent,  are licensed as a business by the county government; by the environmental regulator (NEMA) , and by the Nairobi City Water and Sewerage Company as sanitation service provider.
There are regulations governing sewage treatment procedures for plants
</t>
  </si>
  <si>
    <t xml:space="preserve">It is observed that fecal sludge disposal is not effectively regulated.  Cases of exhauster trucks disposing fecal sludge illegally and unlicensed operators have been reported in the past.  Also poor fecal sludge handling in informal settlements and slums HI5 in Mukuru slums] presents health and environmental risks. Emptying of pit latrines in these areas is mostly done manually, using buckets and drums, and waste transported with hand carts for disposal in nearby rivers or ‘abandoned sites’.  Exhauster trucks which offer faster and better services for sludge disposal use mechanic systems to empty conservancy tanks and pit latrines-these are common in informal tenement buildings areas. Private sewer exhauster trucks often transport raw sewer to the city sewerage treatment plants and some empty it illegally into the city’s trunk sewer lines. Handling of the sludge removal activity is in many cases questionable.
 [see: http://www.waterfund.go.ke/safisan/Downloads/1a.%20Sanitation%20Inventory.pdf]
For Treatment Plants
-NEMA conducts random impromptu visits to put DTW on toes and ensures regulations are adhered. 
-Dandora Treatment Works (DTW) are required by NEMA to quality analysis for waste water
-NEMA gives DTW waste water discharge license
</t>
  </si>
  <si>
    <t xml:space="preserve">Although a number are licenses, some exhauster truck services operate informally especially in informal settlements or in areas lacking designated discharge points. It should be noted that exhauster truck services are a major service provider given the city’s public sewer network covers about half of the city’s households. </t>
  </si>
  <si>
    <t>E1</t>
  </si>
  <si>
    <t>E2</t>
  </si>
  <si>
    <t>E3</t>
  </si>
  <si>
    <t>E4</t>
  </si>
  <si>
    <t>E5</t>
  </si>
  <si>
    <t>E6a)</t>
  </si>
  <si>
    <t>E6b)</t>
  </si>
  <si>
    <t>E7</t>
  </si>
  <si>
    <t>E8</t>
  </si>
  <si>
    <t>E9</t>
  </si>
  <si>
    <t>E10</t>
  </si>
  <si>
    <t>E11</t>
  </si>
  <si>
    <t>E12</t>
  </si>
  <si>
    <t>E13</t>
  </si>
  <si>
    <t>E14</t>
  </si>
  <si>
    <t>E15</t>
  </si>
  <si>
    <t>E16</t>
  </si>
  <si>
    <t>E17</t>
  </si>
  <si>
    <t>E18</t>
  </si>
  <si>
    <t>E19</t>
  </si>
  <si>
    <t>E20</t>
  </si>
  <si>
    <t>E21</t>
  </si>
  <si>
    <t>E22</t>
  </si>
  <si>
    <t>E23</t>
  </si>
  <si>
    <t>E24 a)</t>
  </si>
  <si>
    <t>E24 b)</t>
  </si>
  <si>
    <t>Water supply, cost, and accessibility in the city (Table 8)</t>
  </si>
  <si>
    <t>Table 8 info source</t>
  </si>
  <si>
    <t>Water cost and price change</t>
  </si>
  <si>
    <t>Water source change</t>
  </si>
  <si>
    <t>Water price variation in different neighborhoods</t>
  </si>
  <si>
    <t>Household water treatment (Table 9)</t>
  </si>
  <si>
    <t>Table 9 info source</t>
  </si>
  <si>
    <t>Water supply</t>
  </si>
  <si>
    <t>% of households that use […] for drinking</t>
  </si>
  <si>
    <t>Cost of […] per (1. Liter, 2. Cubic Meter, 3. Other)</t>
  </si>
  <si>
    <t>Days per week is […] water available?</t>
  </si>
  <si>
    <t>Hours per day is […] water available?</t>
  </si>
  <si>
    <t>Average cost/month for water from the main water utility for an average household</t>
  </si>
  <si>
    <t xml:space="preserve">Proportion of a typical household's monthly income spent on water, not directly from the main water utility </t>
  </si>
  <si>
    <t>Price of water from the water utility changes during the year?</t>
  </si>
  <si>
    <t>Why the price of water changes during the year</t>
  </si>
  <si>
    <t>Do households change their main water sources during the year?</t>
  </si>
  <si>
    <t>What households do if piped water from the water utility is not available</t>
  </si>
  <si>
    <t>Price of water vary in different neighborhoods across the city?</t>
  </si>
  <si>
    <t>How the price varies by neighborhood</t>
  </si>
  <si>
    <t>Is the cost of piped water different in the core and the periphery of the city?</t>
  </si>
  <si>
    <t>How the price varies in the core and the periphery</t>
  </si>
  <si>
    <t>Is water subsidized for poor households?</t>
  </si>
  <si>
    <t>% of households use this treatment type</t>
  </si>
  <si>
    <t>Bs  3,80  per cubic meter</t>
  </si>
  <si>
    <t>According to black market exchange rates in July 2017: 0.0004</t>
  </si>
  <si>
    <t>74% daily; 13% every 2-3 days; 7% once per week; 6% once every 2 weeks</t>
  </si>
  <si>
    <t>Average: 13 [formal areas: most hours of the day; informal areas: range from 3-10 hours]</t>
  </si>
  <si>
    <t xml:space="preserve">Website of the Instituto Nacional de Estadística  (INE)
Question J: Asociación Nacional de Bebidas Refrescantes (AMBER)
</t>
  </si>
  <si>
    <t xml:space="preserve">80-1000 Bs    </t>
  </si>
  <si>
    <t xml:space="preserve">People use to storage water </t>
  </si>
  <si>
    <t>Some sectors have fixed monthly tariff (low-income households), others pay by water consumed</t>
  </si>
  <si>
    <t>Some low-income sectors have fixed monthly tariff, others don’t have to pay but the service is by cycles</t>
  </si>
  <si>
    <t xml:space="preserve">Santiago Arconada  </t>
  </si>
  <si>
    <t>3-4 days</t>
  </si>
  <si>
    <r>
      <rPr>
        <sz val="9"/>
        <color indexed="8"/>
        <rFont val="Calibri"/>
      </rPr>
      <t xml:space="preserve">Bs 100 /Liter </t>
    </r>
    <r>
      <rPr>
        <b val="1"/>
        <sz val="9"/>
        <color indexed="8"/>
        <rFont val="Calibri"/>
      </rPr>
      <t>1(x) = 100,000bs per cubic meter</t>
    </r>
  </si>
  <si>
    <t>According to black market exchange rates in July 2017: 0.81</t>
  </si>
  <si>
    <r>
      <rPr>
        <sz val="9"/>
        <color indexed="8"/>
        <rFont val="Calibri"/>
      </rPr>
      <t xml:space="preserve">Bs  7 /liter  </t>
    </r>
    <r>
      <rPr>
        <b val="1"/>
        <sz val="9"/>
        <color indexed="8"/>
        <rFont val="Calibri"/>
      </rPr>
      <t>(1) = Bs 7000 per cubic meter</t>
    </r>
  </si>
  <si>
    <t>According to black market exchange rates in July 2017: 11.63</t>
  </si>
  <si>
    <t>By request</t>
  </si>
  <si>
    <t>N</t>
  </si>
  <si>
    <t xml:space="preserve">National Water Authority, Key Performance Indicators Report </t>
  </si>
  <si>
    <t xml:space="preserve">Roberto Stohman, Water Regulator Engineer at the National Water Authority </t>
  </si>
  <si>
    <t xml:space="preserve">Because the water tariff change based on an economic index called UFV, this index change based on the economic growth and other factors </t>
  </si>
  <si>
    <t>0.2 to 0.5 %</t>
  </si>
  <si>
    <t>Households buy water from water trucks locally called “cisternas”. There are varios water truck associations which sell water to buildings and houses around Cochabamba</t>
  </si>
  <si>
    <t>Roberto Stohman, Water Regulator Engineer at the National Water Authority</t>
  </si>
  <si>
    <t xml:space="preserve">7 days </t>
  </si>
  <si>
    <t>20 hours</t>
  </si>
  <si>
    <t>SNIS and the City Hall website.</t>
  </si>
  <si>
    <t>L.C. 3.39/m³</t>
  </si>
  <si>
    <t>They use groundwater through wells, use car-kite, buy potable water, use unprotected spring water, reuse water for less noble purposes such as toilets or laundering when lacking.</t>
  </si>
  <si>
    <t>Rates by Location. CEDAE has in its tariff collection policy the differentiated tariff "A" and "B", according to the locality, created by Decree No. 23,676 of November 4, 1997. The districts and municipalities with their corresponding tariffs can be verified in the Next link: http://www.cedae.com.br/tarifas. Low income areas have a social tariff or often do not have a cost in distribution, which is characterized as authorized unbilled consumption.</t>
  </si>
  <si>
    <t>Rates vary by Location as pointed out above for different neighborhoods. Low-income areas such as informal settlements and favelas have a social tariff or often do not have a cost in distribution, which is characterized as authorized unbilled consumption.</t>
  </si>
  <si>
    <t>Social Rate: Deprived communities and housing estates intended for low-income residents, who present documentation in compliance with Decree 25.438 / 99, may qualify for the benefit of a differentiated rate called Social Tariff</t>
  </si>
  <si>
    <t>IBGE - PNAD 2013, website Cedae.</t>
  </si>
  <si>
    <t>Maria Helena, Tatiana Mattos and Julio Cesar</t>
  </si>
  <si>
    <t xml:space="preserve">F: Buy bottled water </t>
  </si>
  <si>
    <t>F: No Treatment</t>
  </si>
  <si>
    <t>O: Unspecified</t>
  </si>
  <si>
    <t xml:space="preserve">IBGE (http://seriesestatisticas.ibge.gov.br/series.aspx?vcodigo=PD274&amp;t=canalizacao-interna-agua-domicilio-origem-abastecimento)
Sabesp website
</t>
  </si>
  <si>
    <t>R$ 3.50 per m3</t>
  </si>
  <si>
    <t xml:space="preserve">According to Sabesp the water tariffs can be reduced for poor families (as in slums etc.) or even social entities without revenue, once proven eligibility. (http://www.sabesp.com.br/CalandraWeb/CalandraRedirect/?temp=4&amp;proj=investidoresnovo&amp;pub=T&amp;db=&amp;docid=9AA0FF2088FBF0A8832570DF006DE413&amp;docidPai=AB82F8DBCD12AE488325768C0052105E&amp;pai=filho10) </t>
  </si>
  <si>
    <t xml:space="preserve">IBGE
Sabesp
*Specific links in each answer
</t>
  </si>
  <si>
    <t>C (neighbor taps)</t>
  </si>
  <si>
    <t>Level 1: 24.7%</t>
  </si>
  <si>
    <r>
      <rPr>
        <sz val="9"/>
        <color indexed="8"/>
        <rFont val="Calibri"/>
      </rPr>
      <t>www.emcali.com.co ; Cali en Cifras</t>
    </r>
  </si>
  <si>
    <t xml:space="preserve">The water company usually forewarns water rationing so the households stock on water. </t>
  </si>
  <si>
    <t>The price varies on the social economical level the neighborhood is assigned</t>
  </si>
  <si>
    <t>Higher social economical levels subsidize lower economical levels</t>
  </si>
  <si>
    <t>www.emcali.com.co , Cali en cifras, DAGMA</t>
  </si>
  <si>
    <t>Level 2: 29.9%</t>
  </si>
  <si>
    <t>Level 3: 29.0%</t>
  </si>
  <si>
    <t>Level 4: 9.9%</t>
  </si>
  <si>
    <t>Level 5: 6%</t>
  </si>
  <si>
    <t>Level 6: 0.5%</t>
  </si>
  <si>
    <t>O: Other</t>
  </si>
  <si>
    <t>O: Other 2</t>
  </si>
  <si>
    <t>Ranging from 3-4 hours once a week, to 2-8 hours on alternate days, or 5 hours daily. This is what is officially reported, in reality this may be lower. So average would be 3/3</t>
  </si>
  <si>
    <t>Ground water. If ground water is not available or lesser, then tankers and bottled water</t>
  </si>
  <si>
    <t xml:space="preserve">Between slums </t>
  </si>
  <si>
    <t>Slums are given free water connections (public)</t>
  </si>
  <si>
    <t>The overall water price is heavily subsidized by the BWSSB. Price increase is a politically sensitive issue.</t>
  </si>
  <si>
    <t xml:space="preserve">Sanitation and Hygiene Knowledge, Attitude and Practices in Urban Setting of Bangalore: A Cross-Sectional Study: By Rafiq Mohd and Itrat Malik*
Study’s Limitation: limited to one geographical location. Hence, the result of the study cannot be generalized to entire city.
</t>
  </si>
  <si>
    <t>Depends on seasons and drought situation</t>
  </si>
  <si>
    <t>O: Handpump</t>
  </si>
  <si>
    <t>O: Other (tankers, bottled, etc.)</t>
  </si>
  <si>
    <t>2-12 hours</t>
  </si>
  <si>
    <t>Sitaram Shelar and Pranjal Deekshit</t>
  </si>
  <si>
    <t>L.C.80-200</t>
  </si>
  <si>
    <t>0.5-4</t>
  </si>
  <si>
    <t>Order water tanker for domestic use. Sometimes order bottle water for drinking purpose.</t>
  </si>
  <si>
    <t>The price is charged considering the socio-economic status of the neighborhood. Slums, low income group housings, housing constructed under SRA etc are charged at lower rate. Such areas do exist even in the core of the city. So it is independent of core or periphery, however peripheral areas have more slums.</t>
  </si>
  <si>
    <t>Pranjal Deekshit</t>
  </si>
  <si>
    <t xml:space="preserve">B </t>
  </si>
  <si>
    <t>3</t>
  </si>
  <si>
    <t xml:space="preserve">E </t>
  </si>
  <si>
    <t>as and when needed</t>
  </si>
  <si>
    <t>O: Hand Pump</t>
  </si>
  <si>
    <r>
      <rPr>
        <u val="single"/>
        <sz val="11"/>
        <color indexed="21"/>
        <rFont val="Calibri"/>
      </rPr>
      <t>www.punecorporation.org</t>
    </r>
  </si>
  <si>
    <t xml:space="preserve">Mr. V. G. Kulkarni
(PMC official, Chief engineer, Water department)
Mr. R. D. Badhe
(PMC official, Water department)
</t>
  </si>
  <si>
    <t>(L.C.) INR 300-700/- Per Year (Based on the property type)</t>
  </si>
  <si>
    <t>Water Tankers are provided from the PMC in case of unavailability of water through pipeline network.</t>
  </si>
  <si>
    <t>Price varies according to domestic and commercial users, but do not vary by neighbourhoods.</t>
  </si>
  <si>
    <t xml:space="preserve">INR 460 for 30kL fpr HelpLine PMC Tankers; 0 cost for PMC-authorized private tankers. 
</t>
  </si>
  <si>
    <t>Department of Census and Statistics, Census of Population and Housing 2011</t>
  </si>
  <si>
    <t xml:space="preserve">
L.C. 1500
</t>
  </si>
  <si>
    <t>The Sri Lankan government carries out a program by the name of  “Samurdhi” for which beneficiaries are selected by the grama niladhari based on defined criteria. Reduction of the water tariff is one among other benefits they receive such as a monthly stipend, housing loans etc.A special tariff applies  to water provided to households of Samurdhi recipients for domestic purposes.</t>
  </si>
  <si>
    <t xml:space="preserve">Dr. Subash Mendis, 
Officer of Health, City Food Hygiene and Safety Unit of the Colombo Municipal Council (CMC)
</t>
  </si>
  <si>
    <t>per Liter</t>
  </si>
  <si>
    <t>7 days a week</t>
  </si>
  <si>
    <t xml:space="preserve">24 hours*  </t>
  </si>
  <si>
    <t xml:space="preserve">WASH Challenges in Slum Areas of Dhaka City, ITN-BUET, Dhaka 2015 
Mr. Zakir Hossain, Consultant, World Bank </t>
  </si>
  <si>
    <t xml:space="preserve">Ms. Rebeka Sanyat, ED, Coalition for Urban Poor, Dhaka 
Ms. Fatema Begum, Chairperson, NDBUS, NGO </t>
  </si>
  <si>
    <t>Tk. 500 per month</t>
  </si>
  <si>
    <t xml:space="preserve">To make water utility self-reliant and minimize the subsidy from government for operation and maintenance cost </t>
  </si>
  <si>
    <t>23.7 % increased between 2016 and 2017</t>
  </si>
  <si>
    <t xml:space="preserve">Emergency supplies from WASA Tankers </t>
  </si>
  <si>
    <t xml:space="preserve">Water price is subsidized for all as it does not contain the investment recovery cost   (depreciation) </t>
  </si>
  <si>
    <t xml:space="preserve">Uttam Kumar, Commercial Manager, DWASA 
Mr Habibur Rahman, WSUP, Dhaka 
Prof. Mujibur Rahman, BUET Dhaka </t>
  </si>
  <si>
    <t>Discussion with key informants, analysis of reports of various sources</t>
  </si>
  <si>
    <t>Key informants and Primary data from 50 households in Green corner, Dhaka</t>
  </si>
  <si>
    <t>F no treatment</t>
  </si>
  <si>
    <t>2-4 hours</t>
  </si>
  <si>
    <t>www.neduet.edu.pk; www.arifhasan.org; www.orangiinstitutions.org</t>
  </si>
  <si>
    <t>Sirajuddin from Technical Training Resource Centre; Mohammad Ayoob Sheikh;Mohammad Shakil Qureshi</t>
  </si>
  <si>
    <t>Rs 130 per 1000 gallons</t>
  </si>
  <si>
    <t>5-25 %</t>
  </si>
  <si>
    <t xml:space="preserve"> households have to acquire water  tankers during peak summers, as supplies from piped source become very unpredictable</t>
  </si>
  <si>
    <t xml:space="preserve">The municipal tariff for water in neighbourhoods served by KWSB is the same. The tariff changes in those neighbourhoods where the local agency purchases water from KWSB as bulk consumer and then distributes it to its residents for retail consumption. The water supplied through tankers varies according to affluence level of residents and locational parameters. Water tankers operators charge more for long distances and for neighbourhoods where the road conditions are not good. </t>
  </si>
  <si>
    <t>Sirajuddin, Shamim Akhter from Orangi Town</t>
  </si>
  <si>
    <t>Flexible</t>
  </si>
  <si>
    <t>O: Piped water by neighbors to adjoining units</t>
  </si>
  <si>
    <t>L.C. 25,000 UGX</t>
  </si>
  <si>
    <t>&lt;5 %</t>
  </si>
  <si>
    <t>Most HHs purchase water from water vendors with trucks, carts, bicycles etc. during water shortages</t>
  </si>
  <si>
    <t>Cross-subsidization</t>
  </si>
  <si>
    <t>Najib Bateganya (KCCA)</t>
  </si>
  <si>
    <t>&lt;5</t>
  </si>
  <si>
    <t>Ranges $0.44-2.59</t>
  </si>
  <si>
    <t>significantly varies across the city</t>
  </si>
  <si>
    <t>Column 2. Lagos State Household Survey 2013
Column 3. Study conducted by Monitoring and Evaluation Unit, LWC
Columns 4 and 5: Best estimates of Ibidun Adelekan</t>
  </si>
  <si>
    <r>
      <rPr>
        <strike val="1"/>
        <sz val="9"/>
        <color indexed="8"/>
        <rFont val="Arial"/>
      </rPr>
      <t>N</t>
    </r>
    <r>
      <rPr>
        <sz val="9"/>
        <color indexed="8"/>
        <rFont val="Arial"/>
      </rPr>
      <t xml:space="preserve">1500 </t>
    </r>
  </si>
  <si>
    <t>There is no typical household since socio-economic class varies over the city and the alternative water source used by households differs in different areas of the city</t>
  </si>
  <si>
    <t>Many households depend on other sources of water supply especially boreholes and wells</t>
  </si>
  <si>
    <t xml:space="preserve">For those who buy water from water vendors the cost varies. In Ajao Estate, a medium density residential section of the city a cart load of ten 25 litre keg of water sells for N1000 while in Mushin high density slum a cart load of twelve 25 litre keg of water sells for N400 </t>
  </si>
  <si>
    <t>The monthly billing is based on the number of rooms in the building(s) in the yard/plot irrespective of number of occupants. The charge is 200 Naira per room</t>
  </si>
  <si>
    <t>J: Bottled</t>
  </si>
  <si>
    <t>J: Satchet</t>
  </si>
  <si>
    <t>O: Rain water</t>
  </si>
  <si>
    <t>Water Regulatory Council, (2016). Performance Annual Report.</t>
  </si>
  <si>
    <t>Ricardo Amós–Tariffs Expert - Water Regulatory Council</t>
  </si>
  <si>
    <t>MZM 180</t>
  </si>
  <si>
    <t>Get water from sellers from those who have access to tube well/borehole; buy bottled water; get water from other villages. People in Maputo City have individual or collective reservoirs as well.</t>
  </si>
  <si>
    <t>Tomás da Silva – Planning Technical Officer - Águas da Região de Maputo</t>
  </si>
  <si>
    <t>8 to 24</t>
  </si>
  <si>
    <t>F: Drink bottled water</t>
  </si>
  <si>
    <r>
      <rPr>
        <sz val="9"/>
        <color indexed="8"/>
        <rFont val="Arial"/>
      </rPr>
      <t>NRWB performance indicator April 2017; NRWB. (2017) Daily or monthly reports, Administrative records, Metaferia consulting Engineers PLC, 2007,Final design criteria and stakeholders consultation report, Mzuzu</t>
    </r>
  </si>
  <si>
    <r>
      <rPr>
        <sz val="9"/>
        <color indexed="8"/>
        <rFont val="Arial"/>
      </rPr>
      <t>Catherine Mwafulirwa, Ag Projects planning manager, mbewe08@gmail.com, Tamala Nyirenda, water Loss Reduction Engineer , temanyirenda@gmail.com</t>
    </r>
  </si>
  <si>
    <t>Mk1000</t>
  </si>
  <si>
    <t xml:space="preserve">The prices fluctuate because of tariff fluctuations of electricity ,  inflation and exchange rate fluctuations </t>
  </si>
  <si>
    <t xml:space="preserve">15%
</t>
  </si>
  <si>
    <t xml:space="preserve">They use unprotected sources such as wells and rivers. E.g. between 9 and 12 June 2017 there was no water in the city ostensibly because of repairs but this is a frequent occurrence. Many households also use unprotected sources on account of cost of safe water </t>
  </si>
  <si>
    <t>The variation is as follows , those houses that are in class A pay Mk0.75 per liter , class B pay Mk0.55t per liter , for communal water points Mk0.40  for commercial it is Mk1.84 per liter</t>
  </si>
  <si>
    <t xml:space="preserve">The variation is as follows, those houses that are in
 class A pay MK0.75t per liter i.e. those categorised as well to do by NRWB criteria regardless of neighborhood
Classes B pay MK0. 55 per liter, 
Communal water points (CWP) Mk0.40;  
commercial it is k1.84 per liter
</t>
  </si>
  <si>
    <t>The households which are in class A and commercial properties cross- subsidize those in class C, B and peri urban areas</t>
  </si>
  <si>
    <t xml:space="preserve">Muelenaer, P. E et al( 2016) study targeted 30 households in one peri urban settlement in Mzuzu. 29 of the 30 were not treating water prior to the study. Results of the tests using  Tulip, water guard  and boiling are shown below. A Malawi Govt study also found at national level ‘There are simple, low-cost methods that households can undertake to improve and maintain drinking water quality such as chlorination, filtration and solar disinfection, reducing the risk of contracting diarrhorea by as much as 47%. Still, despite the compelling benefits for personal health, at most only 32% of Malawian households treat their drinking water appropriately’ GoM (2012) Household Water Treatment and Safe Storage in Malawi: A Preliminary Consultative Study. 
Another study shows that knowledge of the methods is very high(64%)  in Malawi, but the practice to use the water purification methods is very low (7%). E.g. 
Lauren J Stockman, Thea K Fischer, Michael Deming, Bagrey Ngwira, Cameron Bowie, Nigel Cunliffe, Joseph Bresee, Robert E Quick (2007) Point-of-use water treatment and use among mothers in Malawi. Emerg Infect Dis 2007 Jul;13(7):1077-80
</t>
  </si>
  <si>
    <t>O: not served</t>
  </si>
  <si>
    <t xml:space="preserve">2009 Kenya Population and Housing Census-Vol VIII Urbanization
-Majidata Webportal: [see this data portal for more detailed analysis of water and sanitation conditions in Nairobi. I strongly recommend it, but note that the analysis is based on a slightly different categorization of water sources and sanitation arrangements. The online portal:  http://majidata.go.ke/county.php?MID=MTE=&amp;SMID=Ng== 
</t>
  </si>
  <si>
    <t>Josiah Gitu-NCWSC billing manager (on water vendors)</t>
  </si>
  <si>
    <t>L.C. 204</t>
  </si>
  <si>
    <t xml:space="preserve">They resort to alternative water sources such as boreholes and wells. At such times, the water vendors come in handy.
-water storage in households is very common across the city. This is a coping mechanism when there are shortages or disruptions in water supply.
</t>
  </si>
  <si>
    <t>NCWSC apply different pricing for informal settlements/slum areas. It is also reported that water resold to Runda residents by Runda Water Ltd is higher (per unit) compared to the customers who are billed directly by the utility company. Similarly, there cases of tenants being charged slightly higher prices (compared to NCWSC tariff structure), per unit, by landlords who own buildings with water connection from the company.</t>
  </si>
  <si>
    <t>In the city, the utility NCWSC charges using the official tariff structure which subsides water for the low-income settlements. However, at the city periphery especially in the neighboring Mavoko urban area [outside the city boundaries], water is charged higher than the Nairobi city area, by the Mavoko service provider which buys bulk water from NCWSC.  [NCWSC Billing Manager]</t>
  </si>
  <si>
    <t>Considered as areas with poor households, NCWSC applies reduced prices (than ordinary domestic/residential connections) for informal settlements/slums by pricing consumption per cubic meter in Water Kiosks as 20, and in a Water ATM dispenser as 25. Ordinary charge for domestic residential is as follows: a flat rate of 204 (on average is 34 per cubic meter-204/6) for 0-6 units; 53 per cubic meter for 7-60 units; and 64 per cubic meter for consumption above 60 units (such domestic consumption of above 60 units per month is in the affluent  neighborhoods)</t>
  </si>
  <si>
    <t xml:space="preserve">Maji Data website: http://majidata.go.ke/wsb.php?MID=MTE=&amp;SMID=NQ== 
A more recent study by World Bank indicated that 54% of Nairobi’s households treat their drinking water-mainly through boiling and bleach/chlorine .water from vendors is considered  unsafe for drinking  by majority of the households who rely on this source of water [Source: World Bank. 2016. Kenya urbanization Review: Nairobi Statistical Abstract. Nairobi: The World Bank]
</t>
  </si>
  <si>
    <t>F: Treatment kit (includes the use of WaterGuard or PUR)</t>
  </si>
  <si>
    <t>F; No Treatment</t>
  </si>
  <si>
    <t>M: all forms of vendors: tanker truck and cart vendor</t>
  </si>
  <si>
    <t>F1</t>
  </si>
  <si>
    <t>F2</t>
  </si>
  <si>
    <t>F3</t>
  </si>
  <si>
    <t>F4 a)</t>
  </si>
  <si>
    <t>F4 b)</t>
  </si>
  <si>
    <t>F5</t>
  </si>
  <si>
    <t>F6</t>
  </si>
  <si>
    <t>F7</t>
  </si>
  <si>
    <t>F8</t>
  </si>
  <si>
    <t>F9</t>
  </si>
  <si>
    <t>F10</t>
  </si>
  <si>
    <t>F11</t>
  </si>
  <si>
    <t>F12</t>
  </si>
  <si>
    <t>F13</t>
  </si>
  <si>
    <t>F14</t>
  </si>
  <si>
    <t>F15 a)</t>
  </si>
  <si>
    <t>F15 b)</t>
  </si>
  <si>
    <t>F16</t>
  </si>
  <si>
    <t>F17</t>
  </si>
  <si>
    <t>F18</t>
  </si>
  <si>
    <t>F19</t>
  </si>
  <si>
    <t>F20</t>
  </si>
  <si>
    <t>F21</t>
  </si>
  <si>
    <t>F22</t>
  </si>
  <si>
    <t>F23</t>
  </si>
  <si>
    <t>F24</t>
  </si>
  <si>
    <t>F25</t>
  </si>
  <si>
    <t>F26</t>
  </si>
  <si>
    <t>F27</t>
  </si>
  <si>
    <t>F28</t>
  </si>
  <si>
    <t>F29</t>
  </si>
  <si>
    <t>F30</t>
  </si>
  <si>
    <t>F31</t>
  </si>
  <si>
    <t>F32</t>
  </si>
  <si>
    <t>F33 a)</t>
  </si>
  <si>
    <t>F33 b)</t>
  </si>
  <si>
    <t>Z1</t>
  </si>
  <si>
    <t>Z2</t>
  </si>
  <si>
    <t>Z3</t>
  </si>
  <si>
    <t>Z4</t>
  </si>
  <si>
    <t>Type of sanitation arrangement (Table 10)</t>
  </si>
  <si>
    <t>Table 10 info source</t>
  </si>
  <si>
    <t>Type of Sanitation facility, construction, and fecal sludge removal (Table 11)</t>
  </si>
  <si>
    <t>Table 11 info source</t>
  </si>
  <si>
    <t>Pit latrines</t>
  </si>
  <si>
    <t>Composting toilets</t>
  </si>
  <si>
    <t xml:space="preserve">Sewage treatment </t>
  </si>
  <si>
    <t xml:space="preserve">Sewage treatment plants: households served, constrcution costs (Table 12) </t>
  </si>
  <si>
    <t>Table 12 info source</t>
  </si>
  <si>
    <t>Sanitation Amendment (March 2018)</t>
  </si>
  <si>
    <t>Sanitation arrangement</t>
  </si>
  <si>
    <t>% of households use […]?</t>
  </si>
  <si>
    <t>Cost to use […] per 1. single use, 2. month, or 3. other?</t>
  </si>
  <si>
    <t>What systems exist for maintaining communal sanitation facilities?</t>
  </si>
  <si>
    <t>What systems exist for maintaining public sanitation facilities?</t>
  </si>
  <si>
    <t xml:space="preserve">Sanitation facilities </t>
  </si>
  <si>
    <t>Cost to construct […]?</t>
  </si>
  <si>
    <t>Cost to connect to city's main sewage system or to empty one time?</t>
  </si>
  <si>
    <t xml:space="preserve">How is fecal sludge typically removed from […]? </t>
  </si>
  <si>
    <t>Is it treated after it is removed from […]?</t>
  </si>
  <si>
    <t>If yes, how it is treated and % is treated</t>
  </si>
  <si>
    <t>If no, where does the fecal sludge go?</t>
  </si>
  <si>
    <t>Materials used to line the walls of the pit latrines in the city</t>
  </si>
  <si>
    <t>Is there a market for the compost?</t>
  </si>
  <si>
    <t>&amp; of households in […] city have access to the conventional sewage system?</t>
  </si>
  <si>
    <t xml:space="preserve">Does […] city have a system for treating sewage? </t>
  </si>
  <si>
    <t xml:space="preserve">Explain the system for treating sewage. </t>
  </si>
  <si>
    <t>Does the city have sewage treatment plants?</t>
  </si>
  <si>
    <t># of sewage treatment plants serving the city</t>
  </si>
  <si>
    <t xml:space="preserve"># of sewage plants currently working </t>
  </si>
  <si>
    <t>Annual budget for the entire sewage treatment system</t>
  </si>
  <si>
    <t>Annual budget for maintenance of the entire sewage treatment system</t>
  </si>
  <si>
    <t>Treatment plant name</t>
  </si>
  <si>
    <t>Year […] plant was built?</t>
  </si>
  <si>
    <t xml:space="preserve">Cost of building […] plant? </t>
  </si>
  <si>
    <t>Construction cost of […] plant financed?</t>
  </si>
  <si>
    <t>Total annual budget for […] plant?</t>
  </si>
  <si>
    <t>Total annual budget for maintenance for […] plant?</t>
  </si>
  <si>
    <t>main utility's household rate of connection</t>
  </si>
  <si>
    <t>Table 13: City STPs Clarification</t>
  </si>
  <si>
    <t>type of STP in the city</t>
  </si>
  <si>
    <t>functionality</t>
  </si>
  <si>
    <t>describe the treatment process</t>
  </si>
  <si>
    <t>does city STP accept sludge from septic tanks?</t>
  </si>
  <si>
    <t>does city STP accept sludge from pit latrines?</t>
  </si>
  <si>
    <t xml:space="preserve">99.7%
</t>
  </si>
  <si>
    <t>INE website</t>
  </si>
  <si>
    <t xml:space="preserve">Bs 550,000 </t>
  </si>
  <si>
    <t>INE website: INE  Instituto Nacional de Estadística</t>
  </si>
  <si>
    <t>no system</t>
  </si>
  <si>
    <t xml:space="preserve">N/A, utility does not have this indicator. </t>
  </si>
  <si>
    <t>0 WWTP</t>
  </si>
  <si>
    <t>E: No facilities</t>
  </si>
  <si>
    <t>Bs. 50 000 000</t>
  </si>
  <si>
    <t>bs. 10 000 000</t>
  </si>
  <si>
    <t>manual, pump-out</t>
  </si>
  <si>
    <t>0 FSTP</t>
  </si>
  <si>
    <t>0 Connected Plants</t>
  </si>
  <si>
    <t>K: Flush / pour-flush discharging directly to streams</t>
  </si>
  <si>
    <t>6. directly flushed to stream</t>
  </si>
  <si>
    <t>No data</t>
  </si>
  <si>
    <t>Dr.. Enrique Gonzalias M. Environmental Regulator at National Water Authority</t>
  </si>
  <si>
    <t>The fecal sludge from the sewer is transported to a waste water treatment plant called Alba Rancho. This treatment plant process the effluent. However, just 60% of the total fecal sludge produced in Cochabamba is treated at Alba Rancho, the additional 40% is disposed to natural water bodies. This due to the limited infrastructure to transport and treat the fecal sludge. The natural body is the Rocha River, this river cross the city of Cochabamba</t>
  </si>
  <si>
    <t>It is a waste treatment plant composed by 2 series of lagoons. From an anaerobic lagoon to an oxidation lagoon</t>
  </si>
  <si>
    <t xml:space="preserve">BOB$ 7,198,916.99 </t>
  </si>
  <si>
    <t xml:space="preserve">BOB$ 4,769,838.98  </t>
  </si>
  <si>
    <t>Alba Rancho</t>
  </si>
  <si>
    <t>BOB$ 7,198,916.99</t>
  </si>
  <si>
    <t>BOB$ 4,769,838.98</t>
  </si>
  <si>
    <t xml:space="preserve">Annual Budget Report 2017. </t>
  </si>
  <si>
    <t xml:space="preserve">100 % of households connected to the municipal sewage system compared to the number offered a connection. </t>
  </si>
  <si>
    <t>1 WWTP</t>
  </si>
  <si>
    <t>2. moderate</t>
  </si>
  <si>
    <t xml:space="preserve">The system is composed by 5 ‘oxidation’ lagoons. The first is an anaerobic lagoon, the next 2 are facultative lagoons and the last lagoon is a oxygenation lagoon. </t>
  </si>
  <si>
    <t>1. yes</t>
  </si>
  <si>
    <t>The fecal sludge is transported to the Alba Rancho Water Treatment Plant in which the water utility treat the sludge. There is no data available on the coverage of Fecal sludge collected and threated.</t>
  </si>
  <si>
    <t>snis- RJ Data Warehouse Table 2971_general characteristics of households_mrj_2010</t>
  </si>
  <si>
    <t>Paulo Afonso e Tatiana Mattos</t>
  </si>
  <si>
    <t>Usually paid by the community itself or collective grouping in an equal distribution of costs.</t>
  </si>
  <si>
    <t>Rates paid by users. Grants are only available for new sanitation works.</t>
  </si>
  <si>
    <t>Treatment in the STS of the municipality</t>
  </si>
  <si>
    <t>4: STS</t>
  </si>
  <si>
    <t>IBGE - SNIS, Website city hall data warehouse, Http://portalgeo.rio.rj.gov.br/bairroscariocas/index_cidade.htm</t>
  </si>
  <si>
    <t>Paulo Afonso - Tatiana Mattos</t>
  </si>
  <si>
    <t>Conventional centralized system with biological treatment in several STS of the municipality. There is no unified treatment and sewage collection system. There are several systems isolated, licensed by the efficiency of the system with several models such as activated sludge, submarine emissary, UASB, oxidation ditch, among others.</t>
  </si>
  <si>
    <t>148 million</t>
  </si>
  <si>
    <t>A. STS Alegria</t>
  </si>
  <si>
    <t>Yr 2001</t>
  </si>
  <si>
    <t>BIRD and JICA financing</t>
  </si>
  <si>
    <t>L.C. 250,000</t>
  </si>
  <si>
    <t>L.C. 500,000</t>
  </si>
  <si>
    <t xml:space="preserve">Website CEDAE, website PSAM and website Grupo Foz </t>
  </si>
  <si>
    <t>Paulo Afonso and Tatiana Mattos</t>
  </si>
  <si>
    <t xml:space="preserve"> 100% and all households that are offered service connect, because the demand is high (as many areas are not connected) and CADAE’s infrastructure is very limited. 
Gustavo will find estimate from utility staff, but it is likely that there is no official figure from the utility on this. Will also see if Foz Aguas 5 has specific information as well. Foz Aguas 5 uses the infrastructure of CADAE so it likely does not vary much. 
</t>
  </si>
  <si>
    <t>24 WWTP</t>
  </si>
  <si>
    <t>21 are high, 3 are moderate</t>
  </si>
  <si>
    <t>Deodoro and Alegria, biggest 2, receive fecal sludge.High functionality 
All other 22 big wastewater treatments don´t receive fecal sludge. 3 of them have moderate functionality. 
Biological Treatment - Activated sludge (20):
Alegria, Acari, Ilha do Governador, Pavuna, Deodoro, Areal, Coqueiros, Ana Gonzaga, Nova Cidade, Nova Sepetiba V, Pedra de Guaratiba, São Fernando, Sepetiba, Vila Carioca, Vila Catiri, Vila do Céu, Vila Kennedy, Estrela Dalva, Vila Nova Sepetiba, Vila João Lopes; 
Underwater Emissary (2): Barra and Ipanema
Biological treatment - Anaerobic treatment (1): Pirai
Biological treatment - rotary biological percolator (1): Penha</t>
  </si>
  <si>
    <t>1. yes for the 2 biggest platns. 2. No for the other 22. Sludge is sent to the 2 big plants</t>
  </si>
  <si>
    <t>E: public sector, not specified what exactly. Combination of public and communal</t>
  </si>
  <si>
    <t>B. STS Barra da Tijuca and Underwater Emissary</t>
  </si>
  <si>
    <t>Yr 2010</t>
  </si>
  <si>
    <t>BIRD financing</t>
  </si>
  <si>
    <t>L.C. 200,000</t>
  </si>
  <si>
    <t>for 10 ppl: L.C. 2,810.91</t>
  </si>
  <si>
    <t>C. Submarine Emissary of Ipanema</t>
  </si>
  <si>
    <t>Yr 1975</t>
  </si>
  <si>
    <t>Federal Government</t>
  </si>
  <si>
    <t>D. STS compacta de Acari</t>
  </si>
  <si>
    <t>K: Flush to river: discard in a unitary system (drainage plus sewage) that is collected and is discard without adequate treatment.</t>
  </si>
  <si>
    <t>6: directly discarded into sea</t>
  </si>
  <si>
    <t>4: sea</t>
  </si>
  <si>
    <t>E. STS Penha</t>
  </si>
  <si>
    <t>1,600 L/s</t>
  </si>
  <si>
    <t>1947, 1970 - enlargement</t>
  </si>
  <si>
    <t>F. STS  Ilha do Governador</t>
  </si>
  <si>
    <t>L.C. 100,000</t>
  </si>
  <si>
    <t>G. STS Pavuna</t>
  </si>
  <si>
    <t>2000, 2005 - enlargement</t>
  </si>
  <si>
    <t>H. STS Deodoro</t>
  </si>
  <si>
    <t>I. STS Areal</t>
  </si>
  <si>
    <t>J. STS Coqueiros</t>
  </si>
  <si>
    <t>K. STS Ana Gonzaga</t>
  </si>
  <si>
    <t>L. STS Nova Cidade</t>
  </si>
  <si>
    <t>M. Nova Sepetiba V</t>
  </si>
  <si>
    <t>N. STS Pedra de Guaratiba</t>
  </si>
  <si>
    <t>O. STS Piaí</t>
  </si>
  <si>
    <t>P. STS São Fernando</t>
  </si>
  <si>
    <t xml:space="preserve">Q. STS Sepetiba </t>
  </si>
  <si>
    <t>R. STS Vila Carioca</t>
  </si>
  <si>
    <t>S. STS Vila Catiri</t>
  </si>
  <si>
    <t>T. STS Vila do Céu</t>
  </si>
  <si>
    <t>U. STS Vila Kennedy</t>
  </si>
  <si>
    <t>V. STS Estrela D’Alva</t>
  </si>
  <si>
    <t>X. STS Vila Nova Sepetiba</t>
  </si>
  <si>
    <t>Z. STS Vila João Lopes</t>
  </si>
  <si>
    <t>IBGE (http://seriesestatisticas.ibge.gov.br/series.aspx?vcodigo=PD271&amp;t=existencia-instalacao-sanitaria-domicilio))</t>
  </si>
  <si>
    <t xml:space="preserve">Some directed to WWTP, mainly based on activated sludge systems. While Sabesp indicates a 75% treatment, the Instituto TrataBrasil indicates 54%. This last reference, from TrataBrasil was based on the SNIS (National Service for Sanitation Information), which processes data given by the water utilitiy its self. Due to such disagreement, diferente methods were considered by TrataBrasil, and they did not presente higher values than 55% is actually treated. (See reference: https://www.saneamentobasico.com.br/real-situacao-tratamento-de-esgotos-no-municipio-de-sao-paulo/).
Therefore I think it is coherent to say around 55% is actually treated, but 65% is sent to treatment. It is a more critical approach to what is presented by the water utility, and has consistente studies behind it.
</t>
  </si>
  <si>
    <t>ISA 2006 (https://www.socioambiental.org/banco_imagens/pdfs/10369.pdf)</t>
  </si>
  <si>
    <t>Otavio Alves Pereira</t>
  </si>
  <si>
    <t>The system used in the 5 main treatment plants attending the city is activated sludge, with preliminar treatment</t>
  </si>
  <si>
    <t>A. ETE Parque Novo Mundo</t>
  </si>
  <si>
    <t>Year 1998</t>
  </si>
  <si>
    <t xml:space="preserve">Sabesp
(http://site.sabesp.com.br/site/imprensa/explicacoes/esgotamento.aspx?secaoId=197)
</t>
  </si>
  <si>
    <t>4 WWTP</t>
  </si>
  <si>
    <t>1. High</t>
  </si>
  <si>
    <t>Preliminary treatment
Primary clarifier
Activated sludge system
Secondary clarifier</t>
  </si>
  <si>
    <t>1. Yes</t>
  </si>
  <si>
    <t>B. ETE São Miguel</t>
  </si>
  <si>
    <t>No official data but relevant backround Source: https://www.tratamentodeagua.com.br/50-mil-casas-sp-esgoto-corregos/
(article based on TrataBrasil data)</t>
  </si>
  <si>
    <t>2, some 1, 4</t>
  </si>
  <si>
    <t>Part directed to WWTP, based on activated sludge systems.</t>
  </si>
  <si>
    <t>3, 4: other non-appropriate spots</t>
  </si>
  <si>
    <t>C. ETE Barueri</t>
  </si>
  <si>
    <t>Year 1988</t>
  </si>
  <si>
    <t>D. ETE Suzano</t>
  </si>
  <si>
    <t>Year 1982</t>
  </si>
  <si>
    <t>E. ETE ABC</t>
  </si>
  <si>
    <t xml:space="preserve">There are very few if any communal sanitation facilities. They are built by the public wastewater company and the maintenance (and other) costs are assumed by the household facility consumers. </t>
  </si>
  <si>
    <t>Public sanitation is maintained by the public wastewater treatment facility. The cost is lumped in with general maintenance costs that the overall consumers pay. The idea being that the company (and most people) believe that everyone has a toilet and the public facilities are just for emergency or when they are out of the house.</t>
  </si>
  <si>
    <t>L.C. 680000</t>
  </si>
  <si>
    <t xml:space="preserve">86.9%: Advanced primary system in the wastewater plant, 47 % of the COD is removed. </t>
  </si>
  <si>
    <r>
      <rPr>
        <sz val="9"/>
        <color indexed="8"/>
        <rFont val="Calibri"/>
      </rPr>
      <t>www.emcali.com.co, Cali en Cifras, DAGMA</t>
    </r>
  </si>
  <si>
    <t xml:space="preserve">Fecal sludge is treated in a bioreactor to produce biogas and compost. The biogas is used to create the energy that runs 95% of the wastewater treatment plant. </t>
  </si>
  <si>
    <t>2.8 Billion COP per year</t>
  </si>
  <si>
    <t>10% of received tariff</t>
  </si>
  <si>
    <t>Cañaveralejo</t>
  </si>
  <si>
    <t>A credit from the Japanese bank for international cooperation and the national government.</t>
  </si>
  <si>
    <t>2.8 billion COP</t>
  </si>
  <si>
    <r>
      <rPr>
        <sz val="9"/>
        <color indexed="8"/>
        <rFont val="Calibri"/>
      </rPr>
      <t>www.emcali.com.co, ACODAL</t>
    </r>
  </si>
  <si>
    <t>87% (legal connections)</t>
  </si>
  <si>
    <t>It is an advanced primary process with an anaerobic reactor for sludge treatment.</t>
  </si>
  <si>
    <t>E: private sanitation facilities that are not regulated by the wastewater plant company.</t>
  </si>
  <si>
    <t>200+</t>
  </si>
  <si>
    <t xml:space="preserve">Source: www.emcali.com.co
</t>
  </si>
  <si>
    <t>E: Pit latrines with no maintenance</t>
  </si>
  <si>
    <t xml:space="preserve">N/A, no longer built and few remaining are very old. </t>
  </si>
  <si>
    <t xml:space="preserve">National Census 2011 – Household Amenities table 14
http://bbmp.gov.in/documents/10180/570011/Internet+Publishing+Existing+Toilets.pdf/396a9abb-7196-4b53-b6bd-9fcf18b87916
</t>
  </si>
  <si>
    <t xml:space="preserve">Pay and use systems exist. Some of them are maintained by the authority (Water utility, Municipal corporation etc) that built it. </t>
  </si>
  <si>
    <t xml:space="preserve">Partially Treated at the STP. </t>
  </si>
  <si>
    <t>National Census 2011 – Household Amenities table 14</t>
  </si>
  <si>
    <t xml:space="preserve">Sludge from vacuum trucks has to be disposed in designated Sewage Treatment Plants or on identified lands. But the system is inefficient due to lack of enforcement.  Primary treatment, secondary (aeration tanks), sludge digesting and drying at 2 tertiary plants. </t>
  </si>
  <si>
    <t>INR 8930.4 (in millions) (2016-2017)</t>
  </si>
  <si>
    <t>INR 541.5 (in millions) (2016-17)</t>
  </si>
  <si>
    <t>Vrishabhavathi Valley</t>
  </si>
  <si>
    <t>BWSSB</t>
  </si>
  <si>
    <t xml:space="preserve">This figure was not readily available with the official at BWSSB; and a little difficult to estimate as well, as you’ll see below. As per 2011 Census data available with us, the rough estimate is a household connection rate of 95% for households in the core area, and 90% in CMC (City Municipal Corporation) areas. However, these are all estimates based on BWSSB’s public information and census data, not an official figure from the utility. 
o Source: Informant Source: Mr Rajiv K. N. (Executive Engg. BWSSB office, Jayanagar)
</t>
  </si>
  <si>
    <t xml:space="preserve">Secondary treatment. 
BOD &lt; 20
COD &lt; 50
</t>
  </si>
  <si>
    <t xml:space="preserve">2. No
Private ‘honeysucker’ services dump it on city outskirts, possibly sell it as manure. BWSSB official does not know for sure. </t>
  </si>
  <si>
    <t>INR 2 for urinals, INR 5 for toilets and INR 10 for baths.</t>
  </si>
  <si>
    <t>1, 2, 4: via 'honeysucker' - to farms, abandoned, streams/lake</t>
  </si>
  <si>
    <t>K &amp; C Valley</t>
  </si>
  <si>
    <t>Hebbal Valley</t>
  </si>
  <si>
    <t>2. Moderate</t>
  </si>
  <si>
    <t xml:space="preserve">Digested fecal sludge is used as manure.
From the 2 StE plants is used to produce energy. 
</t>
  </si>
  <si>
    <t>0; does not get emptied</t>
  </si>
  <si>
    <t>Madivala</t>
  </si>
  <si>
    <t>https://bwssb.gov.in/content/sewage-treatment</t>
  </si>
  <si>
    <t>Kempambudhi</t>
  </si>
  <si>
    <t xml:space="preserve">BWSSB doesn’t provide any information on number of households that are served by a single STP. However it provides the capacity of the STPs. Following link has all the active STPs. Please note that these are their capacities and they may not necessarily run full capacity every day.
http://bwssb.gov.in/bwssbuat/content/about-bwssb-2
</t>
  </si>
  <si>
    <t>Yelahanka</t>
  </si>
  <si>
    <t>Mylasandra</t>
  </si>
  <si>
    <t>Nagasandra</t>
  </si>
  <si>
    <t>Jakkur</t>
  </si>
  <si>
    <t>K. R. Puram</t>
  </si>
  <si>
    <t>Kadabeesanahalli</t>
  </si>
  <si>
    <t>Rajacanal</t>
  </si>
  <si>
    <t>Cubbon Park</t>
  </si>
  <si>
    <t>Lalbagh</t>
  </si>
  <si>
    <t>Anand Jagtap (The above data is estimated. No one knows the exact figures as no such survey was conducted city wide)</t>
  </si>
  <si>
    <t xml:space="preserve">When the toilet blocks are handed over to the community, a community based organization (CBO) is formed. The process of formation of CBO is facilitated by the municipality. The community users pay for the maintenance to the CBO and CBO is responsible for maintenance.    </t>
  </si>
  <si>
    <r>
      <rPr>
        <sz val="9"/>
        <color indexed="8"/>
        <rFont val="Calibri"/>
      </rPr>
      <t xml:space="preserve">The public sanitation blocks are operated and maintained by private organizations (e.g. </t>
    </r>
    <r>
      <rPr>
        <u val="single"/>
        <sz val="9"/>
        <color indexed="8"/>
        <rFont val="Calibri"/>
      </rPr>
      <t>Sulabh International). The private organization collects the user fee from the users and it is responsible for maintenance.</t>
    </r>
  </si>
  <si>
    <t xml:space="preserve">A </t>
  </si>
  <si>
    <t>L.C. 8000</t>
  </si>
  <si>
    <t>(See STP section)</t>
  </si>
  <si>
    <t>Anand Jagtap</t>
  </si>
  <si>
    <t>5: Old plastic and metal sheets, jute, old clothing</t>
  </si>
  <si>
    <t>54-57</t>
  </si>
  <si>
    <t>Sewage Treatment Plant: All STPs have arrangement for preliminary treatment including screening and grit removal. Some STPs have aerated lagoons for treatment and some have an arrangement of marine outfall.</t>
  </si>
  <si>
    <t xml:space="preserve">L.C. Revenue: 14,867,846,000.00 Expenditure: 2,242,835,000.00 
  per year (for financial year 2014-15)
</t>
  </si>
  <si>
    <t>L.C. 785,035,000 per year for entire sewage operation</t>
  </si>
  <si>
    <t>A. Colaba (101 MLD) (Million liters per day)</t>
  </si>
  <si>
    <t>Yr Old</t>
  </si>
  <si>
    <t>1. Mr. Khandare, MCGM; 2. Mumbai Sewerage Disposal Project http://www.mcgm.gov.in</t>
  </si>
  <si>
    <t>12 WWTP</t>
  </si>
  <si>
    <t>high</t>
  </si>
  <si>
    <t>Preliminary treatment systems, grit chamber removal, marine outfalls; aerated lagoons; a few recycle reuse plants that use Rotating Media Biological Reactor (RMBR) and aerobic processes, water is treated for reuse; Soil Biotechnology</t>
  </si>
  <si>
    <t>yes for 6</t>
  </si>
  <si>
    <t>B. Worli (1800 MLD)</t>
  </si>
  <si>
    <t>Yr 1991</t>
  </si>
  <si>
    <t xml:space="preserve">Source: 
a. Mr. Shirsat (E.E. Dept.Sewerage Operations Dept. MCGM) &amp; Mr.Burke (A.E. Dept.Sewerage Operations Dept. MCGM)
b. Mr.Jayesh Engineer (D.C.E. Dept.Sewerage Project – Planning &amp; Design Dept., MCGM) 
c. .Chorge (Versova WWTP Operator) 
d. Mr. Jadhav (Colaba WWTP Operator)
e. Mr.Bipin (Bandra WWTP Operator)
f. Bhandup WWTP Operator
g. Mr.Parkale (A.E. Dept. Transport)
h. Mr.Yamagar (C.E. Dept.Sewerage Operations) 
i. Mr. Agashe (A.E. Dept. Sewerage Project)
j. Mr.Kulkarni (E.E. Dept. Sewerage Operations)  
k. Documents available on the Departmental (Sewerage Operations, Sewerage Projects, Mumbai Sewage Disposal Project) pages on the MCGM website. www.mcgm.gov.in
(Note: Few informants didn’t want to be named, although I have noted all persons I have spoken to for the study)
</t>
  </si>
  <si>
    <t>33</t>
  </si>
  <si>
    <t>L.C. 50-200 per month</t>
  </si>
  <si>
    <t>1, 3, 4: openly</t>
  </si>
  <si>
    <t>C. Bandra (1900 MLD)</t>
  </si>
  <si>
    <t>Yr 2003</t>
  </si>
  <si>
    <t>Financially supported by World Bank</t>
  </si>
  <si>
    <t>L.C. 2-5 for single use</t>
  </si>
  <si>
    <t>D. Versova (300 MLD) + aerated lagoons with capacity 180 MLD</t>
  </si>
  <si>
    <t>E. Malad (530 MLD)</t>
  </si>
  <si>
    <t>0</t>
  </si>
  <si>
    <t>F. Bhandup (370 MLD) + aerated lagoons</t>
  </si>
  <si>
    <t>10</t>
  </si>
  <si>
    <t>G. Ghatkopar (550 MLD) + aerated lagoons : Combined capacity of lagoons of Bhandup and Ghatkopar (F and G) is 620 MLD</t>
  </si>
  <si>
    <t>K: pour to open drain</t>
  </si>
  <si>
    <t xml:space="preserve">6: directly into open drain </t>
  </si>
  <si>
    <t>4: Nearby open drain to sea</t>
  </si>
  <si>
    <t>DraftCSPPune_CSP.pdf</t>
  </si>
  <si>
    <t>In the areas where communal sanitation facilities are there, cost of maintenance and responsibility is held by the community members. Generally, INR 30-50/- per month is collected for each person per family for cleaning and maintenance of the facility.</t>
  </si>
  <si>
    <t xml:space="preserve">In Public urinals and toilets, fees of INR 1-5/- is charged for per usage per person. Sometimes the maintenance of these public toilets is outsourced and based on the contracts. Some Public sanitation facilities are operated by BOT (Build, Operate, Transfer) Principle in PPP (Public-Private Partnership) Model </t>
  </si>
  <si>
    <t>INR 18,000-30,000</t>
  </si>
  <si>
    <t>L.C.) Cost included in the construction of the toilet</t>
  </si>
  <si>
    <t>Treated in STPs nearby via different Treatment methods. The total quantity of sewage collected at STPs is bound to go under treatment. However, 29-30% of that overall quantity is drained in the river without treatment due to peak loads and inefficient STPs. Moreover, exact % of treated and untreated sewage is not available.</t>
  </si>
  <si>
    <t>5. Other, specify: Bricks</t>
  </si>
  <si>
    <t xml:space="preserve">Activated Sludge Process 
Modified Activated Sludge Process
Biotech with extended Aeration
Extend Aeration Process
Sequential Batch Reactor Process
</t>
  </si>
  <si>
    <t>(L.C.) INR 1.5- 2 Billion per year</t>
  </si>
  <si>
    <t>(L.C.) INR 8 Million per year (40% of the budget)</t>
  </si>
  <si>
    <t>A.  Bhairoba</t>
  </si>
  <si>
    <t xml:space="preserve">Mr. V.G.Kulkarni
(PMC official, Chief engineer, Water department)
</t>
  </si>
  <si>
    <t xml:space="preserve">L.C. INR 30-50/-. per Month
</t>
  </si>
  <si>
    <t>INR 15,000- 25,000</t>
  </si>
  <si>
    <t>6. Connected with sewage drainage system</t>
  </si>
  <si>
    <t>B.	Erandwane</t>
  </si>
  <si>
    <t>L.C. INR 50-100/- per month</t>
  </si>
  <si>
    <t>C.	Tanajiwadi</t>
  </si>
  <si>
    <t>D.	Bopodi</t>
  </si>
  <si>
    <t>E.	Naidu (Old)</t>
  </si>
  <si>
    <t>F.	Mundhawa</t>
  </si>
  <si>
    <t>G. Vitthalwadi</t>
  </si>
  <si>
    <t>H. Naidu (new)</t>
  </si>
  <si>
    <t>I. Baner</t>
  </si>
  <si>
    <t>Department of Census and statistics, 2011</t>
  </si>
  <si>
    <t>Eng. S.P.C. Illukkumbura</t>
  </si>
  <si>
    <t>The Colombo Municipal Council is incharge of maintaining public/ communal toilet facilities. The maintenance of the toilet is managed by the department of maintenance and the drainage department looks in to leakages of pipes, blockages etc. There is no charge for the users but the tax money collected from the city dwellers are allocated for this purpose.</t>
  </si>
  <si>
    <t>4: Sea Outfall through the sewerage system</t>
  </si>
  <si>
    <t>DIRECTOR ENGINEERING (WATER SUPPLY &amp; DRAINAGE), Colombo Municipal Council</t>
  </si>
  <si>
    <t xml:space="preserve">1. Drums </t>
  </si>
  <si>
    <t>There is no treatment done.</t>
  </si>
  <si>
    <t>L.C. 0</t>
  </si>
  <si>
    <t>L.C. 10  1. Single use ( Paid to a private company for cleaning )</t>
  </si>
  <si>
    <t xml:space="preserve">K: no data </t>
  </si>
  <si>
    <t>L: Informal Drain</t>
  </si>
  <si>
    <t xml:space="preserve">Key informants and Secondary Sources data  
1. Slum Census, BBS, 2014 
2. Analysis of factors affecting the usage, operation and maintenance of community latrines, WSUP, 2013 </t>
  </si>
  <si>
    <t xml:space="preserve">User;s committee appoints one caretaker, who collect monthly fees for regular cleaning of the latrines. For emptying septic tanks they call WASA lorry to take away the sludge at cost of 5,000 to 10,000 depending on the size of the septic tank. This amount is also contributed by the user families </t>
  </si>
  <si>
    <t xml:space="preserve">The operation and maintenance of public toilet are done by City Corporation but in most cases they faile. Recently few Public Toilets are constructed with Water AId support which are leased out to private sector with charge per use   </t>
  </si>
  <si>
    <t>Partially 1, 2</t>
  </si>
  <si>
    <t xml:space="preserve">Plant has capacity of 120,000 m3/day but operational efficiency at 33%.  
Only about 3% reaches treatment. </t>
  </si>
  <si>
    <t>4: WASA sewage line/ storm water drainage system to rivers/canals</t>
  </si>
  <si>
    <t xml:space="preserve">1.  Financial Analysis and Business Model development on FSM, WSUP, 2015 
2. Fecal Sludge Management: Diagnostics for Service Delivery in Urban Areas: Case Study, WSP-World Bank, 2016 </t>
  </si>
  <si>
    <t xml:space="preserve">Habibur Rahman, WSUP, Dhaka,  
Waliul Islam, World Bank Consultant </t>
  </si>
  <si>
    <t>5 - Reinforced concrete slab and rings</t>
  </si>
  <si>
    <t>Only one Sewerage Treatment Plant for part of the city, only for about 20% HH are connected. Only 3% of the sewage reaching the line are being treated. Rest do not reach due to leakage to water drainage, and nonfunctional pumping stations.  The Sewage treatment is done through Primary Sedimentation Tank and Facultative Lagoon. For the sludge Treatment another Sludge Lagoon (Digestion and Drying) was constructed. The final liquid is disposed to Buriganga River. It may be seen that the STP had the options for primary, secondary and tertiary treatment facilities before it passes to the river. SEE SEPARATE PAGLA STP NOTE FOR MORE DETAILS</t>
  </si>
  <si>
    <t xml:space="preserve">Tk 1,645 Million.  per year </t>
  </si>
  <si>
    <t xml:space="preserve">Tk. 495 million per year </t>
  </si>
  <si>
    <t xml:space="preserve"> Pagla Sewerage Treatment Plant</t>
  </si>
  <si>
    <t>30 %* </t>
  </si>
  <si>
    <t xml:space="preserve">Yr 1968 upgraded in 1977 </t>
  </si>
  <si>
    <t xml:space="preserve">Government fund under Project </t>
  </si>
  <si>
    <t>Tk. 493.5 Million</t>
  </si>
  <si>
    <t xml:space="preserve">L.C.Tk. 164.5 million  </t>
  </si>
  <si>
    <t xml:space="preserve">1. Annual Report 2015-16, DWASA and Bench Mark Data, IB-Net 
2. Fecal Sludge Management: Diagnostics for Service Delivery in Urban Areas: Case Study, WSP-World Bank, 2016 </t>
  </si>
  <si>
    <t xml:space="preserve">Habibur Rahman, WSUP </t>
  </si>
  <si>
    <t xml:space="preserve">Should be close to 100% bc there is more demand than supply but only gave the coverage rate: 18% of the city is covered by municipal sewage. </t>
  </si>
  <si>
    <t xml:space="preserve">1. Manual with Vacutug lorry , 6. directly connected to nearby sewage or drains </t>
  </si>
  <si>
    <t>4: Nearby Drainage, low land or WASA Sewage line (where available) but 97% of them flows  to the rivers/canals</t>
  </si>
  <si>
    <t>Key informants and reportsKey informants and reports</t>
  </si>
  <si>
    <t xml:space="preserve"> Reports, Key Consultation</t>
  </si>
  <si>
    <t xml:space="preserve">Source:
IB-Net Data from Dhaka WASA </t>
  </si>
  <si>
    <t>1 FSTP</t>
  </si>
  <si>
    <t>3. low</t>
  </si>
  <si>
    <t xml:space="preserve">The treatment process in application is basically a
low cost option consisting of 
• grit chamber, 
• primary sedimentation tank, 
• facultative lagoon,
• chlorination system and sludge lagoon. 
The final effluent from the
treatment plant is discharged into the adjacent Buriganga
River. Please see the diagram appended
</t>
  </si>
  <si>
    <t>2. no</t>
  </si>
  <si>
    <t>(About Tk. 50 per month)</t>
  </si>
  <si>
    <t xml:space="preserve">1, 6. Connected direct to drainage </t>
  </si>
  <si>
    <t xml:space="preserve">* It is estimated that only 3% of the sludge reaches to Treatment Plant due to damage sewerage and drainage lines, leakage between them and nonfunctional lift pumps. One point is to note that the drainage system is also chaotic with polyethene, solid wastes, garbage, sludge, etc. Resulting waterlogging in most parts of the city with few hours rains. Difficult to calculate the % of sludge that can really reach to STP. </t>
  </si>
  <si>
    <t>3, 4. nearby drains</t>
  </si>
  <si>
    <t xml:space="preserve"> Tk 20 to Tk. 50 per month as agreed in the users’ committee meeting </t>
  </si>
  <si>
    <t>&lt;--vacutag</t>
  </si>
  <si>
    <t>Nill</t>
  </si>
  <si>
    <t>K. Informal Drain</t>
  </si>
  <si>
    <t>Mr Salim Alimudding, Director Orangi Pilot Project, Karachi</t>
  </si>
  <si>
    <t>Such processes are communally managed. In some neighbourhoods, support organizations such as Orangi Pilot Project provide technical guidance while the labour and capital cost is borne by the area residents themselves.</t>
  </si>
  <si>
    <t>The KWSB manages the maintenance, whenever done through its own resources or through financial assistance received from provincial or federal governments. The international financial institutions such as Asian Development Bank and World Bank also contributed to projects for development and maintenance of sewerage system in the past.</t>
  </si>
  <si>
    <t>1, 4: sea</t>
  </si>
  <si>
    <t>Community activists in Orangi and Baldia, staff of Orangi Pilot Project and Director of Urban Resource Centre, Karachi</t>
  </si>
  <si>
    <t>None work</t>
  </si>
  <si>
    <t>Rs. 400 million</t>
  </si>
  <si>
    <t>Rs 40 million</t>
  </si>
  <si>
    <t>A. Treatment Plant 1, SITE area</t>
  </si>
  <si>
    <t>Not functioning since 2013</t>
  </si>
  <si>
    <t>By government funding, extension financed by ADB</t>
  </si>
  <si>
    <t>Rs. 7.458 Million</t>
  </si>
  <si>
    <t>Rs 4.7 Million</t>
  </si>
  <si>
    <t>www.supremecourt.gov.pk; www.kwsb.gos.pk: From the verdict of the Supreme Court of Pakistan dated March 16, 2017 and further verification from KWSB staff</t>
  </si>
  <si>
    <t xml:space="preserve">Mr Mohammad Shakeel Qureshi, Superintending Engineer, </t>
  </si>
  <si>
    <t>3 WWTP</t>
  </si>
  <si>
    <t>3. Low</t>
  </si>
  <si>
    <t>Refer to Table 12</t>
  </si>
  <si>
    <t xml:space="preserve">2. No
Rivers: Malir or Lyari </t>
  </si>
  <si>
    <t>B.Treatment Plant 2, Mahmoodabad</t>
  </si>
  <si>
    <t>Not functioning since 2009</t>
  </si>
  <si>
    <t>Rs. 0.815 Million</t>
  </si>
  <si>
    <t>Rs. 0.62 Million</t>
  </si>
  <si>
    <t>Source:
World Bank (2018) Transforming Karachi into a Liveable and Competitive Mega City; Washington, The World Bank Group</t>
  </si>
  <si>
    <t>C.Treatment Plant 3, Mauripur</t>
  </si>
  <si>
    <t>Rs 1 billion</t>
  </si>
  <si>
    <t>By government funding</t>
  </si>
  <si>
    <t>Rs. 7.32 Million</t>
  </si>
  <si>
    <t>Rs. 6 Million</t>
  </si>
  <si>
    <t>(None of these sewage treatment plants are working, yet they still receive an annual budget. Since the regulatory checks are almost non-existing, the untreated water is led into the sea without any restraint. The staff unions are reasonably strong to press for obtaining the budgets for their salaries and other expenditures. Thus the utility spends these funds without any benefit to the city sanitation situation.)</t>
  </si>
  <si>
    <t>K: Informal drain (pipe not laid by KWSB)</t>
  </si>
  <si>
    <t xml:space="preserve">1. Najib Bateganya (KCCA)
2. Waisswa Kakaire (ACTogether)
</t>
  </si>
  <si>
    <t>Facilities are either assigned a caretaker alone, or a caretaker working with a management committee</t>
  </si>
  <si>
    <t>Private operators are sub-contracted by KCCA to manage the facilities</t>
  </si>
  <si>
    <t>&lt;10</t>
  </si>
  <si>
    <t>1.3 million UGX (2-stance)</t>
  </si>
  <si>
    <t>100% at treatment plant</t>
  </si>
  <si>
    <t>1. Eria Serwajja (NWSC)
2. Ahabwe Gerald (NWSC)
3. Najib Bateganya (KCCA)
4. Waisswa Kakaire (ACTogether)
5. Kasujja Hellen (CIDI)</t>
  </si>
  <si>
    <t>5. Other, specify: (Masonry with bricks and mortar or reinforced concrete)</t>
  </si>
  <si>
    <t>&lt;10%</t>
  </si>
  <si>
    <t xml:space="preserve">a. Conventional Sewage Treatment Works - CSTW (Involving primary sewage treatment, secondary sewage purification and sludge treatment)
b. Sewage Stabilisation Ponds (SSP)
</t>
  </si>
  <si>
    <t>A. Bugolobi Sewage Treatment Plant</t>
  </si>
  <si>
    <t>No accessible data</t>
  </si>
  <si>
    <t>56 Million UGX</t>
  </si>
  <si>
    <t>20 billion UGX</t>
  </si>
  <si>
    <t xml:space="preserve">Integrated Annual Report – 2016 (NWSC)
Annual Activity Report – 2012/2013 (NWSC)
Management of Sewage in Urban Areas by NWSC – 2015 (Auditor General’s Report)
</t>
  </si>
  <si>
    <t xml:space="preserve">1. Serwajja Eria
2. Ahabwe Gerald
3. Najib Bateganya
4. Waisswa Kakaire
5. Kasujja Hellen
</t>
  </si>
  <si>
    <t xml:space="preserve">I do not think this is connectivity rate. 9% sewer coverage rate….  </t>
  </si>
  <si>
    <t>2 WWTP</t>
  </si>
  <si>
    <t>Collection, screening, settlement tanks, aeration tanks and outfall tanks</t>
  </si>
  <si>
    <t>2. No
local processing for soil conditioner</t>
  </si>
  <si>
    <t>shared cost of emptying approx 40,000 each</t>
  </si>
  <si>
    <t>12 Million UGX (4-stance toilet block)</t>
  </si>
  <si>
    <t>40% treatment plant</t>
  </si>
  <si>
    <t>3. (remaining 60%)</t>
  </si>
  <si>
    <t>B. Lubigi Sewage Treatment Plant</t>
  </si>
  <si>
    <t>Under construction</t>
  </si>
  <si>
    <t>15 Million Euros</t>
  </si>
  <si>
    <t>European Union – Africa Infrastructure Trust Fund (EU-ITF), European Investment Bank (EIB), KfW Bankengruppe, African Development Bank (AfDB) and Government of Uganda (GoU)</t>
  </si>
  <si>
    <t>120 billion UGX</t>
  </si>
  <si>
    <t>45 billion UGX</t>
  </si>
  <si>
    <t xml:space="preserve">Source: NWSC interviews and estimate as there is no recent survey 
</t>
  </si>
  <si>
    <t>2  FSTP</t>
  </si>
  <si>
    <t>100 UGX per visit (1. single  use)</t>
  </si>
  <si>
    <t>15 Million UGX (4-stance toilet block)</t>
  </si>
  <si>
    <t>2. (remaining 60%)</t>
  </si>
  <si>
    <t xml:space="preserve">200 UGX per visit 
1. Single use (session-based), 
</t>
  </si>
  <si>
    <t>4-stance: 5.3million UGX</t>
  </si>
  <si>
    <t xml:space="preserve">L.C. 35,000 UGX per 200m3 </t>
  </si>
  <si>
    <t>20% treatment plant</t>
  </si>
  <si>
    <t>5 Million UGX (4-stance toilet block)</t>
  </si>
  <si>
    <t>2, 4, 5</t>
  </si>
  <si>
    <t>5% treatment plant</t>
  </si>
  <si>
    <t>4. nearby drainage system</t>
  </si>
  <si>
    <t xml:space="preserve">10 Million UGX </t>
  </si>
  <si>
    <t>For shared sanitation facility (privately managed and shared between more than one household) maintenance and cost of evacuation of septic tanks is shared by households.</t>
  </si>
  <si>
    <t>Provisions exist in the state budget for this and does not involve the user at all but a user-fee is planned for the future</t>
  </si>
  <si>
    <t>Septage haulage trucks are allocated to the six catchments within the city with colour code per catchment. All the collection points can only achieve primary treatment i.e. 45% - 55% removal of pollutants. Secondary and tertiary treatment is not done. 
The septage collection points are usually located close to water bodies and the supernatant from primary treatment is allowed to flow into the receiving water body while the sludge is dried in the drying bed, bagged and removed by solid waste collectors.</t>
  </si>
  <si>
    <t>Lagos State Household Survey 2013 (Q.8)
Plumbers estimate (Q.9)</t>
  </si>
  <si>
    <t>Mr Ayodeji Awolesi (Q. 11-13)</t>
  </si>
  <si>
    <t>5. Other: Concrete</t>
  </si>
  <si>
    <t>The household contacts the septic truck operator and pays for the evacuation service (N10,000 – N20,000) per evacuation depending on the distance and location of the septic tank. The truck operator discharges the sewage at the accredited septage receiving point within the city. The septage is then processed by the removal of particles and debris. The coagulant/flocculants is added to sediment the suspended solid to produce a clear supernatant. The supernatant is allowed to flow into the receiving water body while the sludge is dried in the drying bed, bagged and removed by solid waste collectors and directly dumped at designated sites.</t>
  </si>
  <si>
    <t>420+</t>
  </si>
  <si>
    <t>NGN 2,374,946,262</t>
  </si>
  <si>
    <t>NGN 26,000,000</t>
  </si>
  <si>
    <t>Table 12: Because of the nature of existing sewage facilities in the city (very many and different ownership) it is difficult to get the information requested for. Nevertheless, I did submit the request to the designated authority- Lagos State Waste Management Office and the Ministry of Economic Planning and Budget-Lagos Bureau of Statistics but no feedback yet.</t>
  </si>
  <si>
    <t>extended aeration (activated sludge) WWTP</t>
  </si>
  <si>
    <t>2. goes to Septage Treatment plant</t>
  </si>
  <si>
    <t>Source: Lagos Wastewater Management Office</t>
  </si>
  <si>
    <t>source: Lagos State Wastewater Management Office, Public Facility Management Unit</t>
  </si>
  <si>
    <t>5 FSTP</t>
  </si>
  <si>
    <t>Pre-treatment only</t>
  </si>
  <si>
    <t>21 Co-located?</t>
  </si>
  <si>
    <t>0, not emptied</t>
  </si>
  <si>
    <t>6. abolished in lagos</t>
  </si>
  <si>
    <t>Only publicly managed</t>
  </si>
  <si>
    <t>0, directly into water</t>
  </si>
  <si>
    <t>6. directly into lagoon</t>
  </si>
  <si>
    <t>K. Other: Flush/pour to pit</t>
  </si>
  <si>
    <t>same as above (B-E), but what is not treated goes into soil</t>
  </si>
  <si>
    <t>4: soil</t>
  </si>
  <si>
    <t>L. Other: Flush/pour to street, yard, ditch</t>
  </si>
  <si>
    <t>0, directly into street</t>
  </si>
  <si>
    <t>6. directly into street</t>
  </si>
  <si>
    <t>4. soil/water</t>
  </si>
  <si>
    <t>Water and Sanitation Program and the Municipality of Maputo, (2014). Caracterização do Saneamento em Maputo Report.</t>
  </si>
  <si>
    <t>Odete Muxímpua –Water and Sanitation Specialist - The World Bank Group</t>
  </si>
  <si>
    <t>&lt;--PER SQ METER</t>
  </si>
  <si>
    <t>The majority is sent to a wastewater treatment plant but the quality of treatment is very poor.</t>
  </si>
  <si>
    <t xml:space="preserve">• Odete Muxímpua –Water and Sanitation Specialist - The World Bank Group
• Análio Tembe, Head of Sanitation at the Municipality Drainage Office
</t>
  </si>
  <si>
    <t>No latrines on the urban area.</t>
  </si>
  <si>
    <t xml:space="preserve">There is no composting toilets on the urban area.   </t>
  </si>
  <si>
    <t>Suction trucks empty the household’s septic tanks and dump it into the sewage treatment plants that consists in 4 stabilization ponds (2 anaerobic and 2 facultative). It works very inefficiently, at the end it discharges to the ocean.</t>
  </si>
  <si>
    <t>MZM 10,000,000.00</t>
  </si>
  <si>
    <t>MZM 0</t>
  </si>
  <si>
    <t>Infulene Wastewater Treatement Plant</t>
  </si>
  <si>
    <t>Yr Between 1984 and 1986</t>
  </si>
  <si>
    <t>MZM $ 200,000.00</t>
  </si>
  <si>
    <t>Through a project financed by the Ducth and Mozambican Governments</t>
  </si>
  <si>
    <t>L.C. MZM 00.00</t>
  </si>
  <si>
    <t>• Respeito, C.V, (2014). Importância de uma estação de tratamento de águas residuais moderna para a conservação e manutenção do meio ambiente: Caso da Cidade de Maputo (Vale do Infulene).</t>
  </si>
  <si>
    <t>• Análio Tembe, Head of Sanitation at the Municipality Drainage Office.</t>
  </si>
  <si>
    <t>Same treatment plant for treatment plant and sludge management; 
Consist on four stabilization ponds, under the responsibility of the Municipality, 
however it is performing ineffectively, lacking monitoring and maintenance</t>
  </si>
  <si>
    <t>small tech: $70.25; manual: $25.09; vacuum truck: $302.57</t>
  </si>
  <si>
    <t>small tech: $23; manual: $8; vacuum truck: $97</t>
  </si>
  <si>
    <t xml:space="preserve">“only 3% of the total sludge and sewage produced actually passes through the treatment plant, whilst more than 50% contaminates backyards, the drainage system and Maputo Bay”
</t>
  </si>
  <si>
    <t>Sources:
Water Regulatory Council Annual Report
Odete Muximpua – Water and Sanitation Specialist World Bank
P Hawkins, O Muxímpua, Developing business models for fecal sludge management in Maputo, 2015</t>
  </si>
  <si>
    <t>small tech: $70.25; manual: $25.09</t>
  </si>
  <si>
    <t>small tech: $23; manual: $8</t>
  </si>
  <si>
    <t>K: Sanitary block/shared latrines</t>
  </si>
  <si>
    <t xml:space="preserve">Water and sanitation in urban Malawi: Can the Millennium Development Goals be met?  
A study of informal settlements in three cities , London: I can estimate up to 51.5% sharing toilets. But this is based on study of 3 settlements </t>
  </si>
  <si>
    <t xml:space="preserve">There are no community managed facilities. However, there are facilities shared by households that are managed by the land lord. </t>
  </si>
  <si>
    <t>Users fees, collected meet the cost of maintaining public sanitation facilities. Most of public sanitation facilities in the city are owned by the Municipal Council with a few privately owned. The Council has outsourced most of them to private operators. The private operators change user fees, part of which is used for maintenance. The same applies to private operators, they apply user fees on maintenance.</t>
  </si>
  <si>
    <t>L.C. 18000</t>
  </si>
  <si>
    <t>The feacal sludge is left to dry and is harvested as compost manure</t>
  </si>
  <si>
    <r>
      <rPr>
        <sz val="9"/>
        <color indexed="8"/>
        <rFont val="Arial"/>
      </rPr>
      <t xml:space="preserve">National Statistical Office. 2010. </t>
    </r>
    <r>
      <rPr>
        <i val="1"/>
        <sz val="12"/>
        <color indexed="8"/>
        <rFont val="Times New Roman"/>
      </rPr>
      <t>Population and Housing Census 2008,Spatial Distribution and Urbanisation.</t>
    </r>
    <r>
      <rPr>
        <sz val="12"/>
        <color indexed="8"/>
        <rFont val="Times New Roman"/>
      </rPr>
      <t xml:space="preserve"> Analytical Report:Volume 9, Zomba: National Statistical Office</t>
    </r>
    <r>
      <rPr>
        <sz val="9"/>
        <color indexed="8"/>
        <rFont val="Arial"/>
      </rPr>
      <t xml:space="preserve">  pp 63</t>
    </r>
  </si>
  <si>
    <t>Owen Mfune,  Regional statistical officer,  NSO Mzuzu, cell: +265 888 350 463</t>
  </si>
  <si>
    <t>Septic tanks and localized systems are emptied and hauled to stabilization ponds either by private operators or by the Mzuzu city council at a fee to the households / institutions. Pumping MK30,000 per trip for commercial, MK15,000 payment at the stabilization ponds.</t>
  </si>
  <si>
    <t xml:space="preserve">L.C. 23,000,000 </t>
  </si>
  <si>
    <t>MK 23 million for 3-5 years</t>
  </si>
  <si>
    <t>A: Nkohorongo sludge oxidation ponds</t>
  </si>
  <si>
    <t>1990s</t>
  </si>
  <si>
    <t xml:space="preserve">KFW Germany
 MK 20 million (sludge ponds)
</t>
  </si>
  <si>
    <t xml:space="preserve">
 23 million for 3-5 years  salaries included (sludge ponds)
</t>
  </si>
  <si>
    <t xml:space="preserve">SCDP (n.d) Final Programme Report, Lilongwe </t>
  </si>
  <si>
    <t>Sewer and other waste water from flushing the toilets etc goes to a dam where natural treatment occurs before the water is allowed to filter into natural streams</t>
  </si>
  <si>
    <t xml:space="preserve">Rashid Chiposa, Rochelle H. Holm, Chimuleke Munthali,
Russel C. G. Chidya and Francis L. de los Reyes III
(2014) Journal of water sanitation and hygiene for development , vol 4 No 1
</t>
  </si>
  <si>
    <t>L.C. 20,000</t>
  </si>
  <si>
    <t>4: bushes or farmland</t>
  </si>
  <si>
    <t>sludge stabilization pond</t>
  </si>
  <si>
    <t>4: left to simmer</t>
  </si>
  <si>
    <t>0 Connected plants</t>
  </si>
  <si>
    <t xml:space="preserve">4: bushes or farmland </t>
  </si>
  <si>
    <t>not known but cost estimate is known</t>
  </si>
  <si>
    <t>not known</t>
  </si>
  <si>
    <t xml:space="preserve"> </t>
  </si>
  <si>
    <t>Data source World Bank (2016). Kenya Urbanization Review. Nairobi Statistical Abstract</t>
  </si>
  <si>
    <t>Communally managed Sanitation facilities mainly exits in informal settlement areas, and are in most cases managed by youth groups and women groups, often organized as Community Based Organizations. User fees are mainly used to cater for maintenance costs. Some of these facilities are built by local authorities, Non- Government Organizations  and political leaders (through special funding kitties such as constituency development funds) as projects for income generation for this groups</t>
  </si>
  <si>
    <t>Maintenance responsibility of most of the public sanitation facilities have since been transferred to the private sector. User fees are used to maintain these facilities. Most of these facilities are mainly located in commercial areas and few can be found in residential areas.</t>
  </si>
  <si>
    <t xml:space="preserve">Exhauster trucks dispose the sewage in the City’s Sewage Treatment network. Dandora Estate Treatment works uses stabilization ponds. At Kariobangi STW, after treatment, fecal sludge is treated dried on beds and then sold. Of households using private septic tanks as the sanitation arrangement, 71% have their sewage emptied by mechanical exhauster trucks that in most cases dispose it into the public sewer for channeling to the treatment plants.
</t>
  </si>
  <si>
    <t xml:space="preserve">Data for filling the table has been obtained from this source:  Kenya National Bureau of Statistics (KNBS). 2012. 2009 Kenya Population and Housing Census. Analytical Report on Urbanization. Vol III. Nairobi: KNBS
Page 26: Main Mode of Human Waste Disposal by Major Urban Centres, 2009 was reported as follows for Nairobi:
Main Sewer: 47.7 %
Septic Tank/Cess Pool: 10.8 %
VIP Latrine: 2.7 %
Ordinary Pit Latrine: 37.6%
Other (Not specified): 1.3 %
The census report [see its page 26] is available online: https://www.knbs.or.ke/download/analytical-report-on-urbanization-volume-viii-2/?wpdmdl=3761  
A Report by Bill and Belinda Gates Foundation (2011) approached analysis for sanitation facility as follows:
A summary of Table 3-31: Sanitation Coverage in Nairobi, is as follows:
“Access to a sanitation Facility [Yes]: 85%
Access to a sanitation Facility [No]: 15%
Place of Excreta Disposal (For the Disadvantaged 15% of Households): Neighbor [34%], Public Toilet [46%], Open space [8%], Drainage Channel [5%], Other [7%]
Type of Sanitation Facility Installed (For the 85% who Have Access): Ordinary Pit Latrine [44%], VIP Latrine [12%], Septic Tank [11%], Cess Pool [18%], Sewerage Connection [13%].”
Bill &amp; Melinda Gates Foundation. 2011. Landscape Analysis and Business Model Assessment in Fecal Sludge Management: Extraction and Transportation Models in Africa – Kenya. Final Report. Volume I of II. Available on: http://www.pseau.org/outils/ouvrages/bill_melinda_gates_foundation_losai_management_limited_landscape_analysis_and_business_model_assessment_in_fecal_sludge_management_extraction_and_transportation_models_in_africa_kenya_2011.pdf . [Accessed on 07/01/2017]
For comparative purposes, also check this study: http://majidata.go.ke/county.php?MID=MTE=&amp;SMID=Ng== 
Note: Different studies have approached the categories differently [this is somehow part of the research challenges]
</t>
  </si>
  <si>
    <t>Key informant [Humphrey Njuho]-Estimates on construction costs</t>
  </si>
  <si>
    <t>3, 4</t>
  </si>
  <si>
    <t>There are 2 main processes: First, the physical treatment where the fecal sludge is separated from waste water. Secondly, Biological treatment where waste water is treated in stabilization pond.-According to Dandora Sewage Treatment Works Manager</t>
  </si>
  <si>
    <t>Dandora  Sewage Treatment Works(STW)</t>
  </si>
  <si>
    <t xml:space="preserve">Yr 1997
</t>
  </si>
  <si>
    <t>L.C. Ksh 450,000,000 (yr. 1998)</t>
  </si>
  <si>
    <t>This specific works were financed by World Bank Loan (IDA), with other components of the larger project (Nairobi Third Water Supply Project) being financed by African Development Bank/Fund (AfDB),  European Investment Bank (EIB), OECF of Japan, and Government of Kenya (Land+staff)</t>
  </si>
  <si>
    <t xml:space="preserve">Sources
 World Bank (1998). Implementation Completion Report. Nairobi Third Water Supply Project. December 1998. http://documents.worldbank.org/curated/en/865181468273622384/pdf/multi-page.pdf
Waste water treatment in Nairobi: http://en.chinagate.cn/archives/wastewater/2015-03/24/content_35140726.htm
</t>
  </si>
  <si>
    <t>Joseph Mburu-DETW Manager</t>
  </si>
  <si>
    <t>N/A, utility does not have this indicator but estimates near 90%</t>
  </si>
  <si>
    <t>Stabilization pond treatment process
Figure: Flow Chart of Dandora Sewage Treatment Works</t>
  </si>
  <si>
    <t>L.C. 5 per single use, or free</t>
  </si>
  <si>
    <t>Kariobangi Sewage Treatment Works</t>
  </si>
  <si>
    <t>Yr 1985</t>
  </si>
  <si>
    <t>L.C. 10 per Single use</t>
  </si>
  <si>
    <t>plastic biodigester</t>
  </si>
  <si>
    <t>1 Connected  Plant</t>
  </si>
  <si>
    <t>Conventional biological aerated filter-use of mechanical aeration, filtration and discharge in treatment of fecal sludge</t>
  </si>
  <si>
    <t>10 per single use</t>
  </si>
  <si>
    <t>1. 3. 4. directed to farms</t>
  </si>
  <si>
    <t>1 mostly, some 2, 3, 4</t>
  </si>
  <si>
    <t>K: Cesspool holding tank</t>
  </si>
  <si>
    <t>Exhauster trucks dispose the sewage in the City’s Sewage Treatment network. Dandora Estate Treatment works uses stabilization ponds. At Kariobangi STW, after treatment, fecal sludge is treated dried on beds and then sold. Of households using this sanitation arrangement, 84% have their sewage emptied by mechanical exhauster trucks that in most cases dispose it into the public sewer for channeling to the treatment plants.</t>
  </si>
  <si>
    <t>G1</t>
  </si>
  <si>
    <t>G2</t>
  </si>
  <si>
    <t>G3</t>
  </si>
  <si>
    <t>G4</t>
  </si>
  <si>
    <t>G5</t>
  </si>
  <si>
    <t>G6</t>
  </si>
  <si>
    <t>G7</t>
  </si>
  <si>
    <t>G8</t>
  </si>
  <si>
    <t>G9</t>
  </si>
  <si>
    <t>G10</t>
  </si>
  <si>
    <t>G11</t>
  </si>
  <si>
    <t>G12</t>
  </si>
  <si>
    <t>G13</t>
  </si>
  <si>
    <t>G14</t>
  </si>
  <si>
    <t>G15</t>
  </si>
  <si>
    <t xml:space="preserve">Alternative water supplier </t>
  </si>
  <si>
    <t>Type of the alternative water supplier</t>
  </si>
  <si>
    <t>Sources of water</t>
  </si>
  <si>
    <t>Delivery mechanism</t>
  </si>
  <si>
    <t>Cost of water a. per liter, b. per cubic meter</t>
  </si>
  <si>
    <t xml:space="preserve"># of customers </t>
  </si>
  <si>
    <t># of employees</t>
  </si>
  <si>
    <t>Business growth in the last 3 years (Jan 2014 - Jan 2017) in customers</t>
  </si>
  <si>
    <t>Business growth in the last 3 years (Jan 2014 - Jan 2017) in employees</t>
  </si>
  <si>
    <t>Is your business regulated?</t>
  </si>
  <si>
    <t xml:space="preserve">What is covered by the regulation? </t>
  </si>
  <si>
    <t xml:space="preserve">Who is responsible for enforcing the regulation? </t>
  </si>
  <si>
    <t>Example of how the regulation is enforced</t>
  </si>
  <si>
    <t xml:space="preserve">Describe informal regulation and how it is enforced </t>
  </si>
  <si>
    <t>Greatest challenge in terms of water quality</t>
  </si>
  <si>
    <t>Greatest challenge to the growth of your business</t>
  </si>
  <si>
    <t>Public water points managed by Hidrocapital (Caracas’ water utility) , connected to the water supply system</t>
  </si>
  <si>
    <t>Water is delivered to the customer in the place required (house, business) and is charge by the transportation service, not by water</t>
  </si>
  <si>
    <t xml:space="preserve">Bs  70, 000  c. Transportation service  </t>
  </si>
  <si>
    <t xml:space="preserve">A. Households  50 %
B. Businesses    50 %  (The informant  cannot provide a specific number)
</t>
  </si>
  <si>
    <t>3  employees</t>
  </si>
  <si>
    <t xml:space="preserve">  The informant said that  business has decreased,  3 years ago he used to deliver water to about 5 customers per day, currently only 1 sometimes 2</t>
  </si>
  <si>
    <t>It has decreased, from 12 to 3 employees</t>
  </si>
  <si>
    <t>There is an agreement that we can fill the tanker for free in public water points and we in compensation provide the service free of charge to public institutions like hospitals, municipality when it is required. However, we have to pay to the police to take the water and also deliver water for free to some households of  public servants and military  officials</t>
  </si>
  <si>
    <t>Water quality in public sources has been deteriorated  during the last years, frequently with high turbidity  and  some customers  complained that  they have to clean up their tanks at home more frequently because of the water</t>
  </si>
  <si>
    <t>The economic crisis of the country</t>
  </si>
  <si>
    <t>Borehole,  120 deep</t>
  </si>
  <si>
    <t xml:space="preserve">The water truck, he deliver the water through the vehicle. Furthermore, he discharge the water in water tanks installed in the building, houses or other customers </t>
  </si>
  <si>
    <t>A. 4 per day</t>
  </si>
  <si>
    <t>A. 0</t>
  </si>
  <si>
    <t xml:space="preserve">To select the proper source. He usually buys water from a deep borehole, around 120 mts deep, this to ensure a good quality of water. </t>
  </si>
  <si>
    <t>The increasing growth of competition. The owner thinks that the service supplier are exponentially growing which makes complex the business growth.</t>
  </si>
  <si>
    <t>B. 0</t>
  </si>
  <si>
    <t>Mineral drinking water sources distributed in Brazil: Lindoya, Pouso Alto, Prata and Cachoeiras de Macacu.</t>
  </si>
  <si>
    <t>Purchase the water directly from the fountains, which arrive from truck to store packed. The door to door distribution is made by bicycle or tricycles (which allow you to carry a larger quantity - bottles or gallon). There are containers of 20 liters and 1,5 liters.</t>
  </si>
  <si>
    <t>L.C. 0.6 per liter; L.C.12 per gallon of 20 liters; for car kites, 0.045 reais per liter (other seller) - 2 interviewees</t>
  </si>
  <si>
    <t>100-150</t>
  </si>
  <si>
    <t>Reduced by 40%</t>
  </si>
  <si>
    <t>Reduced 50%, from 4 to 2</t>
  </si>
  <si>
    <t>Being able to function, store bottled water and distribution.</t>
  </si>
  <si>
    <t>Sanitary surveillance.</t>
  </si>
  <si>
    <t>Through to the store.</t>
  </si>
  <si>
    <t>The attempt to interview car kite suppliers was not successful. When talking with residents and interviewees, the policy of silencing and territorialization in some areas of the city, promoted by parallel power, was confirmed, in which only certain agents can sell water in that territory (in the form of a car kite and in gallon).</t>
  </si>
  <si>
    <t>The pH of water, the few customers, and customer preference (some prefer a specific brand, others prefer the freshest, most recently bottled).</t>
  </si>
  <si>
    <t>Since 2014 the business went into crisis and the store started to run in the red. People are giving up mineral water by installing filters at home.</t>
  </si>
  <si>
    <t>Mineral water (from springs located throughout the State and neighboring States)</t>
  </si>
  <si>
    <t>Water filling to bottles and distribution</t>
  </si>
  <si>
    <t>11-22 Reais per litre</t>
  </si>
  <si>
    <t xml:space="preserve">C: The company distributes around 120 water gallons day, but has no specific number of clientes. </t>
  </si>
  <si>
    <t>C: A estimated value was not given. But in the past 3 years with the crises the business dropped, last year (2016) was the worst in sales.</t>
  </si>
  <si>
    <t>Water handling and distribution along with the business legislation.</t>
  </si>
  <si>
    <t>Health and santitary surveilance</t>
  </si>
  <si>
    <t>Surveilance is very rare, but it can verify the proper functioning of water bottling, validity of the bottles (3 years) and water (2 months).</t>
  </si>
  <si>
    <t>Water handling and bottling. The storage is well managed in terms of expiration.</t>
  </si>
  <si>
    <t>Main challenge is the current financial crisis in the region (employment reduction  affects the number of customers – both households and companies), along with competition with informal suppliers, which can set lower prices.</t>
  </si>
  <si>
    <t>Such services are provided for households and companies which can afford to consume mineral water for drinking purposes. (considered to be of better quality than the network water – chloride concentrations and so on) and prefere buing the bottles rather than having filters.</t>
  </si>
  <si>
    <t>There are none</t>
  </si>
  <si>
    <t>1. Private tanker-truck vendor, 4. door-to-door delivery</t>
  </si>
  <si>
    <t>Mainly Groundwater</t>
  </si>
  <si>
    <t>Water Tankers/Trucks</t>
  </si>
  <si>
    <t>L.C.  INR 0.12 - 0.13 per liter</t>
  </si>
  <si>
    <t>Per L</t>
  </si>
  <si>
    <t>40-50</t>
  </si>
  <si>
    <t xml:space="preserve">2-3
</t>
  </si>
  <si>
    <t xml:space="preserve">[all text in blue (BELOW) is answered by us, not respondent] 
1) To get license for starting a private water tanker service, the first step is to register the tanker/truck with RTO. During registration, the tank capacity and whether it has the required food grade and EPI (Ethoxylated Polyethylene) coating is checked.
2) Next step is to apply for trade license from the BBMP, specifying details about water source, quantity and quality of water etc. Source and tanker water quality to be tested and certified as per ISI standards by labs empanelled by the BBMP. Rate of load to be mentioned on tanker. All receipts to be maintained, and monthly statistics/details to be furnished to BBMP on regular basis.
3) BWSSB is incharge of registering borewells, type of use, quantity and quality of water extracted and maintain a database of all related/necessary details
Source: http://bengaluru.citizenmatters.in/thousands-of-water-tankers-ply-bengaluru-no-trade-licenses-bbmp-oblivious-8071.
</t>
  </si>
  <si>
    <t>RTO, BBMP, BWSSB</t>
  </si>
  <si>
    <t xml:space="preserve">However, while these rules exist on paper mandated by law, on-ground regulation, monitoring and enforcement is very weak. Databases are not accurate and updated, and unsure if these are shared between the different agencies.
According to news articles, a recent RTI query revealed that BWSSB has given no permissions for the drilling of any commercial bore-wells since 2013. This is because in November 2012, the Central Ground Water Board notified Bangalore Urban and Rural as ‘overexploited’, and hence banned bore-well digging for commercial purposes. Hence, every bore-well (registered after 2013) not being used for domestic purposes is illegal. Rules say that those digging bore wells without permission can be fined or imprisoned, and their equipment’s confiscated. However, violations are rampant (in terms of residential bores being used for commercial water selling purposes).
The respondent himself indicated that one of the borewells he was using was from his house. 
Similar is the case with water tanker registration and license. Majority of the estimated 3000-4000 tankers (number may be much higher) possibly do not have trade licenses and are not regulated by BBMP. 
</t>
  </si>
  <si>
    <t xml:space="preserve">Groundwater quality is deteriorating. About 3 years back it was fit to drink, now we find that hardness has increased. 
The water quality is not really monitored.
</t>
  </si>
  <si>
    <t xml:space="preserve">Groundwater availability is reducing hence not enough water to provide growing customers. A couple of years back I could get 25 loads (roughly 6000 lts each) from my borewell. Now I get about 6-7 loads. When it rains continuously for 3-4 days, groundwater levels are slightly better and I can get 10 loads per day. 
These days everyone is digging borewells… there are borewells every 20-30 ft – groundwater extraction is high and water table fast depleting. Not enough water and electricity costs are going up – these are the main challenges. 
When asked what can be done to improve the situation…?
Rainwater harvesting (RWH) and recharge should be made compulsory – all buildings should do it. Our lakes should be filled with water to improve water tables and groundwater availability. RWH law exists but it must be enforced. 
When asked whether he does RWH and recharge…?
I don’t do it as I don’t have space… I have only 10 ft x 15 ft space… (which is ample to do ground water recharge and is mandated by law for all premises having borewells). 
</t>
  </si>
  <si>
    <t>Borewell and Tanker filling stations of Municipal Corporation</t>
  </si>
  <si>
    <t>Tanker</t>
  </si>
  <si>
    <t>80 - 150  per cubic meter</t>
  </si>
  <si>
    <t xml:space="preserve">A. Households: no fixed number
B. Businesses: 5-7
</t>
  </si>
  <si>
    <t xml:space="preserve">Businesses: 5-8 </t>
  </si>
  <si>
    <t>No Growth</t>
  </si>
  <si>
    <t xml:space="preserve">Water carrying tankers are regulated by the health department of the municipal corporation. The tanker water suppliers need to take license for each tanker associated with its registration number issued by regional transport office (RTO). </t>
  </si>
  <si>
    <t>Health Department of Municipal Corporation</t>
  </si>
  <si>
    <t xml:space="preserve">Tanker water suppliers need to take license and need to renew the same every year by paying license fee. If there is no license then tanker operator is charged with fine ranging from Rs. 5000 to 30,000.  </t>
  </si>
  <si>
    <t>These tankers are informally regulated by the officers of regional transport office. The tanker operators need to pay some amount periodically (as bribe) to these officials to smoothly carryout their business.</t>
  </si>
  <si>
    <t>High TDS in case of borewell water. However, the borewell water is supplied for non-potable use so according to informant it is not a big issue.</t>
  </si>
  <si>
    <t xml:space="preserve">The cost of tanker. As per the RTO policy, the tanker operator cannot use the tanker in municipal jurisdiction for more than eight years after date of purchase. So the tanker water supplier need to buy new tankers after every eight years by taking loan from bank. </t>
  </si>
  <si>
    <t xml:space="preserve">5. Other, specify: PMC supply water tankers
</t>
  </si>
  <si>
    <t>Water tankers filling points at zonal water pumping stations.</t>
  </si>
  <si>
    <t>In case of failure of pipelined water supply, the area affected is supplied by municipal water tankers. Also, the villages near 5 km radius outside the jurisdiction of PMC water supply is served by water tankers by PMC and some Private vendors.</t>
  </si>
  <si>
    <t>INR 450 (in year 2016)
INR 473 (in year 2017)
 a. per 10000 litter</t>
  </si>
  <si>
    <t>HHs 100% (no data on specific #)</t>
  </si>
  <si>
    <t>1.	Yes, for PMC water tankers.</t>
  </si>
  <si>
    <t>The standing committee of PMC has passed the resolution that each year 5% will be raised on water tanker prices</t>
  </si>
  <si>
    <t>PMC Standing committee and commissioner of PMC is a decision maker in enforcing the updated regulations.</t>
  </si>
  <si>
    <t xml:space="preserve">Interviewee could not provide an example. </t>
  </si>
  <si>
    <t>1. Private tanker-truck vendor</t>
  </si>
  <si>
    <t>Bore holes</t>
  </si>
  <si>
    <t>Water Bowser / Tanker</t>
  </si>
  <si>
    <t>L.C. 2.00</t>
  </si>
  <si>
    <t>C: Other, specify:  (public events such as political rallies sporting events etc.)</t>
  </si>
  <si>
    <t>15  employees</t>
  </si>
  <si>
    <t xml:space="preserve">The quality of the water </t>
  </si>
  <si>
    <t>National Water Supply and Drainage Board (NWSDB)</t>
  </si>
  <si>
    <t>The source of the water has to be approved by the NWSDB. Samples are drawn and tested by the NWSDB and given approval  if it complies with the Sri Lanka Standards (SLS) for drinking water. (Attachment 2)</t>
  </si>
  <si>
    <t xml:space="preserve">Underground Source (groundwater) </t>
  </si>
  <si>
    <t>Delivery of drinking water in Jars (20 litre) to offices and also in residential houses</t>
  </si>
  <si>
    <t>Tk. 5 per liter</t>
  </si>
  <si>
    <t xml:space="preserve">A. Households 3,000 Customers 
B. Businesses:  200 Offices 
C. Other, specify: 150 Hotels and restaurants </t>
  </si>
  <si>
    <t xml:space="preserve">50 employees </t>
  </si>
  <si>
    <t xml:space="preserve">A. Households   30% 
B. Businesses   20% 
C. Other, specify: Restaurants 40% </t>
  </si>
  <si>
    <t xml:space="preserve">Availability of hygienic water Jars </t>
  </si>
  <si>
    <t xml:space="preserve">Competitors </t>
  </si>
  <si>
    <t>Alpha Drinking Water</t>
  </si>
  <si>
    <t>Designated hydrants of the water utility, illegal hydrants (that acquire water from KWSB pipelines on an illegal basis), bore holes (extraction of ground water)</t>
  </si>
  <si>
    <t xml:space="preserve">Truck delivery </t>
  </si>
  <si>
    <t>Rs 1-2 per litre</t>
  </si>
  <si>
    <t>A: 200; B: 250</t>
  </si>
  <si>
    <t>The business grows during the peak summers when we get many more calls to supply water. It also depends upon the break downs that the piped supply experiences</t>
  </si>
  <si>
    <t>From 18 employees in 2014, I now have 24 employees</t>
  </si>
  <si>
    <t>We only receive a rate list from KWSB. But our supply rates are entirely managed according to supply situation</t>
  </si>
  <si>
    <t xml:space="preserve">There are no regulations </t>
  </si>
  <si>
    <t>Depending upon the relative scarcity of water, the prices are adjusted. We charge high during the peak summers as the opportunity to fill from the legal hydrants is greatly constrained.</t>
  </si>
  <si>
    <t>To acquire water from a legal hydrant; the quality is quite satisfactory</t>
  </si>
  <si>
    <t>This is not considered a business, it is a service. The KWSB staff tells us that we should only consider this enterprise as an emergency service</t>
  </si>
  <si>
    <t xml:space="preserve">NWSC public appurtenance </t>
  </si>
  <si>
    <t xml:space="preserve"> By trucks and poured in underground or above ground stationery tanks on plot</t>
  </si>
  <si>
    <t>40 UGX, a. (per liter)</t>
  </si>
  <si>
    <t>A. 25, B. 10</t>
  </si>
  <si>
    <t>A. 10, B. 5</t>
  </si>
  <si>
    <t>The business is seasonal. When it is raining and NWSC water is flowing for longer hours, customers don't request for supplying water</t>
  </si>
  <si>
    <t>Seasonality of demand for water</t>
  </si>
  <si>
    <r>
      <rPr>
        <sz val="9"/>
        <color indexed="8"/>
        <rFont val="Arial"/>
      </rPr>
      <t xml:space="preserve">5. Other, specify: </t>
    </r>
    <r>
      <rPr>
        <b val="1"/>
        <sz val="9"/>
        <color indexed="8"/>
        <rFont val="Arial"/>
      </rPr>
      <t>Private borehole water seller</t>
    </r>
  </si>
  <si>
    <t xml:space="preserve">Borehole </t>
  </si>
  <si>
    <t>Storage tanks and pipes. Water is purchased here mainly by water vendors who resell by means of cart loads of jerry cans/kegs. Some private individuals also purchase for domestic use.</t>
  </si>
  <si>
    <t>Charges vary depending on source of energy available for pumping water
A cart of 12 jerry cans/kegs is purchased for N 50 (with generator) i.e. N0.173 per litre
and N 40 (with electricity) i.e. N 0.133 per litre.
Individuals purchase 3 bowls (about 60 litres) for N 50 (with generator) i.e. N 0.833 per litre
and N 10 (with electricity) i.e. N 0.166 per litre
The water vendors however sell a cart load for N400 in the locality i.e. N 1.33 per litre</t>
  </si>
  <si>
    <t xml:space="preserve">A. Households: unsure
B. Businesses : 20 water vendors
C. Other, specify: Private individuals – variable number </t>
  </si>
  <si>
    <t>C. Other, specify: 15-20 ‘mairuwas’ i.e. cart pushers (12 jerry cans of 25 litres each per cart) fetch water here daily. Each mairuwa purchases an average of 10 cart loads per day</t>
  </si>
  <si>
    <t>There is an informal pricing regime for sale of borehole water in the locality. Self regulated in order not to lose customers.</t>
  </si>
  <si>
    <t>None, since it is borehole water</t>
  </si>
  <si>
    <t>1. Epileptic electric power supply which necessitates the use of generators and the increasing cost of fuel
2. Increasing number of private borehole water kiosk operators in the locality</t>
  </si>
  <si>
    <t>Ground water or main Utility’s water.</t>
  </si>
  <si>
    <t>Tanker truck</t>
  </si>
  <si>
    <t>MZM 40.00</t>
  </si>
  <si>
    <t>A. Households: 500
B. Businesses:  50</t>
  </si>
  <si>
    <t xml:space="preserve">A. Households: 400 -500
B. Businesses:  0 - 50
</t>
  </si>
  <si>
    <t>5-9</t>
  </si>
  <si>
    <t>price</t>
  </si>
  <si>
    <t xml:space="preserve">Water Regulatory Council
National Directorate of Water and Sanitation – Through Water Administration Agency
</t>
  </si>
  <si>
    <t>Licensing</t>
  </si>
  <si>
    <t>Water Private Suppliers Association supervision</t>
  </si>
  <si>
    <t xml:space="preserve">• Service area competing with the main utility;
• Operational costs
</t>
  </si>
  <si>
    <t>Clear institutions.</t>
  </si>
  <si>
    <t>5. some Households also sell water from their yard stand pipes</t>
  </si>
  <si>
    <t xml:space="preserve">NRWB and ground water </t>
  </si>
  <si>
    <t xml:space="preserve">Yard Pipe   and shallow well
 Some Households own their yard pipe and some may also have a shallow well, and they give customers access to it  at a fee ie yard pipe Mk50per  20 liter pail,  for shallow well  the charge is MK200 per  Month at any time and for any amount of water collected.
</t>
  </si>
  <si>
    <t>c.  Mk50 per 20litre pail for the yard pipe, for the Communal water point/kiosk (CWP) MK40  per 20 liter pail, Mk200 for the whole month</t>
  </si>
  <si>
    <t>A: 10</t>
  </si>
  <si>
    <t>C: Their business has not grown, people prefer the communal water point over the taps on the yard, and for cleaning and other purposes they Mk200 for the shallow well. However, there is good business for the shallow well due to frequent dry taps</t>
  </si>
  <si>
    <t>1. for kiosk, 2. No for shallow well</t>
  </si>
  <si>
    <t xml:space="preserve">NRWB requires that the households form a water point committee and appoint  CWP caretaker who collects cash from Households to pay for the bills at the end of the month. If they bill is not paid water is disconnected </t>
  </si>
  <si>
    <t>Mzuzu City Council, Northern Region Water Board and Water Users Association</t>
  </si>
  <si>
    <t xml:space="preserve">Unprotected wells are closed, and sinking of wells should be at a reasonable distance from pit latrines or any refuse disposal facility. These are the by-laws  </t>
  </si>
  <si>
    <t>There is Water Users Association (WUA), they monitor how the water is being used and managed in terms of treatment</t>
  </si>
  <si>
    <t xml:space="preserve"> Turbidity of water, high level of free residual chlorine</t>
  </si>
  <si>
    <t>Most people prefer to pay Mk200 a month to draw from the shallow well and only a pail or two from the stand pipe for drinking purposes</t>
  </si>
  <si>
    <t>Borehole (Privately owned-along Ruai-Kangundo Borehole)</t>
  </si>
  <si>
    <t>Use of a 10,000 Water Tanker</t>
  </si>
  <si>
    <t>L.C. 0.7  per liter, b. 700 per cubic meter (7000 per full tank)</t>
  </si>
  <si>
    <t>A. Households -8+
B. Businesses – 5+</t>
  </si>
  <si>
    <t>3 employees</t>
  </si>
  <si>
    <t xml:space="preserve">A. Households –From an average of 5 to 10
B. Businesses –From average of 3 to 10
</t>
  </si>
  <si>
    <t xml:space="preserve">2 employees (Initially, the respondent used to operate his truck alone. He later employed 2 employees to help in water delivery  </t>
  </si>
  <si>
    <t>Vehicle (tanker) condition and check on whether the supply remains clean water</t>
  </si>
  <si>
    <t>Nairobi City County Government</t>
  </si>
  <si>
    <t>Only vehicle inspection is done often- “Indeed, water quality depends on clients’ satisfaction- nowadays the local authorities raring check the water quality like before”.</t>
  </si>
  <si>
    <t>Salty water from most of the boreholes</t>
  </si>
  <si>
    <t xml:space="preserve">High fees for operation, which are charged by the Nairobi City County </t>
  </si>
  <si>
    <t xml:space="preserve">5. Other, specify: HAND CART VENDOR </t>
  </si>
  <si>
    <t>Nairobi City Council Tap water around Nyayo Estate</t>
  </si>
  <si>
    <t>Use of a handcart with 20 liter jerry cans</t>
  </si>
  <si>
    <t>L.C. 5 to 10 per 20 Liter</t>
  </si>
  <si>
    <t xml:space="preserve">A. Households –10+ per day
B. Businesses – 15 per day
</t>
  </si>
  <si>
    <t xml:space="preserve">1 employee
</t>
  </si>
  <si>
    <t xml:space="preserve">A. Households- increase from 10 to 30 weekly regular customers 
B. Businesses – increased from 5 to 20 weekly regular customers
</t>
  </si>
  <si>
    <t>1 employee</t>
  </si>
  <si>
    <t>Didn’t identify any specific challenge- The water satisfactory customers since it’s drawn from the city’s main supply system</t>
  </si>
  <si>
    <t>Poor condition of the access roads (operates in a tenement area called Transami-Pipeline) makes it difficult to access customers located far from the tarmac road. Sometimes the cart gets stuck when loaded and the operator is forced to pay persons to help with the pushing.</t>
  </si>
  <si>
    <t>I1</t>
  </si>
  <si>
    <t>I2</t>
  </si>
  <si>
    <t>I3</t>
  </si>
  <si>
    <t>I4</t>
  </si>
  <si>
    <t>I5</t>
  </si>
  <si>
    <t>Documents and other souces of information consulted</t>
  </si>
  <si>
    <t>Interviewer notes and observations</t>
  </si>
  <si>
    <t xml:space="preserve">(INE), Instituto Nacional de Estadística. Censo 2011. n.d. http://www.ine.gob.ve/index.php?option=com_content&amp;view=category&amp;id=95&amp;Itemid=26 (accessed June 19, 2017).
(INE), Intituto Nacional de Estadística. "Informe Geoambiental 2011 Distrito Capital." Instituto Nacional de Estadística. 2011. http://www.ine.gob.ve/index.php?option=com_content&amp;view=category&amp;id=68&amp;Itemid=49# (accessed June 19, 2017).
Hidrocapital. Hidrocapital. n.d. http://www.hidrocapital.com.ve/internet/index.php/component/content/article?id=55 (accessed July 5, 2017).
Instituto Nacional de Obras Sanitarias, INOS. Planta de abastecimiento de aguas La Guairita. Project of the treatment plant, Caracas: INOS, 1964.
Inter-American Development Bank. "Water Consumption Efficiency Program (PRAC)." Inter-American Development Bank. April 28, 2016. http://www.iadb.org/en/projects/project-description-title,1303.html?id=ve-l1027 (accessed July 11, 2017).
Laboratorio Nacional de Hidráulica. Estudio de tendencia de la calidad del agua del río Tuy. Technical report, Caracas: Laboratorio Nacional de Hidráulica, 2009.
Ministerio para Ecosocialismo y Aguas. Memoria 2015. Caracas: Ministerio del Poder Popular para Ecosocialismo y Aguas, 2016.
Najul, María Virginia, and Henry Blanco. "Estrategias de mejora continua en plantas potabilizadoras venezolanas." Revista de la Facultad de Ingeniería UCV, 2014: 37-50.
Suárez, Niyuray. Estrategias para mejorar el servicio de abastecimiento de agua potable en el Distrito Metropolitano de Caracas. MSc Thesis, Caracas: Universidad Central de Venezuela, 2011.
Venezuela, República Bolivariana de. "Gaceta Oficial N° 39.788." Metodología, fórmulas, modelo y criterios técnicos que regulan las tarifas de los servicios de agua potable y de saneamiento prestados por las Empresas Hidrológicas Regionales filiales de la Compañía Anónima Hidrológica Venezolana HIDROVEN C.A. Caracas: Gaceta Oficial de la República Bolivariana de Venezuela, October 21, 2011.
</t>
  </si>
  <si>
    <t xml:space="preserve">Part A
In Terrazas del Alba there are 13 buildings, 10 of them with 11 floors and 3 with 7 floors. The total amount of apartments is 524. All the informants said that in each apartment lives usually 2 families and in total the number of people per apartment is usually 6-7 people.  However, in one apartment, it is possible to have more than 10 people and 3 families. It means that in one apartment we can have 2 or more households. Answer for question 4 is an estimation of the total amount of families in the community. 
For questions 6-10 there is no information available, informants cannot even provide estimation.
For questions 11 and 12 informants just said that for these jobs people usually earn the minimum wage. In Venezuela it is established by presidential decree, currently it is Bs 250531/month
In table 1 the days/week and hours/day with water service is an estimation of the most common case, it is not the same for all buildings.
The information for part A was obtained with more informants than the 3 included in part H. At first, I identified 5 community leaders for interview, 2 of them living in other communities of San Agustín del Sur, not in Terrazas del Alba. These 2 informants provided useful information about the context. After the interview with the 5 first informants, I decided to choose the most relevant questions (excluding the ones I already knew people cannot answer) and to include others, in order to clarify some details. Then I went back to San Agustín to make few questions related with water and sanitation access in Terrazas del Alba to random people at the Metro Cable station close to the complex. The questions asked were: years living in Terrazas del Alba, community where the person came from, frequency of water service in the previous community and in the new apartment, source of water for drinking and treatment and problems related with sanitation service. Sometimes, in relation with answers I include additional questions, the interview was no more than 5 minutes. 
</t>
  </si>
  <si>
    <t xml:space="preserve">Part B
In Venezuela the last census was carried out in 2011. Answer for question 1 is an official projection based on the census 2011.  Answers for questions 2 and 3 are based on official results of census 2011.
Answers for questions 4, 5 and 11 are based on official projections calculated taking into account a household survey in 2015 and the census 2011. However, it is only for Libertador municipality, the one with the largest population of Caracas, it can be used as a proxy for the entire city.
There is no official data for questions 6, 7 and 8. It is very difficult to find it out from other sources.
Answer for question 12 is an estimation, based on experts’ opinion.
</t>
  </si>
  <si>
    <t xml:space="preserve">Part C
Table 6: In question 4 the answer is not exactly 100 % it is an approximation. The different sources for Metropolitan Caracas’ Aqueduct (AMC) include groundwater (2%) and surface water from Tuy River. There is an intake in this river and the water is delivered to La Mariposa Reservoir, treatment plant Caujarito and treatment plant La Guairita. The pumping from Tuy River is about 5000 litres per second, but it is not always a constant rate. The pumping station was designed with a maximum capacity of 6000 L/s (5 pumps, 1200 L/s each one) (Laboratorio Nacional de Hidráulica 2009).
Question 8: the utility (Hidrocapital) is financed by user fees and official grants, however they don’t recover the cost from users. As reference, the unit cost of production (total costs and expenses incurred from water service/cubic meter billed) was 0,44 in 2009 (Inter-American Development Bank 2016).  
Question 18: the regulation establish a social tariff for low-income households, it could be between 1/4-1/2 of regular tariff. However, in these households is common practice to provide the service for free. 
</t>
  </si>
  <si>
    <t xml:space="preserve">Part E
About table 8: In Caracas the price for water is, in general terms, very low. First of all, not everyone is paying for the service and the one who pays is not exactly related with the quantity of water consumed because metering capacity at household level is very poor. In formal areas of the city people have to pay, otherwise service is cut. The price indicated in A3 is the tariff usually applied in households placed in the planned area of the city (my own estimation). In informal settlements, most of the people don’t pay for water service, therefore, to establish the most common cost of water service it is not easy, probably most of the people in Caracas are not paying. In order to have an idea about the impact of water bills in familiar budget I will use my own bill as an example. I live in the center of the city, in part of the planned area, most of the families are mid-income, mid-low income. I am in a building of 21 floors, 6 apartments per floor. My last bill was 81,53 Bs. for the entire month it is 0,0003 % of the minimum urban wage. The bill for the whole building was 11753 Bs., it is 5 % of the minimum urban wage. It means that any family living in my building can afford the bill for everyone, most of my neighbours have an income higher than the minimum wage and is common to have families with more than one person working. In Caracas the price of water service has not been an issue, as in other cities of the region.
The frequency of the service is another thing that is difficult to define a general or most common situation for Caracas. In the formal area of the city in general terms, the service is better; however, it is not the same in all neighborhoods. In informal settlements there is a cyclic service but some communities get the service some days per week other some days per month.  The answer in A4 is the result of the last census in 2011 and it is clear the diversity in terms of days per week. It is important to notice that even within the 74 % who said get daily service, there is difference in hours per day among them, but it is not possible to find out the most common hours per day in households. This figure look like very high but also in this 74 % you can find people getting water less than 3 hours per day or only very early in the morning (1 am- 3 am).
In question 7, for the same reasons explained above, there is not a single and easy answer.  Average monthly bill for average household is something difficult to estimate. I would say that for households paying the service (not the most common case) the bill is very far from 1 % of the minimum urban wage.
Question 8 is also about something that it is not so common in Caracas: paying for other sources different than utility’s water service. The common strategy is to storage water for using when there is no service, either in formal or informal settlements. However, there are informal settlements where the frequency of the service is very low, few days per month. In these cases, storage is not enough and people buy water from tankers, price is about 7 Bs/liter. In the answer I included an estimation for bottled water, for some families it is common to buy it for drinking
Question 19: the reality is that there is a non-official subsidy in informal settlements because most of the people have illegal connections. The one who have legal connections usually don’t pay for service, there is a policy in the national government for tolerating this non-payment. By law, the customer who delays in the payment must be cut from the service. However, in low-income communities it is not applied.
</t>
  </si>
  <si>
    <t xml:space="preserve">Part F
In Caracas, wastewater is not treated. In the formal area there is a sewerage system for collecting wastewater but it is discharged in Guaire River, the one who cross Caracas from west to east. In informal settlements, people installed pipes by themselves and sometimes it is connected to the formal sewerage. Some informal settlements are in hills where runs a stream, people discharge wastewater to the stream and then it reaches Guaire River. The entire basin of Guaire River is polluted with wastewater.
The pollution of Guiare River is not affecting directly our reservoirs, however, Tuy river which is used to supply water to some reservoirs as La Mariposa, is polluted and therefore water quality in these reservoirs is impaired. The consequence is in the water treatment plan, it was designed for natural waters without pollution, it made less efficient the treatment process. We have not had important water-related health issues because most of the people don’t drink directly tap water, it is common to treat it at home, boiling in most of cases.
</t>
  </si>
  <si>
    <t>Part G
In Caracas, water provided by tankers is for free, these trucks can fill their tanks without charge in public water points, managed by the water utility, and they only charge for transportation. The problem is that police extort money from them at water points, all informants complained for this. At first, it was difficult to earn they trust, they thought I was a police officer or another kind of authority. The informant indicated for part G was the one who was more open to collaborate with the research. This person was contacted by phone and I send the questionnaire and the informed consent statement by email. I could contact other informants, some of them refused and other provided just few answers and finishes the interview.</t>
  </si>
  <si>
    <t>Instituto Nacional de Estadística, 2011. ENCUESTA ECONÓMICA ANUAL Industria Manufacturera, Comercio y Servicios EECON 2011. La Paz: Instituto Nacional de Estadística</t>
  </si>
  <si>
    <t>Separate attachment</t>
  </si>
  <si>
    <t>Autoridad de Fiscalización y Control Social de Agua Potable y Saneamiento Básico, 2016. Indicadores de Desempeño 2015. La Paz: Autoridad de Fiscalización y Control Social de Agua Potable y Saneamiento Básico</t>
  </si>
  <si>
    <t xml:space="preserve">1. Brazilian Agency. 2015. "Residents of Rio seek alternative to have water and secretariat does operation". Accessed June 20, 2017. http://agenciabrasil.ebc.com.br/geral/noticia/2015-01/rio-faz-operacao-contra-captacao-ilegal-de-agua-em-lencois-freaticos
2. Brazil. Law 9433, dated January 8, 1997. Published in the official union diary on January 9, 1997. Accessed June 22, 2017. http://www.planalto.gov.br/ccivil_03/leis/L9433.htm
3. Britto, A. L. 2001. "The picture of housing inequalities and sanitation in Rio de Janeiro". Accessed June 27, 2017. http://docplayer.com.br/1816152-O-quadro-de-desigualdades-habitacionais-e-o-saneamento-no-rio-de-janeiro.html
4. Britto, A.L.N.P., Quintslr, S. and Maiello, A. 2015. "Differential access to water in Duque de Caxias - RJ: Who defines the waterways in the metropolis?". Accessed June 24, 2017. http://www.evolvedoc.com.br/silusba/detalhes-2074_acesso-diferencial-a-agua-em-duque-de-caxias-rj-quem-define-os-caminhos-da-agua-na-metropole
5. CEDAE (State Water and Sewage Company of Rio de Janeiro). 2016. "Water supply systems of the City of Rio de Janeiro, with emphasis on Guandu, SEAERJ". Accessed June 23, 2017. www.seaerj.org.br/pdf/Guandu/ApresentacaoparaaSEAERJ.pdf
6. CEDAE (State Water and Sewage Company of Rio de Janeiro). 2017. Accessed June 22, 2017. http://www.cedae.com.br
7. City Hall of the City of Rio de Janeiro. 2017. "Municipal System of Urban Information". Accessed June 22, 2017. http://portalgeo.rio.rj.gov.br/bairroscariocas/index_bairro.htm
8.  City Hall of the City of Rio de Janeiro. 2017. ""Census 2010 - The City of Rio de Janeiro"". Accessed June 17, 2017. 
http://www.rio.rj.gov.br/documents/91329/0c746c53-660b-49e6-8da6-85834c220cff
9. Government of Rio de Janeiro. 2017. "PSAM (Program for the sanitation of municipalities around the Guanabara Bay)". Accessed June 30, 2017. http://psam.maps.arcgis.com/home/index.html
10. IBGE (Brazilian Institute of Geography and Statistics). 2010. "Census 2010". Accessed June 21, 2017. http://censo2010.ibge.gov.br/
10. IBGE (Brazilian Institute of Geography and Statistics). 2013. "National Household Sample Survey - NHSS". Accessed June 26, 2017. http://www.ibge.gov.br/home/estatistica/populacao/trabalhoerendimento/pnad2013/default.shtm
11. IPP (Institute Pereira Passos). 2017. "Demographic Data - Rocinha Territory". Accessed June 26, 2017. http://www.riomaissocial.org/territorios/rocinha-2/
12. IPP (Institute Pereira Passos). 2017. "Panorama of territories - UPP Rocinha". Accessed June 26, 2017. http://www.riomaissocial.org/wp-content/uploads/2017/01/1-Panorama-dos-Territ%C3%B3rios-UPP-Rocinha.pdf
13. Ministry of Labour And Employment - RAIS. 2014. "Average monthly remuneration of jobs, in minimum salaries, according to various categories - Municipality of Rio de Janeiro - 2014-2015". Accessed June 25, 2017. http://trabalho.gov.br/rais
14. MSBP (Municipal Sanitation Basic Plan). 2014. Accessed June 29, 2017. http://site.sanepar.com.br/prefeituras/plano-municipal-de-saneamento-basico
15. Newspaper The Day. 2013. "Artesian wells saw a" weapon "against lack of water. Accessed June 27, 2017. http://odia.ig.com.br/portal/rio/po%C3%A7os-artesianos-viram-arma-contra-falta-d-%C3%A1gua-1.534052
16. Newspaper The Globe. 2010. "Police Investigate sale of water by militias in the west zone". Accessed June 20, 2017. https://oglobo.globo.com/rio/policia-investiga-venda-de-agua-por-milicias-na-zona-oeste-15279251
17. NPBS (National Plan for Basic Sanitation). 2014. "Annual evaluation report". Accessed June 25, 2017. http://www.cidades.gov.br/images/stories/ArquivosSNSA/PlanSaB/relatorio_anual_avaliacao_plansab_2014_15122015.pdf
18. NWA (National Water Agency). 2006. "State Plan of Water Resources". Accessed June 20, 2017. http://www2.ana.gov.br/Paginas/institucional/SobreaAna/planejamentoRH.aspx
19. Rio de Janeiro (State). Law 3239 of August 2,1999. Published in the official state newspaper on August 3, 1999. Accessed on June 25, 2017. http://alerjln1.alerj.rj.gov.br/CONTLEI.NSF/b24a2da5a077847c032564f4005d4bf2/43fd110fc03f0e6c032567c30072625b
20. Rio de Janeiro (State). Law 4247 of December 16, 2003. Published in the official state newspaper on December 17, 2003. Accessed June 21, 2017. http://alerjln1.alerj.rj.gov.br/CONTLEI.NSF/e9589b9aabd9cac8032564fe0065abb4/6716fa36f132abd183256dff006c88f4?OpenDocument
21. Rio de Janeiro (State). Decree 40156, of October 17, 2006. Published in the official state newspaper on December 17, 2006. Accessed June 23, 2017. http://www.ceivap.org.br/legirj/Decretos/Decreto-40-156.pdf
22. Rio de Janeiro (State). SERLA Ordinance nº. 555, from February 1, 2007. Published in the official state newspaper on February 2, 2007. Accessed June 29, 2017. https://www.jusbrasil.com.br/topicos/124836299/portaria-serla-n-555-2007-do-stj
23. Rio de Janeiro (State). Resolution INEA - 84, of January 28, 2014. Published in the official state newspaper on February 3, 2014. Accessed on June 25, 2017. https://www.legisweb.com.br/legislacao/?id=265208
24. Rio de Janeiro (State). Internal standard INEA. 2012. Code NOI-INEA-04 -: Determination INEA nº 23. "Regularization of water resources for all purposes of use by vehicle transport". Published in the state's official journal on June 19, 2012. Accessed June 26, 2017. http://200.20.53.3:8081/cs/idcplg?IdcService=DOC_INFO_BY_NAME&amp;dDocName=INEA_007597
25. Rio de Janeiro (State). DZ-205.R6. 2007. "Guideline for the Control of Organic Load in Effluents of Industrial Origin". Published in the official state newspaper on November 8, 2007. Accessed June 27, 2017. http://www.mma.gov.br/port/conama/processos/EFABF603/Apresentacoa_NormasERJ_2oGTLancamentoEfluentes_17e18nov08.pdf
26. Rio de Janeiro (State). NT-202.R-10. 1986. "Criteria and standards for the discharge of liquid effluents". Published in the official state newspaper on December 12, 1986. Accessed June 27, 2017. http://www.baktron.com.br/img/ManagerImages/NT202%20R10.pdf
27. Rio de Janeiro (State). NT-213.R-4. 1990. "Criteria and standards for toxicity control in industrial liquid effluents". Published in the official state newspaper on October 18, 1990. Accessed June 27, 2017. http://www.mma.gov.br/port/conama/processos/EFABF603/Apresentacoa_NormasERJ_2oGTLancamentoEfluentes_17e18nov08.pdf
28. Rio de Janeiro (State). DZ-215.R-4. 2007. "Biodegradable organic load control directive in liquid effluents of sanitary origin". Published in the official state newspaper on November 8, 2007. Accessed June 27, 2017. http://www.tesalab.com.br/site/downloads/INEA_DZ-215.pdf
29. Rio de Janeiro (State). Guideline INEA DZ-1310.R-7. 2004. "Waste Manifest System". Published in the official state newspaper on September 21, 2004. Accessed June 27, 2017. http://200.20.53.3:8081/cs/groups/public/@inter_pres_aspres/documents/document/zwff/mda3/~edisp/inea_007131.pdf
30. Rocinha PAC. 2009. "Final report of the household census of the Rocinha Complex". Accessed June 25, 2017. http://www.ciespi.org.br/primeira_infancia/cartografia/cartografias/rocinha/rocinha-em-numeros/rocinha-em-numeros
31. Rocinha PAC. 2014. "A participatory evaluation on housing, sanitation and mobility" in Rocinha Notebook Of Offices. Nº. 3, 1-12. LTM.
32. SNIS (National Sanitation Information System). 2017. Accessed June 20, 2017. http://www.snis.gov.br
33. Vicente, J.F., de Carvalho, M.G. And Barbosa, G. R. 2010. "Hydrogeological evaluation of the administrative regions of Campo Grande and Guaratiba / RJ". XVI Brazilian Congress of Underground Waters. 1-18. Accessed June 25, 2017. https://aguassubterraneas.abas.org/asubterraneas/article/view/23139
34. Waters of Brazil. 2017. "Concession of sewage services west zone - Rio de Janeiro." Accessed June 29, 2017. http://www.fozaguas5.com.br/
</t>
  </si>
  <si>
    <t>Part A. 5. What is the average number of people per household in the settlement?</t>
  </si>
  <si>
    <t>Part A. 6 and 7. What proportion of adult women / adult men in total workers?</t>
  </si>
  <si>
    <t>Part A. 10. What is the percentage of households that have more than two adults working?</t>
  </si>
  <si>
    <t>Part A. 12. What are the monthly salaries for unskilled workers in construction?</t>
  </si>
  <si>
    <t>Part B. 8. What is the percentage of households that have more than two adults working?</t>
  </si>
  <si>
    <t>Part B. 10. What are the monthly salaries for unskilled workers in construction?</t>
  </si>
  <si>
    <t>Part B. 12. What proportion of families in the city live in informal settlements?</t>
  </si>
  <si>
    <t xml:space="preserve">Part E.8. What proportion of the monthly income of a typical household is spent on water that is not obtained directly from the main public system?
Assuming average consumption of 300 liters per day for 2.9 people, it reaches the total consumption 870 liters/day, equivalent to 26,100 liters/month.
Assuming L.C. 450/kite truck, we arrive at the expense of L.C.1,236/month.domicílio.
Assuming a monthly amount of L.C. 2,114/person.domicile, and an average of 1.5 workers per family, comes the proportion of 38.97% spent with water.
</t>
  </si>
  <si>
    <t>Although the average was exactly the same as the average number of persons per household in the city of Rio de Janeiro (2,9), a document was found (item 22 of Part I), which reports that some favela areas have high density, The Rocinha, where there are situations like three people using the same bed in different shifts.</t>
  </si>
  <si>
    <t>No specific data were found on the population working at Rocinha. The data entered relate to responsibility in the home.</t>
  </si>
  <si>
    <t>Data not collected by IBGE.</t>
  </si>
  <si>
    <t>Estimate based on interviews</t>
  </si>
  <si>
    <t>Data calculated from the average remuneration for construction workers (3.04 minimum wages) with a proportion of the average monthly remuneration by sex (4.55 minimum wages for men and 3.81 minimum wages for women).</t>
  </si>
  <si>
    <t>Assuming that the proportion of the population in informal settlements is the same proportion of the population in informal settlements.</t>
  </si>
  <si>
    <t>Minimum salary considered as 880 L.C.</t>
  </si>
  <si>
    <t>1. Whately e Diniz. 2009. Água e Esgoto na Grande São Paulo: Situação Atual, Nova Lei de Saneamento e Programas Governamentais Propostos. São Paulo: Instituto Socioambiental.</t>
  </si>
  <si>
    <t>Emcali, “Emcali,” 2017, www.emcali.com.co</t>
  </si>
  <si>
    <r>
      <rPr>
        <u val="single"/>
        <sz val="11"/>
        <color indexed="21"/>
        <rFont val="Calibri"/>
      </rPr>
      <t>http://www.cali.gov.co/publicaciones/107143/cali_en_cifras_planeacion/</t>
    </r>
  </si>
  <si>
    <t>http://www.cali.gov.co/dagma/</t>
  </si>
  <si>
    <t xml:space="preserve">http://www.dane.gov.co/ </t>
  </si>
  <si>
    <t xml:space="preserve">A.11. &amp; A. 13. The legal definition of work is very broad and includes most informal types of work. This means that 85% of employment is considered (by the community not by the government) as informal and not by the government. It is a form of inflation that political candidates have created, however I thought it was a very important estimate. </t>
  </si>
  <si>
    <t xml:space="preserve"> All Links to Information/References is in text.  </t>
  </si>
  <si>
    <t xml:space="preserve">1. ICDS. Siddarth Nagar Slum Survey under Integrated Child Development Services Scheme (ICDS) (Unpublished Report). Child Development Officer, Andheri 2, Mumbai, 2016.
2. Directorate of Census Operations. District Census Handbook: Mumbai. Series-28. Mumbai: Census of India, 2011.
3. Directorate of Census Operations. District Census Handbook: Mumbai Suburban. Series-28. Mumbai: Census of India, 2011.
4. Website of Municipal Corporation of Greater Mumbai www.mcgm.gov.in
</t>
  </si>
  <si>
    <t>Added as footnotes and also included in the supplementary written description</t>
  </si>
  <si>
    <t xml:space="preserve">1.	PMC Website www.pmc.gov.in 
	(i.e. Reference: Author’s last name, first. Year. Full title. City: Publisher’s name)
2.	2 CDP_Physical_Socia_Infra.pdf 
3.	Census_2011_Ward_office_wise.pdf
</t>
  </si>
  <si>
    <t xml:space="preserve">1.	During the survey for the questionnaire, even after providing assurance of confidentiality of the personal data, many respondents refused to give their contact details. 
2.	Ward wise data and distribution of population is not available with the concerned officers. They specifically asked to refer the website and documents available in public domain.
3.	Budget allocations are not disclosed from the officers.
4.	Recently the Deputy Mayor of Pune city passed away, so there was some level of disorientation in the offices of PMC. The Mayor was in some controversies because of her statement regarding the Social class system and targeting one particular caste. These incidents were creating some turbulence while approaching the officers. They were strictly notified not to lose face by giving out information.  
</t>
  </si>
  <si>
    <t xml:space="preserve">1. "Census Of Population And Housing 2011". 2017. Statistics.Gov.Lk. http://www.statistics.gov.lk/PopHouSat/CPH2011/index.php.
2. Fernando, Sudarshana, Pay Drechsel, Herath Manthrithilake, and Lalith Jayawardena. 2014. "A Review - Septage Management Related Regulatory and Institutional Aspects And Needs In Sri Lanka". Sabaragamuwa University Journal 13 (1): 1-15.
</t>
  </si>
  <si>
    <r>
      <rPr>
        <u val="single"/>
        <sz val="11"/>
        <color indexed="8"/>
        <rFont val="Calibri"/>
      </rPr>
      <t>Water Tariff Structure in Sri Lanka</t>
    </r>
    <r>
      <rPr>
        <sz val="11"/>
        <color indexed="8"/>
        <rFont val="Calibri"/>
      </rPr>
      <t xml:space="preserve">
</t>
    </r>
    <r>
      <rPr>
        <sz val="11"/>
        <color indexed="8"/>
        <rFont val="Calibri"/>
      </rPr>
      <t xml:space="preserve">
</t>
    </r>
    <r>
      <rPr>
        <sz val="11"/>
        <color indexed="8"/>
        <rFont val="Calibri"/>
      </rPr>
      <t xml:space="preserve">Samurdhi” is a programme introduced by the Government of Sri Lanka in 1994 to alleviate poverty in the country. The criteria to receive these benefits range from consideration of the number of family members, home ownership and household income not exceeding SLR3,600 per month. Samurdhi recipients also benefit from a subsidized water supply connection fee of Rs. 5,000 (which can be paid in installments) instead of the regular one time connection charge of SLR 17,000. The applicable water tariff for samurdhi recipients is shown in Table 1  and other domestic consumers is set out in Table 2 below. One unit of water is equivalent to one cubic meter. Samurdhi recipients who consume up to 15 m3 per month are provided a subsidized tariff. However, water consumption over 15 m3 is subject to normal domestic tariff rate. 
</t>
    </r>
    <r>
      <rPr>
        <sz val="11"/>
        <color indexed="8"/>
        <rFont val="Calibri"/>
      </rPr>
      <t xml:space="preserve">
</t>
    </r>
    <r>
      <rPr>
        <sz val="11"/>
        <color indexed="8"/>
        <rFont val="Calibri"/>
      </rPr>
      <t xml:space="preserve">Table 3 shows the tariff payable for public water sources. Apart from public places such as railway stations, bus terminals, parks etc the Colombo municipal council provides water through public taps to underserved settlements. The Water Tariff is paid by the Colombo Municipal council to the NWSDB.
</t>
    </r>
    <r>
      <rPr>
        <sz val="11"/>
        <color indexed="8"/>
        <rFont val="Calibri"/>
      </rPr>
      <t xml:space="preserve">
</t>
    </r>
    <r>
      <rPr>
        <sz val="11"/>
        <color indexed="8"/>
        <rFont val="Calibri"/>
      </rPr>
      <t xml:space="preserve">An estimation of Samurdhi water connections in the Colombo City is 12.33%. And in the Borella South GND it is 4.10%. 
</t>
    </r>
  </si>
  <si>
    <t>Bangladesh Bureau of Statistics. (2015). Census of Slum Areas and Floating Population.  
Bangladesh Bureau of Statistics. (2011). Population and Housing Census.  
Bangladesh Bureau of Statistics. (2013). Population Projection of Bangladesh .  
Bangladesh Water Act, (2013) 
Barkat, A., Poddar, A., Abdullah, M., &amp; ud Dowlah, M. (2015). National Water and Sanitation Sector Budget in Bangladesh: FY 2007/8-FY 2015/16. WaterAid Bangladesh 
Center for Urban Studies. (2005). Slums of Urban Bangladesh : Mapping and Census.  
Chowdhury Mahjaben Mizan; (2015) Strategic Management, Bottled Water Industry of Dhaka 
Dhaka WASA. (2015). Low-Income Customers Service Improvement Plan. Volume I.  
Dhaka WASA (2016) Audit Report 2015-16 
Dhaka WASA (2015) Maintenance-Manual-Pagla-STP-Vol-3 
Dhaka WASA Water Rules 2009 
Dhaka WASA (2016) Annual-Report, 2014-15 
Dhaka WASA (2015) Sewerage Master Plan of Dhaka City 
Dhaka Water and Sewerage Authority (WASA) Act, 1996 
Dhaka WASA (2016) Turn Around Update  
WSUP, 2015, Financial Analysis and Business Model development on FSM,  
Government of Bangladesh. (2010). PPP Policy and Guidelines .  
IB-Net Data on DWASA. https://www.ib-net.org/ 
ICCDR,B: (2016),  Baseline Population and Socioeconomic Census Slums of Dhaka (North and South) and Gazipur City Corporations,  
International Journal of Natural and Social Sciences, (2017) 4(2) Water supply and sanitation situation of Kalyanpur slum area in Dhaka,  Mehnaz Abbasi Badhan 
ITN-BUET, (2015) Wash (Water, Sanitation and Hygiene) Challenges in Slum Areas of Bangladesh 
MoLGRD&amp;C (2009) Local Government (City Corporations) Act, 2009 
MoLGRD&amp;C. (2011). Sector Development Plan (FY 2011-2025) .  
MoLGRD&amp;C. (1998) National Drinking Water Supply and Sanitation Policy 1998 
Practical Action. (2014). Situation Analysis Report on Faecal Sludge Management in Faridpur Municipality, Bangladesh. Practical Action. 
Participatory Management Initiative for Development (PMID), (2013) Analysis of factors affecting the usage, operation and maintenance of community latrines in low income communities (lics), in Dhaka city, for WSUP Bangladesh LIC WASH Programme 2013-15 
Water Aid, (2016) Low-income Customer Support Units 
WSP-World Bank (2016); Fecal Sludge Management: Diagnostics for Service Delivery in Urban Areas: Case Study 
WSP. (2012). Economic Impacts of Inadequate Sanitation in Bangladesh. World Bank. 
WSUP,(2014) Base line Survey: Bangladesh LIC WASH Programme, 2014 
WSUP. (2015). Financial Analysis and Business Model Development on FSM Service. WSUP and UNICEF. </t>
  </si>
  <si>
    <t>The city does not possess many essential statistics. After a lapse of almost 18 years, the population and housing census was conducted in March-May, 2017. The results shall come in April 2018. This makes one reason that information about households and infrastructural services is based upon observations and studies done by individual researchers and institutions</t>
  </si>
  <si>
    <t>The local power and influence of political groups in various localities plays an important role in determining the water supply norms in the city. Military interventions during various time zones in the history, unplanned migrations leading to creation of informal power groups and the gradual rise in informal economical activities are some reasons.</t>
  </si>
  <si>
    <t xml:space="preserve">Ahmed, N. (2008) Water Supply in Karachi – Issues and Prospects; Karachi: Oxford University Press
Ahmed, N. (2013a) Options for Improving Water Supply to Low Income Communities in Karachi; Proceedings of Institution of Civil Engineers, Municipal Engineer, Vol. 116 ME1, pp  139-146
Ahmed, N. (2013b) Tariff Structure and Willingness to Pay: Case of Karachi; Institution of Enfineers, Municipal Engineer, Vol 116 ME1, pp 45-52
KWSB (2017) Karachi Water and Sewerage  
</t>
  </si>
  <si>
    <t>KWSB is a very weak institution from financial and administrative perspective. It collects less than a quarter of the total bills issued. Thus occasional grants from provincial government make it run its business in a fire fighting manner. Corruption, political interference in routine affairs and absence of strategic planning are some of the reasons for this state of affairs.</t>
  </si>
  <si>
    <t xml:space="preserve">Ordinary people, as well as those working for civic agencies, are not very open to share their views and information about urban services. The long history of urban violence, persecution by administration and victimization by political groups become reasons for not sharing information. Thus it takes considerable effort to make informants share documents, evidences and opinions. </t>
  </si>
  <si>
    <r>
      <rPr>
        <sz val="9"/>
        <color indexed="8"/>
        <rFont val="Calibri"/>
      </rPr>
      <t>Urban services in Karachi in general and water supply is an extremely contested subject in the overall framework of governance. In the three tiered system of administration in Pakistan, provincial governments have become sufficiently powerful in terms of resources and controls as a consequence of 18</t>
    </r>
    <r>
      <rPr>
        <vertAlign val="superscript"/>
        <sz val="9"/>
        <color indexed="8"/>
        <rFont val="Calibri"/>
      </rPr>
      <t>th</t>
    </r>
    <r>
      <rPr>
        <sz val="9"/>
        <color indexed="8"/>
        <rFont val="Calibri"/>
      </rPr>
      <t xml:space="preserve"> Constitutional Amendment passed in 2010. The Sindh provincial government has created a legal and administrative environment where it controls bulk of institutions and resources related to Karachi, including Karachi Water and Sewerage Board (KWSB). People of Karachi, and other cities in Sindh, have voted for a different political party while the provincial government has gained votes and majority seats through the sub urban and rural constituencies. Thus political friction remains very visible in between provincial and local institutions. The citizens suffer due to very poor quality of service delivery due to this continuing tug of war!</t>
    </r>
  </si>
  <si>
    <t xml:space="preserve">NWSC, 2016,  Integrated Annual Report – 2016, Kampala (NWSC)
1.  (i.e. Reference: Author’s last name, first. Year. Full title. City: Publisher’s name)
2. NWSC, 2013, Annual Activity Report – 2012/2013, Kampala (NWSC)
3. NWSC, 2015,  Management of Sewage in Urban Areas by NWSC – 2015, Kampala, Auditor General’s  Office, A report
4. NWSC, 2015, Corporate Plan July 2015 – June 2018, NWSC, Kampala
5. The World Bank, 1990, STAFF APPRAISAL REPORT THE REPUBLIC OF UGANDA ALLEVIATION OF POVERTY AND THE
SOCIAL COSTS OF ADJUSTMENT PROJECT JANUARY 10, 1990 Country Operations
6. NWSC, 2015, Corporate Plan July 2012 – June 2015, NWSC, Enhancing Financial sustainability and infrastructure growth, Kampala
7. Lucy Emerton, Lucy Iyango, Phoebe Luwum and Andrew Malinga, 1998, THE PRESENT ECONOMIC VALUE OF NAKIVUBO URBAN WETLAND, UGANDA, Kampala
8. Caroline Murungi*, Meine Pieter van Dijk, 2014, Emptying, Transportation and Disposal of feacal sludge in informal settlements of Kampala Uganda: The economics of sanitation, Habitat International 42 (2014) 69e75
9. Government of Uganda, 2016, national population and housing census 2014 Main report, UBOS, Kampala
10. Kenan Okurut, Robinah Nakawunde Kulabako, Jonathan Chenoweth &amp; Katrina Charles, 2014, Assessing demand for improved sustainable sanitation in low-income informal settlements of urban areas: a critical review, International Journal of Environmental Health Research ISSN: 0960-3123 (Print) 1369-1619
11. KCC, UNEP, 2007, CI T I E S WI THOUT S LUMS Sub-Regional Programme for Eastern and Southern Africa SITUATION ANALYSIS O  F INFORMAL SETTLEMENTS IN KAMPALA, Nairobi
12. J. T. Tukahirwa , A. P.J. Mol &amp; P. Oosterveer,  2010, Civil society participation in urban sanitation and solid waste management in Uganda, The International Journal of Justice and Sustainability ISSN: 1354-9839 (Print) 1469-6711
</t>
  </si>
  <si>
    <t xml:space="preserve">The statistics provided under A questions are estimates from the FGD that was chaired by Mr. Ronald Kasalu of Bwaise affiliate of SDI. These estimates were discussed by the participants to provide their current estimate given that the settlement is dynamic. 
City level data is coming from multiple sources including the recent census of 2012 but because the report was released late, these may not give the up to date estimate. We corroborated the statistics with the DHS of 2007 and statistical abstract of Uganda. Although these give a picture of Kampala in general, they don't disaggregate the employment data for example. This estimates are given base don corroborated statistics.
</t>
  </si>
  <si>
    <t xml:space="preserve"> Lagos Bureau of Statistics (LBS), 2013. Household Survey 2013 Main Report. Ministry of Economic Planning and Budget, Lagos State Government.
1. 
Lagos Metropolitan Development and Governance Project (LMDGP), 2006. Main Report, Lagos State Urban Upgrading Project Confirmation Survey.   
2. _______________________________________________________________________________________________________________________
Lagos State Environmental Management Protection Law, 2017 (“EMPL 2017”).  
3. _________________________________________________________________________________________________________________________
4. Lagos State Government (LSG), 2002. Lagos Metropolitan Development Project. Norway:  Stoveland Consult, Kristiansand.
.…………………………………………………………………………………………………………………………………………………………………………..
Lagos State Government/ United Nations Centre for Human Settlements, 1984. Identification of Urban Renewal Areas in Metropolitan Lagos’, Urban and Regional Planning Division: United Nations Development Programme UNCHS Habitat N1R 82/00/Implementation
5. _________________________________________________________________________________________________________________________
       Lagos State Government/ UN-Habitat, 2004. State of the Lagos Mega City and Other Nigerian Cities Report.
6. ______________________________________________________________________________________________________________________
 Lagos State Government (LSG), 2013. Lagos State Development Plan 2012-2025 Main Document. Lagos:Ministry of Economic Planning and Budget. 
7. ……………………………………………………………………………………………………………………………………………………………………………
8. Lagos State Government (LSG). Mainland Central Model City Plan 2032: Planning Strategy. Ministry of Physical Planning and Urban Development. March 2013
……………………………………………………………………………………………………………………………………….
9. Lagos State Water Regulatory Commission (LSWRC), 2014. Annual Report. 
10. Lagos Water Corporation (LWC), 2010. Lagos Water Supply Master </t>
  </si>
  <si>
    <t>Table 8, columns 4 and 5 was not filled for A and B because of the significant variations across the city.</t>
  </si>
  <si>
    <t xml:space="preserve"> 1. Instituto Nacional de Estatística. 2006. “Primeiro Inquérito Nacional ao Sector Informal”. Maputo, Moçambique. 
2. CRA, 2016. Relatório ao Governo 2015. Maputo. 
3. WSUP, 2016. Relatório de Água e Saneamento dos 11 Bairros do Distrito de Nhalhamankulu pelos Líderes Locais – II Levantamento”. Maputo.
4. Zuin, V., Nicholson, M., &amp; Davis, J. (2012). Water access, poverty, and policy changes in peri-urban Maputo. 
5. Water and Sanitation Program and the Municipality of Maputo, (2014). Caracterização do Saneamento em Maputo. Maputo
6. Conselho Municipal de Maputo, (2010). Perfil Estatístico do Município de Maputo. Maputo.
7. Hawkins, P., &amp; Muxímpua, O. (2015). Developing business models for fecal sludge management in Maputo.
8. Respeito, C.V, (2014). Importância de uma estação de tratamento de águas residuais moderna para a conservação e manutenção do meio ambiente: Caso da Cidade de Maputo (Vale do Infulene).
9. Organização de Trabalhadores de Moçambique (OTM) – Central Sindical Report. 2013. “Dinâmica do Actual Mercado de Trabalho e Desafios do Movimento Sindical em Moçambique. Mozambique.
10. The World Bank. 2017. Republic of Mozambique Urban Safety Nets in Mozambique. 
11. Águas da Região de Maputo, 2017. Relatório Mensal (Abril).
</t>
  </si>
  <si>
    <t xml:space="preserve"> Manda, M.A.Z, 2012, ‘WASH Situation in Small Towns in Central Region of Malawi.’ Lilongwe, Water Aid
Manda, 2009, Water and Sanitation in Urban Malawi- Can the Millennium Development Goals be Achieved? A study of Informal Settlements in three cities, London, IIED
Mateferia Consulting Engineers. 2007. Final Design Criteria and Stakeholders Consultation. Design Criteria, Mzuzu: Unpublished 
Mateferia Consulting Engineers. 2007. Final Design Criteria and Stakeholders Consultation. Design Criteria, Mzuzu: NRWB.
Mzuzu city Council. 2017. Environmental Quarterly Health Data Reoprt. Administrative records, Mzuzu: Unpublished.
National Statistical Office. 2010. Population and Housing Census 2008,Spatial Distribution and Urbanisation. Analytical Report:Volume 9, Zomba: National Statistical Office.
NRWB. 2017. Daily or Monthly Reports. Administrative Records,, Mzuzu: Unpublished.
NRWB. 2017. Performance Indicators. Performance, Mzuzu: Unpublished.
Secondary Centres Devel;opment Programmme. N.D. Final Report. Final, Lilongwe: Unpublished.
Mzuzu city Council. 2017. Environmental Quarterly Health Data Reoprt. Administrative records, Mzuzu: Unpublished.
National Statistical Office. 2010. Population and Housing Census 2008,Spatial Distribution and Urbanisation. Analytical Report:Volume 9, Zomba: National Statistical Office.
NRWB. 2017. Daily or Monthly Reports. Administrative Records,, Mzuzu: Unpublished.
Manda, M. 2009. Water and Sanitation in Urban Malawi: Can the Millennium Gooals be met- A study of nformal settlement in three cities, London: IIED
</t>
  </si>
  <si>
    <t xml:space="preserve">Generally, the respondents’ tendencies were in two-fold, institutions responses at city-wide level tend to give higher. At community level, data is largely sketchy 
The blanks in some data sets are due to the fact that the data collecting tools for administrative records and reports could not capture the data as required by the template
City-wide level mixed jurisdictions, that of Ministry of Water Development and Agencies such as Mzuzu City Council and Northern Region Water Board (NRWB) do not have current data..
There is no recent survey by NSO that has captured the Sanitation and Water treatment for table 9 at Mzuzu City level. There is no institution responsible at City Level. Coverage of the Water Board is not city wide, the city council. I wish we can conduct such a study in the whole of Mzuzu (at least using a suitable sample from each informal settlement!)
The City council monitoring data is nonetheless current 
</t>
  </si>
  <si>
    <t xml:space="preserve">African Population and Health Research Center (APHRC). 2014. Population and Health Dynamics in Nairobi’s Informal Settlements: Report of the Nairobi Cross-sectional Slums Survey (NCSS) 2012. Nairobi: APHRC.
Afriwater.org. 2017. Welcome to Africa Water, Sanitation &amp; Hygiene. Available at: https://afriwater.org  [Accessed 30 Jun. 2017].
Agence Française de Développement (AFD). 2011. Nairobi Water and Sewerage Emergency Physical Investments Programme Sasumua works – commissioning ceremony. Press Release. Nairobi: AFD. Available at: http://www.afd.fr/webdav/shared/PORTAILS/PAYS/KENYA/Press%20announcement%20inauguration%20Sasumua.pdf  [Accessed 30 Jun. 2017].
Awsboard.go.ke. 2017. Sasumua Dam | Athi Water. Available at: http://awsboard.go.ke/our-projects/sasumua-dam  [Accessed 30 Jun. 2017].
Bill &amp; Melinda Gates Foundation. 2011. Landscape Analysis and Business Model Assessment in Fecal Sludge Management: Extraction and Transportation Models in Africa – Kenya. Final Report. Volume I of II. Available on: http://www.pseau.org/outils/ouvrages/bill_melinda_gates_foundation_losai_management_limited_landscape_analysis_and_business_model_assessment_in_fecal_sludge_management_extraction_and_transportation_models_in_africa_kenya_2011.pdf  . [Accessed on 07/01/2017]
Centre for Urban Research and Innovations et al .2012. Mathare Zonal Plan a Collaborative Plan for Informal Settlement Upgrading. Nairobi: Centre for Urban Research and Innovations . Available at:  http://centreforurbaninnovations.com/content/mathare-zonal-plan-collaborative-plan-informal-settlement-upgrading [Accessed 30 Jun. 2017].
Deutsche Gesellschaft fuer Internationale Zusammenarbeit (GIZ) &amp; Water Services Trust Fund (WSTF). 2012. Inventory of current sanitation practices in Kenya. UBSUP Document Nr. 4 (15.04.2012): Nairobi: GIZ &amp; WSTF
Gwopa [2010]. Access to Water in Nairobi: Mapping the Inequities beyond Statistics. Available at: http://access-to-water-in-nairobi.gwopa.org/download/access_to_water_in_Nairobi_mapping_the_inequities_beyond_the_statistics.pdf [Accessed 30 Jun. 2017].
Kenya National Bureau of Statistics (KNBS). 2012. 2009  Kenya Population and Housing Census. Analytical Report on Urbanization. Vol III. Nairobi: KNBS
Kenya National Bureau of Statistics. 2010. The 2009 Kenya Population and Housing Census: Vol II: Population and Household Distribution by Socio-Economic Characteristics. Nairobi: Kenya National Bureau of Statistics
Ledant, M. 2011. Access to Water in Nairobi: Mapping the Inequities Beyond the Statistics. Nairobi: Global Water Operators’ Partnerships Alliance (GWOPA) and the French Institute for Research in Africa (IFRA).
Nairobi City County. 2014. Nairobi Integrated Development Plan 2014. Population Projections adapted from Kenya National Bureau of Statistics 2013.Nairobi: Nairobi City County
Nairobi City County et al .2014. Nairobi Integrated Urban Development Master Plan. Nairobi: Nairobi City County
Nairobi City Water and Sanitation Company Ltd (NCWSC). Nd. Annex 2 Details Of Nairobi City Water and Sewerage Company Limited Regular Tariff Application (2014/15 To 2017/18).  NAIROBI: NCWSC
Nairobi City Water and Sewerage Company (NCWSC) .2017. Water tariffs. [online] Nairobiwater.co.ke. Available at: https://www.nairobiwater.co.ke/index.php/en/watertariffs  [Accessed 30 Jun. 2017].
Nairobi City Water and Sewerage Company (NCWSC). 2014. Nairobi City Water and Sewerage Company Limited Strategic Plan 2014/15 – 2018/19. Nairobi: NCWSC
Nairobi City Water and Sewerage Company (NCWSC). 2017. Draft Nairobi Water Distribution Masterplan. Nairobi: NCWSC
Nairobi City Water and Sewerage Company .2016. Nairobi City Water and Sewerage Company Ltd 2014/2015 Annual Report and Accounts. Nairobi: NCWSC
Republic of Kenya. 2002. Water Act 2002. Nairobi: Government Printer
Republic of Kenya. 2011. Spatial Planning Concept for Nairobi Metropolitan Region Draft Plan. Nairobi: Ministry of Nairobi Metropolitan Development
Republic of Kenya. 2016. Water Act 2016. Nairobi: Government Printer
Water Resources Management Authority (WRMA). 2007. Water Resources Management Rules 2007. Nairobi: WRMA
Water Services Regulatory Board (WASREB) and Water and Sanitation Program (WSP). 2011. Financing Urban Water Services In Kenya: Utility Shadow Credit Ratings. Nairobi: WASREB/WSP
Water Services Regulatory Board (WASREB). 2016. Impact: A performance Review of Kenya’s Water Services Sector 2014-2015. Issue No. 9. Nairobi: WASREB
Wiesmann, U., Kiteme, B., Mwangi, Z. 2016. Socio-Economic Atlas of Kenya: Depicting the National Population Census by County and Sub-Location. Second, revised edition. KNBS, Nairobi. CETRAD, Nanyuki. CDE, Bern.
World Bank. 2016. Kenya urbanization Review: Nairobi Statistical Abstract. Nairobi: The World Bank
World Bank.1998. Implementation Completion Report: Nairobi Third Water Supply Project. Available at: http://documents.worldbank.org/curated/en/865181468273622384/pdf/multi-page.pdf   [Accessed 30 Jun. 2017].
List of Websites:
Athi Water Services Board, Sasumua dam: http://awsboard.go.ke/our-projects/sasumua-dam/     [Accessed on 01/07/ 2017].
Athi Water Services Board, Ndakaini dam: http://awsboard.go.ke/our-projects/thika-dam-ndakaini/ [Accessed on 01/07/ 2017].
KENTANK price list-June 2015 http://www.kentainers.co.ke/wp-content/uploads/2016/05/KENTANK-PRICE-LIST-JUNE-2015.pdf [Accessed on 01/07/ 2017].
Majidata Water and sanitation data portal: http://majidata.go.ke/wsb.php?MID=MTE=&amp;SMID=NQ== [Accessed on 01/07/ 2017].
Waste water treatment in Nairobi: http://en.chinagate.cn/archives/wastewater/2015-03/24/content_35140726.htm [Accessed on 01/07/ 2017].
City Hall moves to end Runda water monopoly: http://www.nation.co.ke/news/City-Hall-moves-to-end-Runda-water-monopoly/1056-2523708-qfbogfz/index.html [Accessed on 01/07/ 2017].
NCWSC Equitable water distribution programme: https://www.facebook.com/nairobiwater254/photos/pb.149724651767762.-2207520000.1498926123./1538978919508988/?type=3&amp;theater 
Nairobi City Water Rationing: http://www.capitalfm.co.ke/news/2017/04/nairobi-water-rationing-get-worse-ndakaini-hits-new-low/ 
Nairobi Cholera Outbreak articles: 
 http://www.health.go.ke/2017/05/press-release-on-the-cholera-outbreak-in-the-country/ 
https://www.standardmedia.co.ke/health/article/2001240257/cholera-outbreak-reported-in-nairobi
 http://www.bbc.com/news/world-africa-40369318
</t>
  </si>
  <si>
    <t xml:space="preserve">Most of the comprehensive and disaggregated data on water and sanitation in Nairobi is based on the 2009 census data and studies done during the 2010-2012 period by Bill and Melinda Gates Foundation, GWOPA and Majidata projects. 
No recent (i.e. 2015 onwards) data on water and sanitation access was identified at the period of doing this study in Nairobi
Categorization of water and sanitation facilities and arrangements seems to vary from one study to the other. Efforts have been undertaken to match the categories identified by this study and other studies.
</t>
  </si>
  <si>
    <t>Data gaps: Reliable information was not identified for the following Questions: Section B: 6, 7 &amp; 8;  Table 7-columns 43 &amp; 44 ; and some row entries for Table 12 columns 29, 31 and 32. For Question 34, although there is not water treatment plant in the city (they are all situated outside the city), data for Table 7 is provided.</t>
  </si>
  <si>
    <t>Private-led sewerage interventions are the most prevalent in the city, especially in the low-income areas and high ‘low-income’ and high density housing areas such as tenement areas.</t>
  </si>
  <si>
    <t>It is important to note that this study was undertaken during implementation (ongoing) of a water rationing programme by NCWSC, which commenced in January 2017 [see: http://www.capitalfm.co.ke/news/2017/04/nairobi-water-rationing-get-worse-ndakaini-hits-new-low/ ] , and during this period, the city has recorded numerous cases of cholera [e.g. see: http://www.health.go.ke/2017/05/press-release-on-the-cholera-outbreak-in-the-country/ ]</t>
  </si>
  <si>
    <t>This study relied mainly on existing literature and the Utility’s managers for information.</t>
  </si>
  <si>
    <t>Nairobi has only one major utility (Nairobi City Water and Sewerage Company Ltd, which is owned by the government and mandated to offer water and sanitation services. From the data it’s notable that while the utility has significantly invested in increasing water connections, the same if not for sewerage connections, which are of very low coverage within the city.</t>
  </si>
</sst>
</file>

<file path=xl/styles.xml><?xml version="1.0" encoding="utf-8"?>
<styleSheet xmlns="http://schemas.openxmlformats.org/spreadsheetml/2006/main">
  <numFmts count="7">
    <numFmt numFmtId="0" formatCode="General"/>
    <numFmt numFmtId="59" formatCode="&quot; &quot;[$$-409]* #,##0.00&quot; &quot;;&quot; &quot;[$$-409]* &quot;-&quot;#,##0.00&quot; &quot;;&quot; &quot;[$$-409]* &quot;-&quot;??&quot; &quot;"/>
    <numFmt numFmtId="60" formatCode="&quot; &quot;[$$-409]* #,##0&quot; &quot;;&quot; &quot;[$$-409]* &quot;-&quot;#,##0&quot; &quot;;&quot; &quot;[$$-409]* &quot;-&quot;??&quot; &quot;"/>
    <numFmt numFmtId="61" formatCode="0.000"/>
    <numFmt numFmtId="62" formatCode="&quot; &quot;[$R$-416]* #,##0.00&quot; &quot;;&quot; &quot;[$R$-416]* (#,##0.00);&quot; &quot;[$R$-416]* &quot;-&quot;??&quot; &quot;"/>
    <numFmt numFmtId="63" formatCode="0.0%"/>
    <numFmt numFmtId="64" formatCode="&quot; &quot;* #,##0.00&quot; &quot;;&quot; &quot;* (#,##0.00);&quot; &quot;* &quot;-&quot;??&quot; &quot;"/>
  </numFmts>
  <fonts count="43">
    <font>
      <sz val="11"/>
      <color indexed="8"/>
      <name val="Calibri"/>
    </font>
    <font>
      <sz val="12"/>
      <color indexed="8"/>
      <name val="Helvetica Neue"/>
    </font>
    <font>
      <sz val="15"/>
      <color indexed="8"/>
      <name val="Calibri"/>
    </font>
    <font>
      <b val="1"/>
      <sz val="22"/>
      <color indexed="8"/>
      <name val="Cambria"/>
    </font>
    <font>
      <sz val="9"/>
      <color indexed="8"/>
      <name val="Calibri"/>
    </font>
    <font>
      <b val="1"/>
      <sz val="10"/>
      <color indexed="8"/>
      <name val="Calibri"/>
    </font>
    <font>
      <sz val="9"/>
      <color indexed="8"/>
      <name val="Cambria"/>
    </font>
    <font>
      <b val="1"/>
      <sz val="22"/>
      <color indexed="8"/>
      <name val="Calibri"/>
    </font>
    <font>
      <b val="1"/>
      <sz val="11"/>
      <color indexed="8"/>
      <name val="Calibri"/>
    </font>
    <font>
      <b val="1"/>
      <sz val="9"/>
      <color indexed="8"/>
      <name val="Calibri"/>
    </font>
    <font>
      <sz val="10"/>
      <color indexed="8"/>
      <name val="Calibri"/>
    </font>
    <font>
      <sz val="9"/>
      <color indexed="8"/>
      <name val="Arial"/>
    </font>
    <font>
      <vertAlign val="superscript"/>
      <sz val="9"/>
      <color indexed="8"/>
      <name val="Calibri"/>
    </font>
    <font>
      <sz val="11"/>
      <color indexed="8"/>
      <name val="Helvetica Neue"/>
    </font>
    <font>
      <sz val="9"/>
      <color indexed="19"/>
      <name val="Arial"/>
    </font>
    <font>
      <u val="single"/>
      <sz val="9"/>
      <color indexed="8"/>
      <name val="Calibri"/>
    </font>
    <font>
      <b val="1"/>
      <sz val="12"/>
      <color indexed="8"/>
      <name val="Times New Roman"/>
    </font>
    <font>
      <b val="1"/>
      <sz val="9"/>
      <color indexed="8"/>
      <name val="Arial"/>
    </font>
    <font>
      <b val="1"/>
      <sz val="9"/>
      <color indexed="19"/>
      <name val="Arial"/>
    </font>
    <font>
      <strike val="1"/>
      <sz val="9"/>
      <color indexed="8"/>
      <name val="Arial"/>
    </font>
    <font>
      <sz val="8"/>
      <color indexed="8"/>
      <name val="Arial"/>
    </font>
    <font>
      <u val="single"/>
      <sz val="9"/>
      <color indexed="8"/>
      <name val="Arial"/>
    </font>
    <font>
      <sz val="12"/>
      <color indexed="8"/>
      <name val="Times New Roman"/>
    </font>
    <font>
      <sz val="8"/>
      <color indexed="8"/>
      <name val="Times New Roman"/>
    </font>
    <font>
      <sz val="10"/>
      <color indexed="8"/>
      <name val="Arial"/>
    </font>
    <font>
      <sz val="10"/>
      <color indexed="8"/>
      <name val="Times New Roman"/>
    </font>
    <font>
      <sz val="8"/>
      <color indexed="8"/>
      <name val="Calibri"/>
    </font>
    <font>
      <u val="single"/>
      <sz val="11"/>
      <color indexed="21"/>
      <name val="Calibri"/>
    </font>
    <font>
      <sz val="10"/>
      <color indexed="23"/>
      <name val="Segoe UI"/>
    </font>
    <font>
      <sz val="9"/>
      <color indexed="8"/>
      <name val="Calibri"/>
    </font>
    <font>
      <b val="1"/>
      <sz val="8"/>
      <color indexed="8"/>
      <name val="Calibri"/>
    </font>
    <font>
      <sz val="11"/>
      <color indexed="8"/>
      <name val="Arial"/>
    </font>
    <font>
      <u val="single"/>
      <sz val="10"/>
      <color indexed="21"/>
      <name val="Calibri"/>
    </font>
    <font>
      <sz val="9"/>
      <color indexed="25"/>
      <name val="Arial"/>
    </font>
    <font>
      <b val="1"/>
      <sz val="9"/>
      <color indexed="25"/>
      <name val="Arial"/>
    </font>
    <font>
      <sz val="11"/>
      <color indexed="8"/>
      <name val="Times New Roman"/>
    </font>
    <font>
      <sz val="12"/>
      <color indexed="8"/>
      <name val="Calibri"/>
    </font>
    <font>
      <vertAlign val="superscript"/>
      <sz val="10"/>
      <color indexed="8"/>
      <name val="Calibri"/>
    </font>
    <font>
      <vertAlign val="superscript"/>
      <sz val="9"/>
      <color indexed="8"/>
      <name val="Arial"/>
    </font>
    <font>
      <b val="1"/>
      <vertAlign val="superscript"/>
      <sz val="11"/>
      <color indexed="8"/>
      <name val="Calibri"/>
    </font>
    <font>
      <b val="1"/>
      <sz val="8"/>
      <color indexed="8"/>
      <name val="Arial"/>
    </font>
    <font>
      <i val="1"/>
      <sz val="12"/>
      <color indexed="8"/>
      <name val="Times New Roman"/>
    </font>
    <font>
      <u val="single"/>
      <sz val="11"/>
      <color indexed="8"/>
      <name val="Calibri"/>
    </font>
  </fonts>
  <fills count="17">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2"/>
        <bgColor auto="1"/>
      </patternFill>
    </fill>
    <fill>
      <patternFill patternType="solid">
        <fgColor indexed="24"/>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s>
  <borders count="56">
    <border>
      <left/>
      <right/>
      <top/>
      <bottom/>
      <diagonal/>
    </border>
    <border>
      <left style="thin">
        <color indexed="10"/>
      </left>
      <right style="thin">
        <color indexed="10"/>
      </right>
      <top style="thin">
        <color indexed="10"/>
      </top>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10"/>
      </left>
      <right style="thin">
        <color indexed="8"/>
      </right>
      <top/>
      <bottom style="thin">
        <color indexed="8"/>
      </bottom>
      <diagonal/>
    </border>
    <border>
      <left style="thin">
        <color indexed="8"/>
      </left>
      <right style="thin">
        <color indexed="8"/>
      </right>
      <top/>
      <bottom style="thin">
        <color indexed="8"/>
      </bottom>
      <diagonal/>
    </border>
    <border>
      <left style="thin">
        <color indexed="10"/>
      </left>
      <right/>
      <top style="thin">
        <color indexed="8"/>
      </top>
      <bottom style="thin">
        <color indexed="10"/>
      </bottom>
      <diagonal/>
    </border>
    <border>
      <left/>
      <right/>
      <top style="thin">
        <color indexed="8"/>
      </top>
      <bottom/>
      <diagonal/>
    </border>
    <border>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top style="thin">
        <color indexed="10"/>
      </top>
      <bottom style="thin">
        <color indexed="10"/>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8"/>
      </bottom>
      <diagonal/>
    </border>
    <border>
      <left/>
      <right/>
      <top/>
      <bottom style="thin">
        <color indexed="8"/>
      </bottom>
      <diagonal/>
    </border>
    <border>
      <left/>
      <right style="thin">
        <color indexed="10"/>
      </right>
      <top style="thin">
        <color indexed="10"/>
      </top>
      <bottom style="thin">
        <color indexed="8"/>
      </bottom>
      <diagonal/>
    </border>
    <border>
      <left style="thin">
        <color indexed="10"/>
      </left>
      <right/>
      <top style="thin">
        <color indexed="8"/>
      </top>
      <bottom/>
      <diagonal/>
    </border>
    <border>
      <left style="thin">
        <color indexed="10"/>
      </left>
      <right/>
      <top/>
      <bottom/>
      <diagonal/>
    </border>
    <border>
      <left style="thin">
        <color indexed="10"/>
      </left>
      <right/>
      <top/>
      <bottom style="thin">
        <color indexed="8"/>
      </bottom>
      <diagonal/>
    </border>
    <border>
      <left style="thin">
        <color indexed="10"/>
      </left>
      <right/>
      <top/>
      <bottom style="thin">
        <color indexed="10"/>
      </bottom>
      <diagonal/>
    </border>
    <border>
      <left style="thin">
        <color indexed="8"/>
      </left>
      <right style="thin">
        <color indexed="8"/>
      </right>
      <top style="thin">
        <color indexed="10"/>
      </top>
      <bottom style="thin">
        <color indexed="8"/>
      </bottom>
      <diagonal/>
    </border>
    <border>
      <left style="thin">
        <color indexed="8"/>
      </left>
      <right style="thin">
        <color indexed="10"/>
      </right>
      <top style="thin">
        <color indexed="10"/>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style="thin">
        <color indexed="10"/>
      </right>
      <top style="thin">
        <color indexed="8"/>
      </top>
      <bottom/>
      <diagonal/>
    </border>
    <border>
      <left style="thin">
        <color indexed="10"/>
      </left>
      <right style="thin">
        <color indexed="10"/>
      </right>
      <top/>
      <bottom style="thin">
        <color indexed="10"/>
      </bottom>
      <diagonal/>
    </border>
    <border>
      <left style="thin">
        <color indexed="10"/>
      </left>
      <right style="thin">
        <color indexed="10"/>
      </right>
      <top/>
      <bottom/>
      <diagonal/>
    </border>
    <border>
      <left/>
      <right style="thin">
        <color indexed="10"/>
      </right>
      <top style="thin">
        <color indexed="8"/>
      </top>
      <bottom/>
      <diagonal/>
    </border>
    <border>
      <left style="thin">
        <color indexed="10"/>
      </left>
      <right style="thin">
        <color indexed="10"/>
      </right>
      <top style="thin">
        <color indexed="8"/>
      </top>
      <bottom style="thin">
        <color indexed="8"/>
      </bottom>
      <diagonal/>
    </border>
    <border>
      <left style="thin">
        <color indexed="10"/>
      </left>
      <right style="thin">
        <color indexed="10"/>
      </right>
      <top/>
      <bottom style="thin">
        <color indexed="8"/>
      </bottom>
      <diagonal/>
    </border>
    <border>
      <left/>
      <right/>
      <top style="thin">
        <color indexed="8"/>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10"/>
      </left>
      <right style="medium">
        <color indexed="8"/>
      </right>
      <top style="thin">
        <color indexed="10"/>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10"/>
      </right>
      <top style="thin">
        <color indexed="10"/>
      </top>
      <bottom style="thin">
        <color indexed="8"/>
      </bottom>
      <diagonal/>
    </border>
    <border>
      <left style="thin">
        <color indexed="8"/>
      </left>
      <right style="thin">
        <color indexed="10"/>
      </right>
      <top style="thin">
        <color indexed="10"/>
      </top>
      <bottom style="thin">
        <color indexed="10"/>
      </bottom>
      <diagonal/>
    </border>
    <border>
      <left/>
      <right style="thin">
        <color indexed="10"/>
      </right>
      <top/>
      <bottom style="thin">
        <color indexed="10"/>
      </bottom>
      <diagonal/>
    </border>
    <border>
      <left/>
      <right/>
      <top style="thin">
        <color indexed="10"/>
      </top>
      <bottom style="thin">
        <color indexed="10"/>
      </bottom>
      <diagonal/>
    </border>
    <border>
      <left style="thin">
        <color indexed="10"/>
      </left>
      <right/>
      <top style="thin">
        <color indexed="8"/>
      </top>
      <bottom style="thin">
        <color indexed="8"/>
      </bottom>
      <diagonal/>
    </border>
    <border>
      <left/>
      <right style="thin">
        <color indexed="10"/>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10"/>
      </bottom>
      <diagonal/>
    </border>
  </borders>
  <cellStyleXfs count="1">
    <xf numFmtId="0" fontId="0" applyNumberFormat="0" applyFont="1" applyFill="0" applyBorder="0" applyAlignment="1" applyProtection="0">
      <alignment vertical="bottom"/>
    </xf>
  </cellStyleXfs>
  <cellXfs count="101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horizontal="left" vertical="center"/>
    </xf>
    <xf numFmtId="0" fontId="0" fillId="2" borderId="2" applyNumberFormat="0" applyFont="1" applyFill="1" applyBorder="1" applyAlignment="1" applyProtection="0">
      <alignment vertical="bottom"/>
    </xf>
    <xf numFmtId="0" fontId="0" borderId="3" applyNumberFormat="0" applyFont="1" applyFill="0" applyBorder="1" applyAlignment="1" applyProtection="0">
      <alignment vertical="bottom"/>
    </xf>
    <xf numFmtId="49" fontId="4" borderId="4" applyNumberFormat="1" applyFont="1" applyFill="0" applyBorder="1" applyAlignment="1" applyProtection="0">
      <alignment horizontal="center" vertical="bottom"/>
    </xf>
    <xf numFmtId="0" fontId="3" fillId="3" borderId="5" applyNumberFormat="0" applyFont="1" applyFill="1" applyBorder="1" applyAlignment="1" applyProtection="0">
      <alignment horizontal="left" vertical="center"/>
    </xf>
    <xf numFmtId="49" fontId="4" fillId="3" borderId="4" applyNumberFormat="1" applyFont="1" applyFill="1" applyBorder="1" applyAlignment="1" applyProtection="0">
      <alignment horizontal="center" vertical="center" wrapText="1"/>
    </xf>
    <xf numFmtId="49" fontId="4" fillId="4" borderId="4" applyNumberFormat="1" applyFont="1" applyFill="1" applyBorder="1" applyAlignment="1" applyProtection="0">
      <alignment horizontal="center" vertical="center" wrapText="1"/>
    </xf>
    <xf numFmtId="49" fontId="4" fillId="4" borderId="6" applyNumberFormat="1" applyFont="1" applyFill="1" applyBorder="1" applyAlignment="1" applyProtection="0">
      <alignment horizontal="center" vertical="center" wrapText="1"/>
    </xf>
    <xf numFmtId="0" fontId="4" fillId="3" borderId="4" applyNumberFormat="0" applyFont="1" applyFill="1" applyBorder="1" applyAlignment="1" applyProtection="0">
      <alignment horizontal="center" vertical="center" wrapText="1"/>
    </xf>
    <xf numFmtId="0" fontId="4" fillId="4" borderId="4" applyNumberFormat="0" applyFont="1" applyFill="1" applyBorder="1" applyAlignment="1" applyProtection="0">
      <alignment horizontal="center" vertical="center" wrapText="1"/>
    </xf>
    <xf numFmtId="0" fontId="4" fillId="4" borderId="7" applyNumberFormat="0" applyFont="1" applyFill="1" applyBorder="1" applyAlignment="1" applyProtection="0">
      <alignment horizontal="center" vertical="center" wrapText="1"/>
    </xf>
    <xf numFmtId="0" fontId="3" fillId="3" borderId="8" applyNumberFormat="0" applyFont="1" applyFill="1" applyBorder="1" applyAlignment="1" applyProtection="0">
      <alignment horizontal="left" vertical="center"/>
    </xf>
    <xf numFmtId="0" fontId="4" fillId="4" borderId="9" applyNumberFormat="0" applyFont="1" applyFill="1" applyBorder="1" applyAlignment="1" applyProtection="0">
      <alignment horizontal="center" vertical="center" wrapText="1"/>
    </xf>
    <xf numFmtId="0" fontId="0" fillId="2" borderId="10" applyNumberFormat="1" applyFont="1" applyFill="1" applyBorder="1" applyAlignment="1" applyProtection="0">
      <alignment vertical="center"/>
    </xf>
    <xf numFmtId="49" fontId="5" fillId="3" borderId="11" applyNumberFormat="1" applyFont="1" applyFill="1" applyBorder="1" applyAlignment="1" applyProtection="0">
      <alignment horizontal="left" vertical="center"/>
    </xf>
    <xf numFmtId="49" fontId="4" fillId="2" borderId="12" applyNumberFormat="1" applyFont="1" applyFill="1" applyBorder="1" applyAlignment="1" applyProtection="0">
      <alignment horizontal="left" vertical="center"/>
    </xf>
    <xf numFmtId="49" fontId="4" fillId="2" borderId="13" applyNumberFormat="1" applyFont="1" applyFill="1" applyBorder="1" applyAlignment="1" applyProtection="0">
      <alignment horizontal="left" vertical="center"/>
    </xf>
    <xf numFmtId="0" fontId="0" fillId="2" borderId="14" applyNumberFormat="0" applyFont="1" applyFill="1" applyBorder="1" applyAlignment="1" applyProtection="0">
      <alignment vertical="center"/>
    </xf>
    <xf numFmtId="0" fontId="4" fillId="3" borderId="15" applyNumberFormat="0" applyFont="1" applyFill="1" applyBorder="1" applyAlignment="1" applyProtection="0">
      <alignment horizontal="left" vertical="center"/>
    </xf>
    <xf numFmtId="0" fontId="4" fillId="2" borderId="16" applyNumberFormat="0" applyFont="1" applyFill="1" applyBorder="1" applyAlignment="1" applyProtection="0">
      <alignment horizontal="left" vertical="center"/>
    </xf>
    <xf numFmtId="0" fontId="4" fillId="2" borderId="17" applyNumberFormat="0" applyFont="1" applyFill="1" applyBorder="1" applyAlignment="1" applyProtection="0">
      <alignment horizontal="left" vertical="center"/>
    </xf>
    <xf numFmtId="0" fontId="0" fillId="2" borderId="18" applyNumberFormat="0" applyFont="1" applyFill="1" applyBorder="1" applyAlignment="1" applyProtection="0">
      <alignment vertical="center"/>
    </xf>
    <xf numFmtId="0" fontId="4" fillId="3" borderId="19" applyNumberFormat="0" applyFont="1" applyFill="1" applyBorder="1" applyAlignment="1" applyProtection="0">
      <alignment horizontal="left" vertical="center"/>
    </xf>
    <xf numFmtId="0" fontId="4" fillId="2" borderId="20" applyNumberFormat="0" applyFont="1" applyFill="1" applyBorder="1" applyAlignment="1" applyProtection="0">
      <alignment horizontal="left" vertical="center"/>
    </xf>
    <xf numFmtId="0" fontId="4" fillId="2" borderId="2" applyNumberFormat="0" applyFont="1" applyFill="1" applyBorder="1" applyAlignment="1" applyProtection="0">
      <alignment horizontal="left" vertical="center"/>
    </xf>
    <xf numFmtId="0" fontId="0" fillId="2" borderId="10" applyNumberFormat="1" applyFont="1" applyFill="1" applyBorder="1" applyAlignment="1" applyProtection="0">
      <alignment vertical="center" wrapText="1"/>
    </xf>
    <xf numFmtId="49" fontId="5" fillId="3" borderId="11" applyNumberFormat="1" applyFont="1" applyFill="1" applyBorder="1" applyAlignment="1" applyProtection="0">
      <alignment horizontal="left" vertical="center" wrapText="1"/>
    </xf>
    <xf numFmtId="49" fontId="4" fillId="2" borderId="12" applyNumberFormat="1" applyFont="1" applyFill="1" applyBorder="1" applyAlignment="1" applyProtection="0">
      <alignment horizontal="left" vertical="center" wrapText="1"/>
    </xf>
    <xf numFmtId="15" fontId="4" fillId="2" borderId="13" applyNumberFormat="1" applyFont="1" applyFill="1" applyBorder="1" applyAlignment="1" applyProtection="0">
      <alignment horizontal="left" vertical="center" wrapText="1"/>
    </xf>
    <xf numFmtId="0" fontId="0" fillId="2" borderId="14" applyNumberFormat="0" applyFont="1" applyFill="1" applyBorder="1" applyAlignment="1" applyProtection="0">
      <alignment vertical="center" wrapText="1"/>
    </xf>
    <xf numFmtId="0" fontId="4" fillId="3" borderId="15" applyNumberFormat="0" applyFont="1" applyFill="1" applyBorder="1" applyAlignment="1" applyProtection="0">
      <alignment horizontal="left" vertical="center" wrapText="1"/>
    </xf>
    <xf numFmtId="0" fontId="4" fillId="2" borderId="16" applyNumberFormat="0" applyFont="1" applyFill="1" applyBorder="1" applyAlignment="1" applyProtection="0">
      <alignment horizontal="left" vertical="center" wrapText="1"/>
    </xf>
    <xf numFmtId="0" fontId="4" fillId="2" borderId="17" applyNumberFormat="0" applyFont="1" applyFill="1" applyBorder="1" applyAlignment="1" applyProtection="0">
      <alignment horizontal="left" vertical="center" wrapText="1"/>
    </xf>
    <xf numFmtId="0" fontId="0" fillId="2" borderId="18" applyNumberFormat="0" applyFont="1" applyFill="1" applyBorder="1" applyAlignment="1" applyProtection="0">
      <alignment vertical="center" wrapText="1"/>
    </xf>
    <xf numFmtId="15" fontId="4" fillId="2" borderId="13" applyNumberFormat="1" applyFont="1" applyFill="1" applyBorder="1" applyAlignment="1" applyProtection="0">
      <alignment horizontal="left" vertical="center"/>
    </xf>
    <xf numFmtId="0" fontId="6" fillId="3" borderId="15" applyNumberFormat="0" applyFont="1" applyFill="1" applyBorder="1" applyAlignment="1" applyProtection="0">
      <alignment horizontal="center" vertical="center" wrapText="1"/>
    </xf>
    <xf numFmtId="0" fontId="6" fillId="2" borderId="16" applyNumberFormat="0" applyFont="1" applyFill="1" applyBorder="1" applyAlignment="1" applyProtection="0">
      <alignment horizontal="center" vertical="center" wrapText="1"/>
    </xf>
    <xf numFmtId="0" fontId="6" fillId="2" borderId="17" applyNumberFormat="0" applyFont="1" applyFill="1" applyBorder="1" applyAlignment="1" applyProtection="0">
      <alignment horizontal="center" vertical="center" wrapText="1"/>
    </xf>
    <xf numFmtId="0" fontId="6" fillId="3" borderId="19" applyNumberFormat="0" applyFont="1" applyFill="1" applyBorder="1" applyAlignment="1" applyProtection="0">
      <alignment horizontal="center" vertical="center" wrapText="1"/>
    </xf>
    <xf numFmtId="0" fontId="6" fillId="2" borderId="20" applyNumberFormat="0" applyFont="1" applyFill="1" applyBorder="1" applyAlignment="1" applyProtection="0">
      <alignment horizontal="center" vertical="center" wrapText="1"/>
    </xf>
    <xf numFmtId="0" fontId="6" fillId="2" borderId="2" applyNumberFormat="0" applyFont="1" applyFill="1" applyBorder="1" applyAlignment="1" applyProtection="0">
      <alignment horizontal="center" vertical="center" wrapText="1"/>
    </xf>
    <xf numFmtId="14" fontId="4" fillId="2" borderId="13" applyNumberFormat="1" applyFont="1" applyFill="1" applyBorder="1" applyAlignment="1" applyProtection="0">
      <alignment horizontal="left" vertical="center"/>
    </xf>
    <xf numFmtId="0" fontId="5" fillId="3" borderId="15" applyNumberFormat="0" applyFont="1" applyFill="1" applyBorder="1" applyAlignment="1" applyProtection="0">
      <alignment horizontal="left" vertical="center"/>
    </xf>
    <xf numFmtId="0" fontId="5" fillId="3" borderId="19" applyNumberFormat="0" applyFont="1" applyFill="1" applyBorder="1" applyAlignment="1" applyProtection="0">
      <alignment horizontal="left" vertical="center"/>
    </xf>
    <xf numFmtId="0" fontId="6" fillId="3" borderId="15" applyNumberFormat="0" applyFont="1" applyFill="1" applyBorder="1" applyAlignment="1" applyProtection="0">
      <alignment horizontal="left" vertical="center" wrapText="1"/>
    </xf>
    <xf numFmtId="0" fontId="6" fillId="2" borderId="16" applyNumberFormat="0" applyFont="1" applyFill="1" applyBorder="1" applyAlignment="1" applyProtection="0">
      <alignment horizontal="left" vertical="center" wrapText="1"/>
    </xf>
    <xf numFmtId="0" fontId="6" fillId="2" borderId="17" applyNumberFormat="0" applyFont="1" applyFill="1" applyBorder="1" applyAlignment="1" applyProtection="0">
      <alignment horizontal="left" vertical="center" wrapText="1"/>
    </xf>
    <xf numFmtId="0" fontId="6" fillId="3" borderId="19" applyNumberFormat="0" applyFont="1" applyFill="1" applyBorder="1" applyAlignment="1" applyProtection="0">
      <alignment vertical="bottom" wrapText="1"/>
    </xf>
    <xf numFmtId="0" fontId="6" fillId="2" borderId="20" applyNumberFormat="0" applyFont="1" applyFill="1" applyBorder="1" applyAlignment="1" applyProtection="0">
      <alignment vertical="bottom" wrapText="1"/>
    </xf>
    <xf numFmtId="0" fontId="6" fillId="2" borderId="2" applyNumberFormat="0" applyFont="1" applyFill="1" applyBorder="1" applyAlignment="1" applyProtection="0">
      <alignment vertical="bottom" wrapText="1"/>
    </xf>
    <xf numFmtId="0" fontId="7" fillId="2" borderId="21" applyNumberFormat="1" applyFont="1" applyFill="1" applyBorder="1" applyAlignment="1" applyProtection="0">
      <alignment horizontal="center" vertical="center"/>
    </xf>
    <xf numFmtId="49" fontId="8" fillId="5" borderId="11" applyNumberFormat="1" applyFont="1" applyFill="1" applyBorder="1" applyAlignment="1" applyProtection="0">
      <alignment vertical="bottom"/>
    </xf>
    <xf numFmtId="49" fontId="0" borderId="12" applyNumberFormat="1" applyFont="1" applyFill="0" applyBorder="1" applyAlignment="1" applyProtection="0">
      <alignment vertical="bottom"/>
    </xf>
    <xf numFmtId="14" fontId="0" borderId="13" applyNumberFormat="1" applyFont="1" applyFill="0" applyBorder="1" applyAlignment="1" applyProtection="0">
      <alignment vertical="bottom"/>
    </xf>
    <xf numFmtId="0" fontId="7" fillId="2" borderId="22" applyNumberFormat="0" applyFont="1" applyFill="1" applyBorder="1" applyAlignment="1" applyProtection="0">
      <alignment horizontal="center" vertical="center"/>
    </xf>
    <xf numFmtId="0" fontId="0" fillId="5" borderId="15" applyNumberFormat="0" applyFont="1" applyFill="1" applyBorder="1" applyAlignment="1" applyProtection="0">
      <alignment vertical="bottom"/>
    </xf>
    <xf numFmtId="0" fontId="0" borderId="16" applyNumberFormat="0" applyFont="1" applyFill="0" applyBorder="1" applyAlignment="1" applyProtection="0">
      <alignment vertical="bottom"/>
    </xf>
    <xf numFmtId="0" fontId="0" borderId="17" applyNumberFormat="0" applyFont="1" applyFill="0" applyBorder="1" applyAlignment="1" applyProtection="0">
      <alignment vertical="bottom"/>
    </xf>
    <xf numFmtId="0" fontId="0" fillId="2" borderId="22" applyNumberFormat="0" applyFont="1" applyFill="1" applyBorder="1" applyAlignment="1" applyProtection="0">
      <alignment vertical="center"/>
    </xf>
    <xf numFmtId="0" fontId="0" fillId="2" borderId="23" applyNumberFormat="0" applyFont="1" applyFill="1" applyBorder="1" applyAlignment="1" applyProtection="0">
      <alignment vertical="center"/>
    </xf>
    <xf numFmtId="0" fontId="0" fillId="5" borderId="19" applyNumberFormat="0" applyFont="1" applyFill="1" applyBorder="1" applyAlignment="1" applyProtection="0">
      <alignment vertical="bottom"/>
    </xf>
    <xf numFmtId="0" fontId="0" borderId="20" applyNumberFormat="0" applyFont="1" applyFill="0" applyBorder="1" applyAlignment="1" applyProtection="0">
      <alignment vertical="bottom"/>
    </xf>
    <xf numFmtId="0" fontId="0" borderId="2" applyNumberFormat="0" applyFont="1" applyFill="0" applyBorder="1" applyAlignment="1" applyProtection="0">
      <alignment vertical="bottom"/>
    </xf>
    <xf numFmtId="49" fontId="5" fillId="5" borderId="11" applyNumberFormat="1" applyFont="1" applyFill="1" applyBorder="1" applyAlignment="1" applyProtection="0">
      <alignment horizontal="left" vertical="center"/>
    </xf>
    <xf numFmtId="17" fontId="4" fillId="2" borderId="13" applyNumberFormat="1" applyFont="1" applyFill="1" applyBorder="1" applyAlignment="1" applyProtection="0">
      <alignment horizontal="left" vertical="center"/>
    </xf>
    <xf numFmtId="0" fontId="5" fillId="5" borderId="15" applyNumberFormat="0" applyFont="1" applyFill="1" applyBorder="1" applyAlignment="1" applyProtection="0">
      <alignment horizontal="left" vertical="center"/>
    </xf>
    <xf numFmtId="0" fontId="5" fillId="5" borderId="19" applyNumberFormat="0" applyFont="1" applyFill="1" applyBorder="1" applyAlignment="1" applyProtection="0">
      <alignment horizontal="left" vertical="center" wrapText="1"/>
    </xf>
    <xf numFmtId="0" fontId="4" fillId="2" borderId="20" applyNumberFormat="0" applyFont="1" applyFill="1" applyBorder="1" applyAlignment="1" applyProtection="0">
      <alignment horizontal="left" vertical="center" wrapText="1"/>
    </xf>
    <xf numFmtId="0" fontId="4" fillId="2" borderId="2" applyNumberFormat="0" applyFont="1" applyFill="1" applyBorder="1" applyAlignment="1" applyProtection="0">
      <alignment horizontal="left" vertical="center" wrapText="1"/>
    </xf>
    <xf numFmtId="0" fontId="7" fillId="2" borderId="21" applyNumberFormat="1" applyFont="1" applyFill="1" applyBorder="1" applyAlignment="1" applyProtection="0">
      <alignment horizontal="center" vertical="top"/>
    </xf>
    <xf numFmtId="49" fontId="8" fillId="5" borderId="11" applyNumberFormat="1" applyFont="1" applyFill="1" applyBorder="1" applyAlignment="1" applyProtection="0">
      <alignment horizontal="left" vertical="top"/>
    </xf>
    <xf numFmtId="49" fontId="0" fillId="2" borderId="12" applyNumberFormat="1" applyFont="1" applyFill="1" applyBorder="1" applyAlignment="1" applyProtection="0">
      <alignment horizontal="left" vertical="top"/>
    </xf>
    <xf numFmtId="15" fontId="0" fillId="2" borderId="13" applyNumberFormat="1" applyFont="1" applyFill="1" applyBorder="1" applyAlignment="1" applyProtection="0">
      <alignment horizontal="left" vertical="top"/>
    </xf>
    <xf numFmtId="49" fontId="0" fillId="2" borderId="13" applyNumberFormat="1" applyFont="1" applyFill="1" applyBorder="1" applyAlignment="1" applyProtection="0">
      <alignment horizontal="left" vertical="top" wrapText="1"/>
    </xf>
    <xf numFmtId="0" fontId="7" fillId="2" borderId="22" applyNumberFormat="0" applyFont="1" applyFill="1" applyBorder="1" applyAlignment="1" applyProtection="0">
      <alignment horizontal="center" vertical="top"/>
    </xf>
    <xf numFmtId="0" fontId="0" fillId="5" borderId="15" applyNumberFormat="0" applyFont="1" applyFill="1" applyBorder="1" applyAlignment="1" applyProtection="0">
      <alignment vertical="top"/>
    </xf>
    <xf numFmtId="0" fontId="0" fillId="2" borderId="16" applyNumberFormat="0" applyFont="1" applyFill="1" applyBorder="1" applyAlignment="1" applyProtection="0">
      <alignment vertical="top"/>
    </xf>
    <xf numFmtId="0" fontId="0" fillId="2" borderId="17" applyNumberFormat="0" applyFont="1" applyFill="1" applyBorder="1" applyAlignment="1" applyProtection="0">
      <alignment vertical="top"/>
    </xf>
    <xf numFmtId="0" fontId="0" fillId="2" borderId="22" applyNumberFormat="0" applyFont="1" applyFill="1" applyBorder="1" applyAlignment="1" applyProtection="0">
      <alignment vertical="top"/>
    </xf>
    <xf numFmtId="0" fontId="0" fillId="2" borderId="24" applyNumberFormat="0" applyFont="1" applyFill="1" applyBorder="1" applyAlignment="1" applyProtection="0">
      <alignment vertical="center"/>
    </xf>
    <xf numFmtId="49" fontId="0" borderId="13" applyNumberFormat="1" applyFont="1" applyFill="0" applyBorder="1" applyAlignment="1" applyProtection="0">
      <alignment vertical="bottom"/>
    </xf>
    <xf numFmtId="49" fontId="0" borderId="13" applyNumberFormat="1" applyFont="1" applyFill="0" applyBorder="1" applyAlignment="1" applyProtection="0">
      <alignment vertical="bottom" wrapText="1"/>
    </xf>
    <xf numFmtId="0" fontId="0" fillId="2" borderId="21" applyNumberFormat="1" applyFont="1" applyFill="1" applyBorder="1" applyAlignment="1" applyProtection="0">
      <alignment vertical="top"/>
    </xf>
    <xf numFmtId="49" fontId="9" fillId="5" borderId="11" applyNumberFormat="1" applyFont="1" applyFill="1" applyBorder="1" applyAlignment="1" applyProtection="0">
      <alignment horizontal="center" vertical="center"/>
    </xf>
    <xf numFmtId="49" fontId="4" borderId="12" applyNumberFormat="1" applyFont="1" applyFill="0" applyBorder="1" applyAlignment="1" applyProtection="0">
      <alignment vertical="bottom"/>
    </xf>
    <xf numFmtId="15" fontId="4" borderId="13" applyNumberFormat="1" applyFont="1" applyFill="0" applyBorder="1" applyAlignment="1" applyProtection="0">
      <alignment vertical="bottom"/>
    </xf>
    <xf numFmtId="0" fontId="9" fillId="2" borderId="22" applyNumberFormat="0" applyFont="1" applyFill="1" applyBorder="1" applyAlignment="1" applyProtection="0">
      <alignment horizontal="left" vertical="top"/>
    </xf>
    <xf numFmtId="0" fontId="4" fillId="5" borderId="15" applyNumberFormat="0" applyFont="1" applyFill="1" applyBorder="1" applyAlignment="1" applyProtection="0">
      <alignment vertical="bottom"/>
    </xf>
    <xf numFmtId="0" fontId="4" borderId="16" applyNumberFormat="0" applyFont="1" applyFill="0" applyBorder="1" applyAlignment="1" applyProtection="0">
      <alignment vertical="bottom"/>
    </xf>
    <xf numFmtId="0" fontId="4" borderId="17" applyNumberFormat="0" applyFont="1" applyFill="0" applyBorder="1" applyAlignment="1" applyProtection="0">
      <alignment vertical="bottom"/>
    </xf>
    <xf numFmtId="0" fontId="9" fillId="2" borderId="22" applyNumberFormat="0" applyFont="1" applyFill="1" applyBorder="1" applyAlignment="1" applyProtection="0">
      <alignment horizontal="left" vertical="center"/>
    </xf>
    <xf numFmtId="0" fontId="9" fillId="2" borderId="23" applyNumberFormat="0" applyFont="1" applyFill="1" applyBorder="1" applyAlignment="1" applyProtection="0">
      <alignment horizontal="left" vertical="center"/>
    </xf>
    <xf numFmtId="0" fontId="4" fillId="5" borderId="19" applyNumberFormat="0" applyFont="1" applyFill="1" applyBorder="1" applyAlignment="1" applyProtection="0">
      <alignment vertical="bottom"/>
    </xf>
    <xf numFmtId="0" fontId="4" borderId="20" applyNumberFormat="0" applyFont="1" applyFill="0" applyBorder="1" applyAlignment="1" applyProtection="0">
      <alignment vertical="bottom"/>
    </xf>
    <xf numFmtId="0" fontId="4" borderId="2" applyNumberFormat="0" applyFont="1" applyFill="0" applyBorder="1" applyAlignment="1" applyProtection="0">
      <alignment vertical="bottom"/>
    </xf>
    <xf numFmtId="49" fontId="5" fillId="5" borderId="11" applyNumberFormat="1" applyFont="1" applyFill="1" applyBorder="1" applyAlignment="1" applyProtection="0">
      <alignment horizontal="center" vertical="center"/>
    </xf>
    <xf numFmtId="49" fontId="4" fillId="2" borderId="12" applyNumberFormat="1" applyFont="1" applyFill="1" applyBorder="1" applyAlignment="1" applyProtection="0">
      <alignment vertical="center"/>
    </xf>
    <xf numFmtId="14" fontId="4" fillId="2" borderId="13" applyNumberFormat="1" applyFont="1" applyFill="1" applyBorder="1" applyAlignment="1" applyProtection="0">
      <alignment vertical="center"/>
    </xf>
    <xf numFmtId="0" fontId="5" fillId="5" borderId="15" applyNumberFormat="0" applyFont="1" applyFill="1" applyBorder="1" applyAlignment="1" applyProtection="0">
      <alignment horizontal="center" vertical="center"/>
    </xf>
    <xf numFmtId="0" fontId="5" fillId="5" borderId="19" applyNumberFormat="0" applyFont="1" applyFill="1" applyBorder="1" applyAlignment="1" applyProtection="0">
      <alignment horizontal="center" vertical="center"/>
    </xf>
    <xf numFmtId="49" fontId="5" fillId="6" borderId="11" applyNumberFormat="1" applyFont="1" applyFill="1" applyBorder="1" applyAlignment="1" applyProtection="0">
      <alignment horizontal="left" vertical="center" wrapText="1"/>
    </xf>
    <xf numFmtId="49" fontId="10" fillId="2" borderId="12" applyNumberFormat="1" applyFont="1" applyFill="1" applyBorder="1" applyAlignment="1" applyProtection="0">
      <alignment vertical="center"/>
    </xf>
    <xf numFmtId="14" fontId="10" fillId="2" borderId="13" applyNumberFormat="1" applyFont="1" applyFill="1" applyBorder="1" applyAlignment="1" applyProtection="0">
      <alignment vertical="center"/>
    </xf>
    <xf numFmtId="0" fontId="5" fillId="6" borderId="15" applyNumberFormat="0" applyFont="1" applyFill="1" applyBorder="1" applyAlignment="1" applyProtection="0">
      <alignment horizontal="left" vertical="center" wrapText="1"/>
    </xf>
    <xf numFmtId="0" fontId="10" borderId="16" applyNumberFormat="0" applyFont="1" applyFill="0" applyBorder="1" applyAlignment="1" applyProtection="0">
      <alignment vertical="bottom"/>
    </xf>
    <xf numFmtId="0" fontId="10" borderId="17" applyNumberFormat="0" applyFont="1" applyFill="0" applyBorder="1" applyAlignment="1" applyProtection="0">
      <alignment vertical="bottom"/>
    </xf>
    <xf numFmtId="0" fontId="5" fillId="6" borderId="19" applyNumberFormat="0" applyFont="1" applyFill="1" applyBorder="1" applyAlignment="1" applyProtection="0">
      <alignment horizontal="left" vertical="center" wrapText="1"/>
    </xf>
    <xf numFmtId="0" fontId="10" borderId="20" applyNumberFormat="0" applyFont="1" applyFill="0" applyBorder="1" applyAlignment="1" applyProtection="0">
      <alignment vertical="bottom"/>
    </xf>
    <xf numFmtId="0" fontId="10" borderId="2" applyNumberFormat="0" applyFont="1" applyFill="0" applyBorder="1" applyAlignment="1" applyProtection="0">
      <alignment vertical="bottom"/>
    </xf>
    <xf numFmtId="49" fontId="8" fillId="6" borderId="11" applyNumberFormat="1" applyFont="1" applyFill="1" applyBorder="1" applyAlignment="1" applyProtection="0">
      <alignment vertical="bottom"/>
    </xf>
    <xf numFmtId="49" fontId="11" borderId="13" applyNumberFormat="1" applyFont="1" applyFill="0" applyBorder="1" applyAlignment="1" applyProtection="0">
      <alignment vertical="bottom"/>
    </xf>
    <xf numFmtId="0" fontId="0" fillId="6" borderId="15" applyNumberFormat="0" applyFont="1" applyFill="1" applyBorder="1" applyAlignment="1" applyProtection="0">
      <alignment vertical="bottom"/>
    </xf>
    <xf numFmtId="0" fontId="0" fillId="6" borderId="19" applyNumberFormat="0" applyFont="1" applyFill="1" applyBorder="1" applyAlignment="1" applyProtection="0">
      <alignment vertical="bottom"/>
    </xf>
    <xf numFmtId="49" fontId="5" fillId="6" borderId="11" applyNumberFormat="1" applyFont="1" applyFill="1" applyBorder="1" applyAlignment="1" applyProtection="0">
      <alignment horizontal="left" vertical="center"/>
    </xf>
    <xf numFmtId="0" fontId="4" fillId="6" borderId="15" applyNumberFormat="0" applyFont="1" applyFill="1" applyBorder="1" applyAlignment="1" applyProtection="0">
      <alignment horizontal="left" vertical="center"/>
    </xf>
    <xf numFmtId="0" fontId="4" fillId="6" borderId="19" applyNumberFormat="0" applyFont="1" applyFill="1" applyBorder="1" applyAlignment="1" applyProtection="0">
      <alignment horizontal="left" vertical="center"/>
    </xf>
    <xf numFmtId="14" fontId="11" borderId="13" applyNumberFormat="1" applyFont="1" applyFill="0" applyBorder="1" applyAlignment="1" applyProtection="0">
      <alignment vertical="bottom"/>
    </xf>
    <xf numFmtId="0" fontId="7" fillId="2" borderId="23" applyNumberFormat="0" applyFont="1" applyFill="1" applyBorder="1" applyAlignment="1" applyProtection="0">
      <alignment horizontal="center" vertical="center"/>
    </xf>
    <xf numFmtId="0" fontId="5" fillId="6" borderId="15" applyNumberFormat="0" applyFont="1" applyFill="1" applyBorder="1" applyAlignment="1" applyProtection="0">
      <alignment horizontal="left" vertical="center"/>
    </xf>
    <xf numFmtId="0" fontId="0" fillId="2" borderId="13" applyNumberFormat="0" applyFont="1" applyFill="1" applyBorder="1" applyAlignment="1" applyProtection="0">
      <alignment vertical="center"/>
    </xf>
    <xf numFmtId="0" fontId="0" fillId="2" borderId="13" applyNumberFormat="0" applyFont="1" applyFill="1" applyBorder="1" applyAlignment="1" applyProtection="0">
      <alignment vertical="bottom"/>
    </xf>
    <xf numFmtId="0" fontId="0" borderId="13" applyNumberFormat="0" applyFont="1" applyFill="0" applyBorder="1" applyAlignment="1" applyProtection="0">
      <alignment vertical="bottom"/>
    </xf>
    <xf numFmtId="0" fontId="0" fillId="2" borderId="17" applyNumberFormat="0" applyFont="1" applyFill="1" applyBorder="1" applyAlignment="1" applyProtection="0">
      <alignment vertical="center"/>
    </xf>
    <xf numFmtId="0" fontId="0" fillId="2" borderId="17"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3" applyNumberFormat="0" applyFont="1" applyFill="1" applyBorder="1" applyAlignment="1" applyProtection="0">
      <alignment vertical="bottom"/>
    </xf>
    <xf numFmtId="49" fontId="4" borderId="25" applyNumberFormat="1" applyFont="1" applyFill="0" applyBorder="1" applyAlignment="1" applyProtection="0">
      <alignment horizontal="center" vertical="bottom"/>
    </xf>
    <xf numFmtId="49" fontId="4" fillId="2" borderId="26" applyNumberFormat="1" applyFont="1" applyFill="1" applyBorder="1" applyAlignment="1" applyProtection="0">
      <alignment horizontal="center" vertical="bottom" wrapText="1"/>
    </xf>
    <xf numFmtId="0" fontId="4" fillId="2" borderId="2" applyNumberFormat="0" applyFont="1" applyFill="1" applyBorder="1" applyAlignment="1" applyProtection="0">
      <alignment horizontal="center" vertical="bottom" wrapText="1"/>
    </xf>
    <xf numFmtId="0" fontId="4" fillId="2" borderId="3" applyNumberFormat="0" applyFont="1" applyFill="1" applyBorder="1" applyAlignment="1" applyProtection="0">
      <alignment horizontal="center" vertical="bottom" wrapText="1"/>
    </xf>
    <xf numFmtId="49" fontId="4" borderId="26" applyNumberFormat="1" applyFont="1" applyFill="0" applyBorder="1" applyAlignment="1" applyProtection="0">
      <alignment horizontal="center" vertical="bottom"/>
    </xf>
    <xf numFmtId="0" fontId="4" borderId="2" applyNumberFormat="0" applyFont="1" applyFill="0" applyBorder="1" applyAlignment="1" applyProtection="0">
      <alignment horizontal="center" vertical="bottom"/>
    </xf>
    <xf numFmtId="0" fontId="4" borderId="3" applyNumberFormat="0" applyFont="1" applyFill="0" applyBorder="1" applyAlignment="1" applyProtection="0">
      <alignment horizontal="center" vertical="bottom"/>
    </xf>
    <xf numFmtId="49" fontId="4" fillId="2" borderId="25" applyNumberFormat="1" applyFont="1" applyFill="1" applyBorder="1" applyAlignment="1" applyProtection="0">
      <alignment horizontal="center" vertical="bottom" wrapText="1"/>
    </xf>
    <xf numFmtId="49" fontId="4" fillId="2" borderId="4" applyNumberFormat="1" applyFont="1" applyFill="1" applyBorder="1" applyAlignment="1" applyProtection="0">
      <alignment horizontal="center" vertical="bottom" wrapText="1"/>
    </xf>
    <xf numFmtId="0" fontId="4" fillId="2" borderId="4" applyNumberFormat="0" applyFont="1" applyFill="1" applyBorder="1" applyAlignment="1" applyProtection="0">
      <alignment horizontal="center" vertical="bottom" wrapText="1"/>
    </xf>
    <xf numFmtId="59" fontId="4" fillId="2" borderId="4" applyNumberFormat="1" applyFont="1" applyFill="1" applyBorder="1" applyAlignment="1" applyProtection="0">
      <alignment horizontal="center" vertical="bottom" wrapText="1"/>
    </xf>
    <xf numFmtId="49" fontId="4" fillId="2" borderId="2" applyNumberFormat="1" applyFont="1" applyFill="1" applyBorder="1" applyAlignment="1" applyProtection="0">
      <alignment horizontal="center" vertical="bottom" wrapText="1"/>
    </xf>
    <xf numFmtId="59" fontId="4" fillId="2" borderId="2" applyNumberFormat="1" applyFont="1" applyFill="1" applyBorder="1" applyAlignment="1" applyProtection="0">
      <alignment horizontal="center" vertical="bottom" wrapText="1"/>
    </xf>
    <xf numFmtId="60" fontId="4" fillId="2" borderId="2" applyNumberFormat="1" applyFont="1" applyFill="1" applyBorder="1" applyAlignment="1" applyProtection="0">
      <alignment horizontal="center" vertical="bottom" wrapText="1"/>
    </xf>
    <xf numFmtId="49" fontId="4" fillId="3" borderId="27" applyNumberFormat="1" applyFont="1" applyFill="1" applyBorder="1" applyAlignment="1" applyProtection="0">
      <alignment horizontal="center" vertical="center"/>
    </xf>
    <xf numFmtId="0" fontId="4" fillId="3" borderId="28" applyNumberFormat="0" applyFont="1" applyFill="1" applyBorder="1" applyAlignment="1" applyProtection="0">
      <alignment horizontal="center" vertical="center"/>
    </xf>
    <xf numFmtId="0" fontId="4" fillId="3" borderId="29" applyNumberFormat="0" applyFont="1" applyFill="1" applyBorder="1" applyAlignment="1" applyProtection="0">
      <alignment horizontal="center" vertical="center"/>
    </xf>
    <xf numFmtId="49" fontId="4" fillId="5" borderId="4" applyNumberFormat="1" applyFont="1" applyFill="1" applyBorder="1" applyAlignment="1" applyProtection="0">
      <alignment horizontal="center" vertical="center"/>
    </xf>
    <xf numFmtId="0" fontId="4" fillId="5" borderId="4" applyNumberFormat="0" applyFont="1" applyFill="1" applyBorder="1" applyAlignment="1" applyProtection="0">
      <alignment horizontal="center" vertical="center"/>
    </xf>
    <xf numFmtId="49" fontId="4" fillId="5" borderId="27" applyNumberFormat="1" applyFont="1" applyFill="1" applyBorder="1" applyAlignment="1" applyProtection="0">
      <alignment horizontal="center" vertical="center" wrapText="1"/>
    </xf>
    <xf numFmtId="0" fontId="4" fillId="5" borderId="28" applyNumberFormat="0" applyFont="1" applyFill="1" applyBorder="1" applyAlignment="1" applyProtection="0">
      <alignment horizontal="center" vertical="center" wrapText="1"/>
    </xf>
    <xf numFmtId="0" fontId="4" fillId="5" borderId="29" applyNumberFormat="0" applyFont="1" applyFill="1" applyBorder="1" applyAlignment="1" applyProtection="0">
      <alignment horizontal="center" vertical="center" wrapText="1"/>
    </xf>
    <xf numFmtId="49" fontId="4" fillId="5" borderId="4" applyNumberFormat="1" applyFont="1" applyFill="1" applyBorder="1" applyAlignment="1" applyProtection="0">
      <alignment horizontal="center" vertical="center" wrapText="1"/>
    </xf>
    <xf numFmtId="0" fontId="4" fillId="5" borderId="4" applyNumberFormat="0" applyFont="1" applyFill="1" applyBorder="1" applyAlignment="1" applyProtection="0">
      <alignment horizontal="center" vertical="center" wrapText="1"/>
    </xf>
    <xf numFmtId="49" fontId="4" fillId="3" borderId="6" applyNumberFormat="1" applyFont="1" applyFill="1" applyBorder="1" applyAlignment="1" applyProtection="0">
      <alignment horizontal="center" vertical="center" wrapText="1"/>
    </xf>
    <xf numFmtId="49" fontId="4" fillId="3" borderId="27" applyNumberFormat="1" applyFont="1" applyFill="1" applyBorder="1" applyAlignment="1" applyProtection="0">
      <alignment horizontal="center" vertical="center" wrapText="1"/>
    </xf>
    <xf numFmtId="61" fontId="4" fillId="3" borderId="28" applyNumberFormat="1" applyFont="1" applyFill="1" applyBorder="1" applyAlignment="1" applyProtection="0">
      <alignment horizontal="center" vertical="center" wrapText="1"/>
    </xf>
    <xf numFmtId="61" fontId="4" fillId="3" borderId="29" applyNumberFormat="1" applyFont="1" applyFill="1" applyBorder="1" applyAlignment="1" applyProtection="0">
      <alignment horizontal="center" vertical="center" wrapText="1"/>
    </xf>
    <xf numFmtId="49" fontId="4" fillId="7" borderId="6" applyNumberFormat="1" applyFont="1" applyFill="1" applyBorder="1" applyAlignment="1" applyProtection="0">
      <alignment horizontal="center" vertical="center" wrapText="1"/>
    </xf>
    <xf numFmtId="0" fontId="4" fillId="7" borderId="6" applyNumberFormat="0" applyFont="1" applyFill="1" applyBorder="1" applyAlignment="1" applyProtection="0">
      <alignment horizontal="center" vertical="center" wrapText="1"/>
    </xf>
    <xf numFmtId="49" fontId="4" fillId="7" borderId="4" applyNumberFormat="1" applyFont="1" applyFill="1" applyBorder="1" applyAlignment="1" applyProtection="0">
      <alignment horizontal="center" vertical="center" wrapText="1"/>
    </xf>
    <xf numFmtId="61" fontId="4" fillId="3" borderId="9" applyNumberFormat="1" applyFont="1" applyFill="1" applyBorder="1" applyAlignment="1" applyProtection="0">
      <alignment horizontal="center" vertical="center" wrapText="1"/>
    </xf>
    <xf numFmtId="0" fontId="4" fillId="3" borderId="9" applyNumberFormat="0" applyFont="1" applyFill="1" applyBorder="1" applyAlignment="1" applyProtection="0">
      <alignment horizontal="center" vertical="center" wrapText="1"/>
    </xf>
    <xf numFmtId="0" fontId="4" fillId="7" borderId="9" applyNumberFormat="0" applyFont="1" applyFill="1" applyBorder="1" applyAlignment="1" applyProtection="0">
      <alignment horizontal="center" vertical="center" wrapText="1"/>
    </xf>
    <xf numFmtId="59" fontId="4" fillId="7" borderId="9" applyNumberFormat="1" applyFont="1" applyFill="1" applyBorder="1" applyAlignment="1" applyProtection="0">
      <alignment horizontal="center" vertical="center" wrapText="1"/>
    </xf>
    <xf numFmtId="0" fontId="4" fillId="7" borderId="4" applyNumberFormat="0" applyFont="1" applyFill="1" applyBorder="1" applyAlignment="1" applyProtection="0">
      <alignment horizontal="center" vertical="center" wrapText="1"/>
    </xf>
    <xf numFmtId="60" fontId="4" fillId="7" borderId="9" applyNumberFormat="1" applyFont="1" applyFill="1" applyBorder="1" applyAlignment="1" applyProtection="0">
      <alignment horizontal="center" vertical="center" wrapText="1"/>
    </xf>
    <xf numFmtId="3" fontId="4" fillId="2" borderId="13" applyNumberFormat="1" applyFont="1" applyFill="1" applyBorder="1" applyAlignment="1" applyProtection="0">
      <alignment horizontal="left" vertical="center"/>
    </xf>
    <xf numFmtId="0" fontId="4" fillId="2" borderId="13" applyNumberFormat="1" applyFont="1" applyFill="1" applyBorder="1" applyAlignment="1" applyProtection="0">
      <alignment horizontal="left" vertical="center"/>
    </xf>
    <xf numFmtId="0" fontId="4" fillId="2" borderId="13" applyNumberFormat="1" applyFont="1" applyFill="1" applyBorder="1" applyAlignment="1" applyProtection="0">
      <alignment horizontal="left" vertical="center" wrapText="1"/>
    </xf>
    <xf numFmtId="0" fontId="4" fillId="2" borderId="13" applyNumberFormat="0" applyFont="1" applyFill="1" applyBorder="1" applyAlignment="1" applyProtection="0">
      <alignment horizontal="left" vertical="center" wrapText="1"/>
    </xf>
    <xf numFmtId="0" fontId="4" fillId="2" borderId="13" applyNumberFormat="0" applyFont="1" applyFill="1" applyBorder="1" applyAlignment="1" applyProtection="0">
      <alignment horizontal="left" vertical="center"/>
    </xf>
    <xf numFmtId="49" fontId="4" fillId="2" borderId="13" applyNumberFormat="1" applyFont="1" applyFill="1" applyBorder="1" applyAlignment="1" applyProtection="0">
      <alignment horizontal="center" vertical="center" wrapText="1"/>
    </xf>
    <xf numFmtId="49" fontId="4" fillId="2" borderId="13" applyNumberFormat="1" applyFont="1" applyFill="1" applyBorder="1" applyAlignment="1" applyProtection="0">
      <alignment horizontal="left" vertical="center" wrapText="1"/>
    </xf>
    <xf numFmtId="62" fontId="4" fillId="2" borderId="13" applyNumberFormat="1" applyFont="1" applyFill="1" applyBorder="1" applyAlignment="1" applyProtection="0">
      <alignment horizontal="left" vertical="center" wrapText="1"/>
    </xf>
    <xf numFmtId="49" fontId="4" fillId="2" borderId="13" applyNumberFormat="1" applyFont="1" applyFill="1" applyBorder="1" applyAlignment="1" applyProtection="0">
      <alignment horizontal="center" vertical="center"/>
    </xf>
    <xf numFmtId="49" fontId="4" fillId="2" borderId="30" applyNumberFormat="1" applyFont="1" applyFill="1" applyBorder="1" applyAlignment="1" applyProtection="0">
      <alignment horizontal="left" vertical="center" wrapText="1"/>
    </xf>
    <xf numFmtId="0" fontId="4" fillId="2" borderId="30" applyNumberFormat="1" applyFont="1" applyFill="1" applyBorder="1" applyAlignment="1" applyProtection="0">
      <alignment horizontal="left" vertical="center" wrapText="1"/>
    </xf>
    <xf numFmtId="60" fontId="4" fillId="2" borderId="13" applyNumberFormat="1" applyFont="1" applyFill="1" applyBorder="1" applyAlignment="1" applyProtection="0">
      <alignment horizontal="left" vertical="center" wrapText="1"/>
    </xf>
    <xf numFmtId="3" fontId="4" fillId="2" borderId="16" applyNumberFormat="1" applyFont="1" applyFill="1" applyBorder="1" applyAlignment="1" applyProtection="0">
      <alignment horizontal="center" vertical="center" wrapText="1"/>
    </xf>
    <xf numFmtId="3" fontId="4" fillId="2" borderId="17" applyNumberFormat="1" applyFont="1" applyFill="1" applyBorder="1" applyAlignment="1" applyProtection="0">
      <alignment horizontal="center" vertical="center" wrapText="1"/>
    </xf>
    <xf numFmtId="3" fontId="4" fillId="2" borderId="17" applyNumberFormat="1" applyFont="1" applyFill="1" applyBorder="1" applyAlignment="1" applyProtection="0">
      <alignment horizontal="left" vertical="center"/>
    </xf>
    <xf numFmtId="63" fontId="4" fillId="2" borderId="17" applyNumberFormat="1" applyFont="1" applyFill="1" applyBorder="1" applyAlignment="1" applyProtection="0">
      <alignment horizontal="left" vertical="center" wrapText="1"/>
    </xf>
    <xf numFmtId="59" fontId="4" fillId="2" borderId="17" applyNumberFormat="1" applyFont="1" applyFill="1" applyBorder="1" applyAlignment="1" applyProtection="0">
      <alignment horizontal="left" vertical="center" wrapText="1"/>
    </xf>
    <xf numFmtId="49" fontId="4" fillId="2" borderId="17" applyNumberFormat="1" applyFont="1" applyFill="1" applyBorder="1" applyAlignment="1" applyProtection="0">
      <alignment horizontal="left" vertical="center" wrapText="1"/>
    </xf>
    <xf numFmtId="0" fontId="4" fillId="2" borderId="17" applyNumberFormat="1" applyFont="1" applyFill="1" applyBorder="1" applyAlignment="1" applyProtection="0">
      <alignment horizontal="left" vertical="center" wrapText="1"/>
    </xf>
    <xf numFmtId="0" fontId="4" fillId="2" borderId="14" applyNumberFormat="0" applyFont="1" applyFill="1" applyBorder="1" applyAlignment="1" applyProtection="0">
      <alignment horizontal="left" vertical="center" wrapText="1"/>
    </xf>
    <xf numFmtId="49" fontId="6" fillId="8" borderId="15" applyNumberFormat="1" applyFont="1" applyFill="1" applyBorder="1" applyAlignment="1" applyProtection="0">
      <alignment horizontal="left" vertical="center" wrapText="1"/>
    </xf>
    <xf numFmtId="0" fontId="6" fillId="8" borderId="15" applyNumberFormat="1" applyFont="1" applyFill="1" applyBorder="1" applyAlignment="1" applyProtection="0">
      <alignment horizontal="left" vertical="center" wrapText="1"/>
    </xf>
    <xf numFmtId="60" fontId="4" fillId="2" borderId="17" applyNumberFormat="1" applyFont="1" applyFill="1" applyBorder="1" applyAlignment="1" applyProtection="0">
      <alignment horizontal="left" vertical="center" wrapText="1"/>
    </xf>
    <xf numFmtId="59" fontId="4" fillId="2" borderId="17" applyNumberFormat="1" applyFont="1" applyFill="1" applyBorder="1" applyAlignment="1" applyProtection="0">
      <alignment horizontal="left" vertical="center"/>
    </xf>
    <xf numFmtId="0" fontId="4" fillId="2" borderId="31" applyNumberFormat="0" applyFont="1" applyFill="1" applyBorder="1" applyAlignment="1" applyProtection="0">
      <alignment horizontal="left" vertical="center" wrapText="1"/>
    </xf>
    <xf numFmtId="3" fontId="4" fillId="2" borderId="16" applyNumberFormat="1" applyFont="1" applyFill="1" applyBorder="1" applyAlignment="1" applyProtection="0">
      <alignment horizontal="left" vertical="center"/>
    </xf>
    <xf numFmtId="3" fontId="4" fillId="2" borderId="20" applyNumberFormat="1" applyFont="1" applyFill="1" applyBorder="1" applyAlignment="1" applyProtection="0">
      <alignment horizontal="left" vertical="center"/>
    </xf>
    <xf numFmtId="3" fontId="4" fillId="2" borderId="2" applyNumberFormat="1" applyFont="1" applyFill="1" applyBorder="1" applyAlignment="1" applyProtection="0">
      <alignment horizontal="left" vertical="center"/>
    </xf>
    <xf numFmtId="63" fontId="4" fillId="2" borderId="2" applyNumberFormat="1" applyFont="1" applyFill="1" applyBorder="1" applyAlignment="1" applyProtection="0">
      <alignment horizontal="left" vertical="center" wrapText="1"/>
    </xf>
    <xf numFmtId="59" fontId="4" fillId="2" borderId="2" applyNumberFormat="1" applyFont="1" applyFill="1" applyBorder="1" applyAlignment="1" applyProtection="0">
      <alignment horizontal="left" vertical="center" wrapText="1"/>
    </xf>
    <xf numFmtId="60" fontId="4" fillId="2" borderId="2" applyNumberFormat="1" applyFont="1" applyFill="1" applyBorder="1" applyAlignment="1" applyProtection="0">
      <alignment horizontal="left" vertical="center" wrapText="1"/>
    </xf>
    <xf numFmtId="3" fontId="4" fillId="2" borderId="13" applyNumberFormat="1" applyFont="1" applyFill="1" applyBorder="1" applyAlignment="1" applyProtection="0">
      <alignment horizontal="left" vertical="center" wrapText="1"/>
    </xf>
    <xf numFmtId="59" fontId="4" fillId="2" borderId="13" applyNumberFormat="1" applyFont="1" applyFill="1" applyBorder="1" applyAlignment="1" applyProtection="0">
      <alignment horizontal="left" vertical="center" wrapText="1"/>
    </xf>
    <xf numFmtId="63" fontId="4" fillId="2" borderId="13" applyNumberFormat="1" applyFont="1" applyFill="1" applyBorder="1" applyAlignment="1" applyProtection="0">
      <alignment horizontal="left" vertical="center" wrapText="1"/>
    </xf>
    <xf numFmtId="62" fontId="4" fillId="2" borderId="13" applyNumberFormat="1" applyFont="1" applyFill="1" applyBorder="1" applyAlignment="1" applyProtection="0">
      <alignment horizontal="left" vertical="center"/>
    </xf>
    <xf numFmtId="3" fontId="4" fillId="2" borderId="16" applyNumberFormat="1" applyFont="1" applyFill="1" applyBorder="1" applyAlignment="1" applyProtection="0">
      <alignment horizontal="left" vertical="center" wrapText="1"/>
    </xf>
    <xf numFmtId="3" fontId="4" fillId="2" borderId="17" applyNumberFormat="1" applyFont="1" applyFill="1" applyBorder="1" applyAlignment="1" applyProtection="0">
      <alignment horizontal="left" vertical="center" wrapText="1"/>
    </xf>
    <xf numFmtId="62" fontId="4" fillId="2" borderId="17" applyNumberFormat="1" applyFont="1" applyFill="1" applyBorder="1" applyAlignment="1" applyProtection="0">
      <alignment horizontal="left" vertical="center" wrapText="1"/>
    </xf>
    <xf numFmtId="63" fontId="4" fillId="2" borderId="17" applyNumberFormat="1" applyFont="1" applyFill="1" applyBorder="1" applyAlignment="1" applyProtection="0">
      <alignment horizontal="left" vertical="center"/>
    </xf>
    <xf numFmtId="63" fontId="4" fillId="2" borderId="2" applyNumberFormat="1" applyFont="1" applyFill="1" applyBorder="1" applyAlignment="1" applyProtection="0">
      <alignment horizontal="left" vertical="center"/>
    </xf>
    <xf numFmtId="59" fontId="4" fillId="2" borderId="2" applyNumberFormat="1" applyFont="1" applyFill="1" applyBorder="1" applyAlignment="1" applyProtection="0">
      <alignment horizontal="left" vertical="center"/>
    </xf>
    <xf numFmtId="60" fontId="4" fillId="2" borderId="2" applyNumberFormat="1" applyFont="1" applyFill="1" applyBorder="1" applyAlignment="1" applyProtection="0">
      <alignment horizontal="left" vertical="center"/>
    </xf>
    <xf numFmtId="2" fontId="4" fillId="2" borderId="13" applyNumberFormat="1" applyFont="1" applyFill="1" applyBorder="1" applyAlignment="1" applyProtection="0">
      <alignment horizontal="left" vertical="center" wrapText="1"/>
    </xf>
    <xf numFmtId="0" fontId="4" fillId="2" borderId="17" applyNumberFormat="1" applyFont="1" applyFill="1" applyBorder="1" applyAlignment="1" applyProtection="0">
      <alignment horizontal="left" vertical="center"/>
    </xf>
    <xf numFmtId="49" fontId="4" fillId="2" borderId="17" applyNumberFormat="1" applyFont="1" applyFill="1" applyBorder="1" applyAlignment="1" applyProtection="0">
      <alignment horizontal="left" vertical="center"/>
    </xf>
    <xf numFmtId="62" fontId="4" fillId="2" borderId="17" applyNumberFormat="1" applyFont="1" applyFill="1" applyBorder="1" applyAlignment="1" applyProtection="0">
      <alignment horizontal="left" vertical="center"/>
    </xf>
    <xf numFmtId="0" fontId="4" fillId="2" borderId="17" applyNumberFormat="0" applyFont="1" applyFill="1" applyBorder="1" applyAlignment="1" applyProtection="0">
      <alignment horizontal="center" vertical="center" wrapText="1"/>
    </xf>
    <xf numFmtId="60" fontId="4" fillId="2" borderId="17" applyNumberFormat="1" applyFont="1" applyFill="1" applyBorder="1" applyAlignment="1" applyProtection="0">
      <alignment horizontal="left" vertical="center"/>
    </xf>
    <xf numFmtId="0" fontId="4" fillId="2" borderId="1" applyNumberFormat="1" applyFont="1" applyFill="1" applyBorder="1" applyAlignment="1" applyProtection="0">
      <alignment horizontal="left" vertical="center"/>
    </xf>
    <xf numFmtId="60" fontId="4" fillId="2" borderId="1" applyNumberFormat="1" applyFont="1" applyFill="1" applyBorder="1" applyAlignment="1" applyProtection="0">
      <alignment horizontal="left" vertical="center"/>
    </xf>
    <xf numFmtId="0" fontId="4" fillId="2" borderId="14" applyNumberFormat="1" applyFont="1" applyFill="1" applyBorder="1" applyAlignment="1" applyProtection="0">
      <alignment horizontal="left" vertical="center"/>
    </xf>
    <xf numFmtId="2" fontId="11" fillId="8" borderId="15" applyNumberFormat="1" applyFont="1" applyFill="1" applyBorder="1" applyAlignment="1" applyProtection="0">
      <alignment vertical="bottom"/>
    </xf>
    <xf numFmtId="60" fontId="11" fillId="8" borderId="15" applyNumberFormat="1" applyFont="1" applyFill="1" applyBorder="1" applyAlignment="1" applyProtection="0">
      <alignment vertical="bottom"/>
    </xf>
    <xf numFmtId="2" fontId="4" fillId="8" borderId="15" applyNumberFormat="1" applyFont="1" applyFill="1" applyBorder="1" applyAlignment="1" applyProtection="0">
      <alignment horizontal="left" vertical="center"/>
    </xf>
    <xf numFmtId="60" fontId="4" fillId="8" borderId="15" applyNumberFormat="1" applyFont="1" applyFill="1" applyBorder="1" applyAlignment="1" applyProtection="0">
      <alignment horizontal="left" vertical="center"/>
    </xf>
    <xf numFmtId="49" fontId="4" fillId="2" borderId="16" applyNumberFormat="1" applyFont="1" applyFill="1" applyBorder="1" applyAlignment="1" applyProtection="0">
      <alignment horizontal="left" vertical="center"/>
    </xf>
    <xf numFmtId="2" fontId="11" borderId="31" applyNumberFormat="1" applyFont="1" applyFill="0" applyBorder="1" applyAlignment="1" applyProtection="0">
      <alignment vertical="bottom"/>
    </xf>
    <xf numFmtId="60" fontId="11" fillId="2" borderId="31" applyNumberFormat="1" applyFont="1" applyFill="1" applyBorder="1" applyAlignment="1" applyProtection="0">
      <alignment vertical="bottom"/>
    </xf>
    <xf numFmtId="2" fontId="4" fillId="2" borderId="31" applyNumberFormat="1" applyFont="1" applyFill="1" applyBorder="1" applyAlignment="1" applyProtection="0">
      <alignment horizontal="left" vertical="center"/>
    </xf>
    <xf numFmtId="60" fontId="4" fillId="2" borderId="31" applyNumberFormat="1" applyFont="1" applyFill="1" applyBorder="1" applyAlignment="1" applyProtection="0">
      <alignment horizontal="left" vertical="center"/>
    </xf>
    <xf numFmtId="0" fontId="6" fillId="2" borderId="17" applyNumberFormat="0" applyFont="1" applyFill="1" applyBorder="1" applyAlignment="1" applyProtection="0">
      <alignment vertical="bottom" wrapText="1"/>
    </xf>
    <xf numFmtId="59" fontId="6" fillId="2" borderId="17" applyNumberFormat="1" applyFont="1" applyFill="1" applyBorder="1" applyAlignment="1" applyProtection="0">
      <alignment vertical="bottom" wrapText="1"/>
    </xf>
    <xf numFmtId="0" fontId="6" borderId="17" applyNumberFormat="0" applyFont="1" applyFill="0" applyBorder="1" applyAlignment="1" applyProtection="0">
      <alignment vertical="bottom"/>
    </xf>
    <xf numFmtId="59" fontId="6" fillId="2" borderId="17" applyNumberFormat="1" applyFont="1" applyFill="1" applyBorder="1" applyAlignment="1" applyProtection="0">
      <alignment vertical="bottom"/>
    </xf>
    <xf numFmtId="60" fontId="6" fillId="2" borderId="17" applyNumberFormat="1" applyFont="1" applyFill="1" applyBorder="1" applyAlignment="1" applyProtection="0">
      <alignment vertical="bottom"/>
    </xf>
    <xf numFmtId="59" fontId="6" fillId="2" borderId="2" applyNumberFormat="1" applyFont="1" applyFill="1" applyBorder="1" applyAlignment="1" applyProtection="0">
      <alignment vertical="bottom" wrapText="1"/>
    </xf>
    <xf numFmtId="0" fontId="6" borderId="2" applyNumberFormat="0" applyFont="1" applyFill="0" applyBorder="1" applyAlignment="1" applyProtection="0">
      <alignment vertical="bottom"/>
    </xf>
    <xf numFmtId="59" fontId="6" fillId="2" borderId="2" applyNumberFormat="1" applyFont="1" applyFill="1" applyBorder="1" applyAlignment="1" applyProtection="0">
      <alignment vertical="bottom"/>
    </xf>
    <xf numFmtId="60" fontId="6" fillId="2" borderId="2" applyNumberFormat="1" applyFont="1" applyFill="1" applyBorder="1" applyAlignment="1" applyProtection="0">
      <alignment vertical="bottom"/>
    </xf>
    <xf numFmtId="0" fontId="7" fillId="2" borderId="13" applyNumberFormat="1" applyFont="1" applyFill="1" applyBorder="1" applyAlignment="1" applyProtection="0">
      <alignment horizontal="left" vertical="center"/>
    </xf>
    <xf numFmtId="49" fontId="5" fillId="2" borderId="13" applyNumberFormat="1" applyFont="1" applyFill="1" applyBorder="1" applyAlignment="1" applyProtection="0">
      <alignment horizontal="left" vertical="center"/>
    </xf>
    <xf numFmtId="4" fontId="4" fillId="2" borderId="13" applyNumberFormat="1" applyFont="1" applyFill="1" applyBorder="1" applyAlignment="1" applyProtection="0">
      <alignment horizontal="left" vertical="center"/>
    </xf>
    <xf numFmtId="9" fontId="4" fillId="2" borderId="13" applyNumberFormat="1" applyFont="1" applyFill="1" applyBorder="1" applyAlignment="1" applyProtection="0">
      <alignment horizontal="center" vertical="center" wrapText="1"/>
    </xf>
    <xf numFmtId="9" fontId="4" fillId="2" borderId="13" applyNumberFormat="1" applyFont="1" applyFill="1" applyBorder="1" applyAlignment="1" applyProtection="0">
      <alignment horizontal="left" vertical="center" wrapText="1"/>
    </xf>
    <xf numFmtId="0" fontId="7" fillId="2" borderId="17" applyNumberFormat="0" applyFont="1" applyFill="1" applyBorder="1" applyAlignment="1" applyProtection="0">
      <alignment horizontal="left" vertical="center"/>
    </xf>
    <xf numFmtId="0" fontId="5" fillId="2" borderId="17" applyNumberFormat="0" applyFont="1" applyFill="1" applyBorder="1" applyAlignment="1" applyProtection="0">
      <alignment horizontal="left" vertical="center"/>
    </xf>
    <xf numFmtId="9" fontId="4" fillId="2" borderId="17" applyNumberFormat="1" applyFont="1" applyFill="1" applyBorder="1" applyAlignment="1" applyProtection="0">
      <alignment horizontal="left" vertical="center" wrapText="1"/>
    </xf>
    <xf numFmtId="0" fontId="4" fillId="2" borderId="17" applyNumberFormat="0" applyFont="1" applyFill="1" applyBorder="1" applyAlignment="1" applyProtection="0">
      <alignment horizontal="center" vertical="center"/>
    </xf>
    <xf numFmtId="49" fontId="4" fillId="2" borderId="17" applyNumberFormat="1" applyFont="1" applyFill="1" applyBorder="1" applyAlignment="1" applyProtection="0">
      <alignment horizontal="center" vertical="center" wrapText="1"/>
    </xf>
    <xf numFmtId="9" fontId="4" fillId="2" borderId="17" applyNumberFormat="1" applyFont="1" applyFill="1" applyBorder="1" applyAlignment="1" applyProtection="0">
      <alignment horizontal="center" vertical="center" wrapText="1"/>
    </xf>
    <xf numFmtId="0" fontId="5" fillId="2" borderId="1" applyNumberFormat="0" applyFont="1" applyFill="1" applyBorder="1" applyAlignment="1" applyProtection="0">
      <alignment horizontal="left" vertical="center"/>
    </xf>
    <xf numFmtId="0" fontId="4" fillId="2" borderId="1" applyNumberFormat="0" applyFont="1" applyFill="1" applyBorder="1" applyAlignment="1" applyProtection="0">
      <alignment horizontal="left" vertical="center" wrapText="1"/>
    </xf>
    <xf numFmtId="49" fontId="11" borderId="17" applyNumberFormat="1" applyFont="1" applyFill="0" applyBorder="1" applyAlignment="1" applyProtection="0">
      <alignment vertical="bottom"/>
    </xf>
    <xf numFmtId="0" fontId="4" fillId="2" borderId="14" applyNumberFormat="0" applyFont="1" applyFill="1" applyBorder="1" applyAlignment="1" applyProtection="0">
      <alignment horizontal="center" vertical="center" wrapText="1"/>
    </xf>
    <xf numFmtId="0" fontId="4" fillId="9" borderId="15" applyNumberFormat="0" applyFont="1" applyFill="1" applyBorder="1" applyAlignment="1" applyProtection="0">
      <alignment horizontal="left" vertical="center" wrapText="1"/>
    </xf>
    <xf numFmtId="49" fontId="4" fillId="2" borderId="16" applyNumberFormat="1" applyFont="1" applyFill="1" applyBorder="1" applyAlignment="1" applyProtection="0">
      <alignment horizontal="left" vertical="center" wrapText="1"/>
    </xf>
    <xf numFmtId="60" fontId="0" fillId="2" borderId="17" applyNumberFormat="1" applyFont="1" applyFill="1" applyBorder="1" applyAlignment="1" applyProtection="0">
      <alignment vertical="bottom"/>
    </xf>
    <xf numFmtId="0" fontId="4" fillId="2" borderId="2" applyNumberFormat="0" applyFont="1" applyFill="1" applyBorder="1" applyAlignment="1" applyProtection="0">
      <alignment horizontal="center" vertical="center" wrapText="1"/>
    </xf>
    <xf numFmtId="1" fontId="4" fillId="2" borderId="13" applyNumberFormat="1" applyFont="1" applyFill="1" applyBorder="1" applyAlignment="1" applyProtection="0">
      <alignment horizontal="left" vertical="center"/>
    </xf>
    <xf numFmtId="0" fontId="4" fillId="2" borderId="13" applyNumberFormat="1" applyFont="1" applyFill="1" applyBorder="1" applyAlignment="1" applyProtection="0">
      <alignment horizontal="center" vertical="center" wrapText="1"/>
    </xf>
    <xf numFmtId="0" fontId="4" fillId="2" borderId="10" applyNumberFormat="1" applyFont="1" applyFill="1" applyBorder="1" applyAlignment="1" applyProtection="0">
      <alignment horizontal="left" vertical="center" wrapText="1"/>
    </xf>
    <xf numFmtId="0" fontId="4" fillId="10" borderId="11" applyNumberFormat="1" applyFont="1" applyFill="1" applyBorder="1" applyAlignment="1" applyProtection="0">
      <alignment horizontal="left" vertical="center" wrapText="1"/>
    </xf>
    <xf numFmtId="60" fontId="4" fillId="10" borderId="11" applyNumberFormat="1" applyFont="1" applyFill="1" applyBorder="1" applyAlignment="1" applyProtection="0">
      <alignment horizontal="left" vertical="center" wrapText="1"/>
    </xf>
    <xf numFmtId="62" fontId="4" fillId="2" borderId="12" applyNumberFormat="1" applyFont="1" applyFill="1" applyBorder="1" applyAlignment="1" applyProtection="0">
      <alignment horizontal="left" vertical="center" wrapText="1"/>
    </xf>
    <xf numFmtId="3" fontId="6" fillId="2" borderId="16" applyNumberFormat="1" applyFont="1" applyFill="1" applyBorder="1" applyAlignment="1" applyProtection="0">
      <alignment horizontal="left" vertical="center" wrapText="1"/>
    </xf>
    <xf numFmtId="3" fontId="6" fillId="2" borderId="17" applyNumberFormat="1" applyFont="1" applyFill="1" applyBorder="1" applyAlignment="1" applyProtection="0">
      <alignment horizontal="left" vertical="center" wrapText="1"/>
    </xf>
    <xf numFmtId="63" fontId="6" fillId="2" borderId="17" applyNumberFormat="1" applyFont="1" applyFill="1" applyBorder="1" applyAlignment="1" applyProtection="0">
      <alignment horizontal="left" vertical="center" wrapText="1"/>
    </xf>
    <xf numFmtId="49" fontId="6" fillId="2" borderId="17" applyNumberFormat="1" applyFont="1" applyFill="1" applyBorder="1" applyAlignment="1" applyProtection="0">
      <alignment horizontal="left" vertical="center" wrapText="1"/>
    </xf>
    <xf numFmtId="0" fontId="6" fillId="2" borderId="17" applyNumberFormat="1" applyFont="1" applyFill="1" applyBorder="1" applyAlignment="1" applyProtection="0">
      <alignment horizontal="left" vertical="center" wrapText="1"/>
    </xf>
    <xf numFmtId="62" fontId="6" fillId="2" borderId="17" applyNumberFormat="1" applyFont="1" applyFill="1" applyBorder="1" applyAlignment="1" applyProtection="0">
      <alignment horizontal="left" vertical="center" wrapText="1"/>
    </xf>
    <xf numFmtId="59" fontId="6" fillId="2" borderId="17" applyNumberFormat="1" applyFont="1" applyFill="1" applyBorder="1" applyAlignment="1" applyProtection="0">
      <alignment horizontal="left" vertical="center" wrapText="1"/>
    </xf>
    <xf numFmtId="0" fontId="6" fillId="2" borderId="14" applyNumberFormat="1" applyFont="1" applyFill="1" applyBorder="1" applyAlignment="1" applyProtection="0">
      <alignment horizontal="left" vertical="center" wrapText="1"/>
    </xf>
    <xf numFmtId="0" fontId="6" fillId="10" borderId="15" applyNumberFormat="1" applyFont="1" applyFill="1" applyBorder="1" applyAlignment="1" applyProtection="0">
      <alignment horizontal="left" vertical="center" wrapText="1"/>
    </xf>
    <xf numFmtId="60" fontId="6" fillId="10" borderId="15" applyNumberFormat="1" applyFont="1" applyFill="1" applyBorder="1" applyAlignment="1" applyProtection="0">
      <alignment horizontal="left" vertical="center" wrapText="1"/>
    </xf>
    <xf numFmtId="62" fontId="4" fillId="2" borderId="16" applyNumberFormat="1" applyFont="1" applyFill="1" applyBorder="1" applyAlignment="1" applyProtection="0">
      <alignment horizontal="left" vertical="center" wrapText="1"/>
    </xf>
    <xf numFmtId="49" fontId="6" fillId="2" borderId="1" applyNumberFormat="1" applyFont="1" applyFill="1" applyBorder="1" applyAlignment="1" applyProtection="0">
      <alignment horizontal="left" vertical="center" wrapText="1"/>
    </xf>
    <xf numFmtId="0" fontId="6" fillId="2" borderId="1" applyNumberFormat="1" applyFont="1" applyFill="1" applyBorder="1" applyAlignment="1" applyProtection="0">
      <alignment horizontal="left" vertical="center" wrapText="1"/>
    </xf>
    <xf numFmtId="49" fontId="6" fillId="2" borderId="31" applyNumberFormat="1" applyFont="1" applyFill="1" applyBorder="1" applyAlignment="1" applyProtection="0">
      <alignment horizontal="left" vertical="center" wrapText="1"/>
    </xf>
    <xf numFmtId="60" fontId="6" fillId="2" borderId="31" applyNumberFormat="1" applyFont="1" applyFill="1" applyBorder="1" applyAlignment="1" applyProtection="0">
      <alignment horizontal="left" vertical="center" wrapText="1"/>
    </xf>
    <xf numFmtId="60" fontId="6" fillId="2" borderId="17" applyNumberFormat="1" applyFont="1" applyFill="1" applyBorder="1" applyAlignment="1" applyProtection="0">
      <alignment horizontal="left" vertical="center" wrapText="1"/>
    </xf>
    <xf numFmtId="0" fontId="6" fillId="2" borderId="14" applyNumberFormat="0" applyFont="1" applyFill="1" applyBorder="1" applyAlignment="1" applyProtection="0">
      <alignment horizontal="left" vertical="center" wrapText="1"/>
    </xf>
    <xf numFmtId="0" fontId="6" fillId="2" borderId="31" applyNumberFormat="0" applyFont="1" applyFill="1" applyBorder="1" applyAlignment="1" applyProtection="0">
      <alignment horizontal="left" vertical="center" wrapText="1"/>
    </xf>
    <xf numFmtId="3" fontId="6" fillId="2" borderId="20" applyNumberFormat="1" applyFont="1" applyFill="1" applyBorder="1" applyAlignment="1" applyProtection="0">
      <alignment horizontal="right" vertical="bottom" wrapText="1"/>
    </xf>
    <xf numFmtId="3" fontId="6" fillId="2" borderId="2" applyNumberFormat="1" applyFont="1" applyFill="1" applyBorder="1" applyAlignment="1" applyProtection="0">
      <alignment horizontal="right" vertical="bottom" wrapText="1"/>
    </xf>
    <xf numFmtId="3" fontId="6" fillId="2" borderId="2" applyNumberFormat="1" applyFont="1" applyFill="1" applyBorder="1" applyAlignment="1" applyProtection="0">
      <alignment vertical="bottom" wrapText="1"/>
    </xf>
    <xf numFmtId="63" fontId="6" fillId="2" borderId="2" applyNumberFormat="1" applyFont="1" applyFill="1" applyBorder="1" applyAlignment="1" applyProtection="0">
      <alignment horizontal="center" vertical="center" wrapText="1"/>
    </xf>
    <xf numFmtId="59" fontId="6" fillId="2" borderId="2" applyNumberFormat="1" applyFont="1" applyFill="1" applyBorder="1" applyAlignment="1" applyProtection="0">
      <alignment horizontal="center" vertical="center" wrapText="1"/>
    </xf>
    <xf numFmtId="60" fontId="6" fillId="2" borderId="2" applyNumberFormat="1" applyFont="1" applyFill="1" applyBorder="1" applyAlignment="1" applyProtection="0">
      <alignment horizontal="center" vertical="center" wrapText="1"/>
    </xf>
    <xf numFmtId="49" fontId="0" fillId="2" borderId="13" applyNumberFormat="1" applyFont="1" applyFill="1" applyBorder="1" applyAlignment="1" applyProtection="0">
      <alignment vertical="bottom" wrapText="1"/>
    </xf>
    <xf numFmtId="0" fontId="11" borderId="13" applyNumberFormat="1" applyFont="1" applyFill="0" applyBorder="1" applyAlignment="1" applyProtection="0">
      <alignment vertical="bottom"/>
    </xf>
    <xf numFmtId="0" fontId="0" borderId="13" applyNumberFormat="1" applyFont="1" applyFill="0" applyBorder="1" applyAlignment="1" applyProtection="0">
      <alignment vertical="bottom"/>
    </xf>
    <xf numFmtId="49" fontId="0" borderId="13" applyNumberFormat="1" applyFont="1" applyFill="0" applyBorder="1" applyAlignment="1" applyProtection="0">
      <alignment horizontal="center" vertical="bottom"/>
    </xf>
    <xf numFmtId="0" fontId="0" fillId="2" borderId="13" applyNumberFormat="1" applyFont="1" applyFill="1" applyBorder="1" applyAlignment="1" applyProtection="0">
      <alignment vertical="bottom" wrapText="1"/>
    </xf>
    <xf numFmtId="62" fontId="0" fillId="2" borderId="13" applyNumberFormat="1" applyFont="1" applyFill="1" applyBorder="1" applyAlignment="1" applyProtection="0">
      <alignment vertical="top" wrapText="1"/>
    </xf>
    <xf numFmtId="0" fontId="0" fillId="2" borderId="13" applyNumberFormat="0" applyFont="1" applyFill="1" applyBorder="1" applyAlignment="1" applyProtection="0">
      <alignment vertical="top" wrapText="1"/>
    </xf>
    <xf numFmtId="59" fontId="0" fillId="2" borderId="13" applyNumberFormat="1" applyFont="1" applyFill="1" applyBorder="1" applyAlignment="1" applyProtection="0">
      <alignment vertical="top" wrapText="1"/>
    </xf>
    <xf numFmtId="49" fontId="14" borderId="13" applyNumberFormat="1" applyFont="1" applyFill="0" applyBorder="1" applyAlignment="1" applyProtection="0">
      <alignment vertical="bottom"/>
    </xf>
    <xf numFmtId="49" fontId="0" fillId="2" borderId="13" applyNumberFormat="1" applyFont="1" applyFill="1" applyBorder="1" applyAlignment="1" applyProtection="0">
      <alignment horizontal="center" vertical="top" wrapText="1"/>
    </xf>
    <xf numFmtId="49" fontId="0" fillId="2" borderId="13" applyNumberFormat="1" applyFont="1" applyFill="1" applyBorder="1" applyAlignment="1" applyProtection="0">
      <alignment horizontal="center" vertical="center" wrapText="1"/>
    </xf>
    <xf numFmtId="62" fontId="0" fillId="2" borderId="13" applyNumberFormat="1" applyFont="1" applyFill="1" applyBorder="1" applyAlignment="1" applyProtection="0">
      <alignment vertical="bottom" wrapText="1"/>
    </xf>
    <xf numFmtId="60" fontId="0" fillId="2" borderId="13" applyNumberFormat="1" applyFont="1" applyFill="1" applyBorder="1" applyAlignment="1" applyProtection="0">
      <alignment vertical="bottom" wrapText="1"/>
    </xf>
    <xf numFmtId="49" fontId="0" fillId="2" borderId="13" applyNumberFormat="1" applyFont="1" applyFill="1" applyBorder="1" applyAlignment="1" applyProtection="0">
      <alignment horizontal="center" vertical="bottom" wrapText="1"/>
    </xf>
    <xf numFmtId="0" fontId="0" borderId="17" applyNumberFormat="0" applyFont="1" applyFill="0" applyBorder="1" applyAlignment="1" applyProtection="0">
      <alignment horizontal="center" vertical="bottom"/>
    </xf>
    <xf numFmtId="62" fontId="0" borderId="17" applyNumberFormat="1" applyFont="1" applyFill="0" applyBorder="1" applyAlignment="1" applyProtection="0">
      <alignment vertical="bottom"/>
    </xf>
    <xf numFmtId="0" fontId="0" borderId="17" applyNumberFormat="1" applyFont="1" applyFill="0" applyBorder="1" applyAlignment="1" applyProtection="0">
      <alignment vertical="bottom"/>
    </xf>
    <xf numFmtId="0" fontId="0" fillId="2" borderId="17" applyNumberFormat="0" applyFont="1" applyFill="1" applyBorder="1" applyAlignment="1" applyProtection="0">
      <alignment vertical="top" wrapText="1"/>
    </xf>
    <xf numFmtId="59" fontId="0" fillId="2" borderId="17" applyNumberFormat="1" applyFont="1" applyFill="1" applyBorder="1" applyAlignment="1" applyProtection="0">
      <alignment vertical="top"/>
    </xf>
    <xf numFmtId="0" fontId="0" fillId="2" borderId="17" applyNumberFormat="0" applyFont="1" applyFill="1" applyBorder="1" applyAlignment="1" applyProtection="0">
      <alignment horizontal="center" vertical="top" wrapText="1"/>
    </xf>
    <xf numFmtId="49" fontId="0" borderId="17" applyNumberFormat="1" applyFont="1" applyFill="0" applyBorder="1" applyAlignment="1" applyProtection="0">
      <alignment vertical="bottom"/>
    </xf>
    <xf numFmtId="0" fontId="0" fillId="2" borderId="17" applyNumberFormat="0" applyFont="1" applyFill="1" applyBorder="1" applyAlignment="1" applyProtection="0">
      <alignment horizontal="center" vertical="center" wrapText="1"/>
    </xf>
    <xf numFmtId="0" fontId="0" fillId="2" borderId="17" applyNumberFormat="0" applyFont="1" applyFill="1" applyBorder="1" applyAlignment="1" applyProtection="0">
      <alignment horizontal="center" vertical="bottom" wrapText="1"/>
    </xf>
    <xf numFmtId="0" fontId="0" fillId="2" borderId="17" applyNumberFormat="1" applyFont="1" applyFill="1" applyBorder="1" applyAlignment="1" applyProtection="0">
      <alignment vertical="bottom" wrapText="1"/>
    </xf>
    <xf numFmtId="59" fontId="0" fillId="2" borderId="17" applyNumberFormat="1" applyFont="1" applyFill="1" applyBorder="1" applyAlignment="1" applyProtection="0">
      <alignment vertical="top" wrapText="1"/>
    </xf>
    <xf numFmtId="0" fontId="0" fillId="2" borderId="2" applyNumberFormat="0" applyFont="1" applyFill="1" applyBorder="1" applyAlignment="1" applyProtection="0">
      <alignment vertical="top" wrapText="1"/>
    </xf>
    <xf numFmtId="59" fontId="0" fillId="2" borderId="2" applyNumberFormat="1" applyFont="1" applyFill="1" applyBorder="1" applyAlignment="1" applyProtection="0">
      <alignment vertical="top" wrapText="1"/>
    </xf>
    <xf numFmtId="59" fontId="0" fillId="2" borderId="2" applyNumberFormat="1" applyFont="1" applyFill="1" applyBorder="1" applyAlignment="1" applyProtection="0">
      <alignment vertical="bottom"/>
    </xf>
    <xf numFmtId="60" fontId="0" fillId="2" borderId="2" applyNumberFormat="1" applyFont="1" applyFill="1" applyBorder="1" applyAlignment="1" applyProtection="0">
      <alignment vertical="bottom"/>
    </xf>
    <xf numFmtId="59" fontId="4" fillId="2" borderId="13" applyNumberFormat="1" applyFont="1" applyFill="1" applyBorder="1" applyAlignment="1" applyProtection="0">
      <alignment horizontal="left" vertical="center"/>
    </xf>
    <xf numFmtId="0" fontId="4" fillId="2" borderId="13" applyNumberFormat="1" applyFont="1" applyFill="1" applyBorder="1" applyAlignment="1" applyProtection="0">
      <alignment vertical="center" wrapText="1"/>
    </xf>
    <xf numFmtId="49" fontId="15" fillId="2" borderId="13" applyNumberFormat="1" applyFont="1" applyFill="1" applyBorder="1" applyAlignment="1" applyProtection="0">
      <alignment horizontal="left" vertical="center"/>
    </xf>
    <xf numFmtId="60" fontId="4" fillId="2" borderId="13" applyNumberFormat="1" applyFont="1" applyFill="1" applyBorder="1" applyAlignment="1" applyProtection="0">
      <alignment horizontal="left" vertical="center"/>
    </xf>
    <xf numFmtId="0" fontId="4" fillId="2" borderId="17" applyNumberFormat="0" applyFont="1" applyFill="1" applyBorder="1" applyAlignment="1" applyProtection="0">
      <alignment vertical="center" wrapText="1"/>
    </xf>
    <xf numFmtId="49" fontId="4" fillId="2" borderId="17" applyNumberFormat="1" applyFont="1" applyFill="1" applyBorder="1" applyAlignment="1" applyProtection="0">
      <alignment vertical="center" wrapText="1"/>
    </xf>
    <xf numFmtId="49" fontId="9" fillId="2" borderId="17" applyNumberFormat="1" applyFont="1" applyFill="1" applyBorder="1" applyAlignment="1" applyProtection="0">
      <alignment vertical="center"/>
    </xf>
    <xf numFmtId="0" fontId="4" fillId="2" borderId="17" applyNumberFormat="1" applyFont="1" applyFill="1" applyBorder="1" applyAlignment="1" applyProtection="0">
      <alignment vertical="center" wrapText="1"/>
    </xf>
    <xf numFmtId="49" fontId="0" fillId="2" borderId="13" applyNumberFormat="1" applyFont="1" applyFill="1" applyBorder="1" applyAlignment="1" applyProtection="0">
      <alignment horizontal="left" vertical="top"/>
    </xf>
    <xf numFmtId="0" fontId="0" fillId="2" borderId="13" applyNumberFormat="1" applyFont="1" applyFill="1" applyBorder="1" applyAlignment="1" applyProtection="0">
      <alignment horizontal="left" vertical="top"/>
    </xf>
    <xf numFmtId="9" fontId="0" fillId="2" borderId="13" applyNumberFormat="1" applyFont="1" applyFill="1" applyBorder="1" applyAlignment="1" applyProtection="0">
      <alignment horizontal="left" vertical="top"/>
    </xf>
    <xf numFmtId="62" fontId="0" fillId="2" borderId="13" applyNumberFormat="1" applyFont="1" applyFill="1" applyBorder="1" applyAlignment="1" applyProtection="0">
      <alignment horizontal="left" vertical="top"/>
    </xf>
    <xf numFmtId="59" fontId="0" fillId="2" borderId="13" applyNumberFormat="1" applyFont="1" applyFill="1" applyBorder="1" applyAlignment="1" applyProtection="0">
      <alignment horizontal="left" vertical="top"/>
    </xf>
    <xf numFmtId="0" fontId="0" fillId="2" borderId="13" applyNumberFormat="0" applyFont="1" applyFill="1" applyBorder="1" applyAlignment="1" applyProtection="0">
      <alignment horizontal="left" vertical="top"/>
    </xf>
    <xf numFmtId="49" fontId="0" fillId="2" borderId="13" applyNumberFormat="1" applyFont="1" applyFill="1" applyBorder="1" applyAlignment="1" applyProtection="0">
      <alignment horizontal="right" vertical="top"/>
    </xf>
    <xf numFmtId="9" fontId="0" fillId="2" borderId="13" applyNumberFormat="1" applyFont="1" applyFill="1" applyBorder="1" applyAlignment="1" applyProtection="0">
      <alignment horizontal="right" vertical="top"/>
    </xf>
    <xf numFmtId="60" fontId="0" fillId="2" borderId="13" applyNumberFormat="1" applyFont="1" applyFill="1" applyBorder="1" applyAlignment="1" applyProtection="0">
      <alignment horizontal="left" vertical="top"/>
    </xf>
    <xf numFmtId="49" fontId="0" fillId="2" borderId="17" applyNumberFormat="1" applyFont="1" applyFill="1" applyBorder="1" applyAlignment="1" applyProtection="0">
      <alignment vertical="top"/>
    </xf>
    <xf numFmtId="9" fontId="0" fillId="2" borderId="17" applyNumberFormat="1" applyFont="1" applyFill="1" applyBorder="1" applyAlignment="1" applyProtection="0">
      <alignment vertical="top"/>
    </xf>
    <xf numFmtId="62" fontId="0" fillId="2" borderId="17" applyNumberFormat="1" applyFont="1" applyFill="1" applyBorder="1" applyAlignment="1" applyProtection="0">
      <alignment vertical="top" wrapText="1"/>
    </xf>
    <xf numFmtId="9" fontId="0" fillId="2" borderId="17" applyNumberFormat="1" applyFont="1" applyFill="1" applyBorder="1" applyAlignment="1" applyProtection="0">
      <alignment vertical="top" wrapText="1"/>
    </xf>
    <xf numFmtId="49" fontId="0" fillId="2" borderId="17" applyNumberFormat="1" applyFont="1" applyFill="1" applyBorder="1" applyAlignment="1" applyProtection="0">
      <alignment vertical="top" wrapText="1"/>
    </xf>
    <xf numFmtId="60" fontId="0" fillId="2" borderId="17" applyNumberFormat="1" applyFont="1" applyFill="1" applyBorder="1" applyAlignment="1" applyProtection="0">
      <alignment vertical="top"/>
    </xf>
    <xf numFmtId="0" fontId="0" fillId="2" borderId="17" applyNumberFormat="1" applyFont="1" applyFill="1" applyBorder="1" applyAlignment="1" applyProtection="0">
      <alignment vertical="top"/>
    </xf>
    <xf numFmtId="1" fontId="0" borderId="13" applyNumberFormat="1" applyFont="1" applyFill="0" applyBorder="1" applyAlignment="1" applyProtection="0">
      <alignment vertical="bottom"/>
    </xf>
    <xf numFmtId="9" fontId="0" borderId="13" applyNumberFormat="1" applyFont="1" applyFill="0" applyBorder="1" applyAlignment="1" applyProtection="0">
      <alignment vertical="bottom"/>
    </xf>
    <xf numFmtId="49" fontId="0" borderId="13" applyNumberFormat="1" applyFont="1" applyFill="0" applyBorder="1" applyAlignment="1" applyProtection="0">
      <alignment horizontal="left" vertical="bottom"/>
    </xf>
    <xf numFmtId="59" fontId="0" fillId="2" borderId="13" applyNumberFormat="1" applyFont="1" applyFill="1" applyBorder="1" applyAlignment="1" applyProtection="0">
      <alignment vertical="bottom"/>
    </xf>
    <xf numFmtId="62" fontId="11" borderId="13" applyNumberFormat="1" applyFont="1" applyFill="0" applyBorder="1" applyAlignment="1" applyProtection="0">
      <alignment vertical="bottom"/>
    </xf>
    <xf numFmtId="60" fontId="11" fillId="2" borderId="13" applyNumberFormat="1" applyFont="1" applyFill="1" applyBorder="1" applyAlignment="1" applyProtection="0">
      <alignment vertical="bottom"/>
    </xf>
    <xf numFmtId="0" fontId="11" borderId="13" applyNumberFormat="1" applyFont="1" applyFill="0" applyBorder="1" applyAlignment="1" applyProtection="0">
      <alignment horizontal="center" vertical="bottom"/>
    </xf>
    <xf numFmtId="0" fontId="0" borderId="17" applyNumberFormat="0" applyFont="1" applyFill="0" applyBorder="1" applyAlignment="1" applyProtection="0">
      <alignment horizontal="left" vertical="bottom"/>
    </xf>
    <xf numFmtId="62" fontId="0" fillId="2" borderId="17" applyNumberFormat="1" applyFont="1" applyFill="1" applyBorder="1" applyAlignment="1" applyProtection="0">
      <alignment vertical="bottom" wrapText="1"/>
    </xf>
    <xf numFmtId="59" fontId="0" fillId="2" borderId="17" applyNumberFormat="1" applyFont="1" applyFill="1" applyBorder="1" applyAlignment="1" applyProtection="0">
      <alignment vertical="bottom"/>
    </xf>
    <xf numFmtId="49" fontId="11" fillId="2" borderId="17" applyNumberFormat="1" applyFont="1" applyFill="1" applyBorder="1" applyAlignment="1" applyProtection="0">
      <alignment vertical="center"/>
    </xf>
    <xf numFmtId="49" fontId="0" borderId="1" applyNumberFormat="1" applyFont="1" applyFill="0" applyBorder="1" applyAlignment="1" applyProtection="0">
      <alignment vertical="bottom"/>
    </xf>
    <xf numFmtId="0" fontId="0" borderId="1" applyNumberFormat="1" applyFont="1" applyFill="0" applyBorder="1" applyAlignment="1" applyProtection="0">
      <alignment vertical="bottom"/>
    </xf>
    <xf numFmtId="62" fontId="11" borderId="1" applyNumberFormat="1" applyFont="1" applyFill="0" applyBorder="1" applyAlignment="1" applyProtection="0">
      <alignment horizontal="center" vertical="bottom"/>
    </xf>
    <xf numFmtId="60" fontId="11" fillId="2" borderId="1" applyNumberFormat="1" applyFont="1" applyFill="1" applyBorder="1" applyAlignment="1" applyProtection="0">
      <alignment horizontal="center" vertical="bottom"/>
    </xf>
    <xf numFmtId="62" fontId="0" borderId="1" applyNumberFormat="1" applyFont="1" applyFill="0" applyBorder="1" applyAlignment="1" applyProtection="0">
      <alignment vertical="bottom"/>
    </xf>
    <xf numFmtId="60" fontId="0" fillId="2" borderId="1" applyNumberFormat="1" applyFont="1" applyFill="1" applyBorder="1" applyAlignment="1" applyProtection="0">
      <alignment vertical="bottom"/>
    </xf>
    <xf numFmtId="0" fontId="0" borderId="1" applyNumberFormat="0" applyFont="1" applyFill="0" applyBorder="1" applyAlignment="1" applyProtection="0">
      <alignment vertical="bottom"/>
    </xf>
    <xf numFmtId="49" fontId="11" borderId="1" applyNumberFormat="1" applyFont="1" applyFill="0" applyBorder="1" applyAlignment="1" applyProtection="0">
      <alignment vertical="bottom"/>
    </xf>
    <xf numFmtId="0" fontId="0" borderId="14" applyNumberFormat="0" applyFont="1" applyFill="0" applyBorder="1" applyAlignment="1" applyProtection="0">
      <alignment vertical="bottom"/>
    </xf>
    <xf numFmtId="49" fontId="0" fillId="11" borderId="15" applyNumberFormat="1" applyFont="1" applyFill="1" applyBorder="1" applyAlignment="1" applyProtection="0">
      <alignment vertical="bottom"/>
    </xf>
    <xf numFmtId="0" fontId="0" fillId="11" borderId="15" applyNumberFormat="1" applyFont="1" applyFill="1" applyBorder="1" applyAlignment="1" applyProtection="0">
      <alignment vertical="bottom"/>
    </xf>
    <xf numFmtId="62" fontId="11" fillId="11" borderId="15" applyNumberFormat="1" applyFont="1" applyFill="1" applyBorder="1" applyAlignment="1" applyProtection="0">
      <alignment vertical="bottom"/>
    </xf>
    <xf numFmtId="60" fontId="11" fillId="11" borderId="15" applyNumberFormat="1" applyFont="1" applyFill="1" applyBorder="1" applyAlignment="1" applyProtection="0">
      <alignment vertical="bottom"/>
    </xf>
    <xf numFmtId="49" fontId="0" fillId="11" borderId="15" applyNumberFormat="1" applyFont="1" applyFill="1" applyBorder="1" applyAlignment="1" applyProtection="0">
      <alignment vertical="bottom" wrapText="1"/>
    </xf>
    <xf numFmtId="60" fontId="0" fillId="11" borderId="15" applyNumberFormat="1" applyFont="1" applyFill="1" applyBorder="1" applyAlignment="1" applyProtection="0">
      <alignment vertical="bottom" wrapText="1"/>
    </xf>
    <xf numFmtId="49" fontId="0" fillId="11" borderId="15" applyNumberFormat="1" applyFont="1" applyFill="1" applyBorder="1" applyAlignment="1" applyProtection="0">
      <alignment horizontal="right" vertical="bottom"/>
    </xf>
    <xf numFmtId="0" fontId="0" fillId="11" borderId="15" applyNumberFormat="0" applyFont="1" applyFill="1" applyBorder="1" applyAlignment="1" applyProtection="0">
      <alignment vertical="bottom"/>
    </xf>
    <xf numFmtId="49" fontId="0" borderId="32" applyNumberFormat="1" applyFont="1" applyFill="0" applyBorder="1" applyAlignment="1" applyProtection="0">
      <alignment vertical="bottom"/>
    </xf>
    <xf numFmtId="0" fontId="0" borderId="32" applyNumberFormat="1" applyFont="1" applyFill="0" applyBorder="1" applyAlignment="1" applyProtection="0">
      <alignment vertical="bottom"/>
    </xf>
    <xf numFmtId="0" fontId="0" fillId="2" borderId="32" applyNumberFormat="0" applyFont="1" applyFill="1" applyBorder="1" applyAlignment="1" applyProtection="0">
      <alignment vertical="bottom"/>
    </xf>
    <xf numFmtId="0" fontId="0" borderId="32" applyNumberFormat="0" applyFont="1" applyFill="0" applyBorder="1" applyAlignment="1" applyProtection="0">
      <alignment vertical="bottom"/>
    </xf>
    <xf numFmtId="49" fontId="0" fillId="8" borderId="15" applyNumberFormat="1" applyFont="1" applyFill="1" applyBorder="1" applyAlignment="1" applyProtection="0">
      <alignment vertical="bottom"/>
    </xf>
    <xf numFmtId="10" fontId="11" fillId="8" borderId="15" applyNumberFormat="1" applyFont="1" applyFill="1" applyBorder="1" applyAlignment="1" applyProtection="0">
      <alignment vertical="bottom"/>
    </xf>
    <xf numFmtId="60" fontId="0" fillId="8" borderId="15" applyNumberFormat="1" applyFont="1" applyFill="1" applyBorder="1" applyAlignment="1" applyProtection="0">
      <alignment vertical="bottom"/>
    </xf>
    <xf numFmtId="0" fontId="0" fillId="8" borderId="15" applyNumberFormat="0" applyFont="1" applyFill="1" applyBorder="1" applyAlignment="1" applyProtection="0">
      <alignment vertical="bottom"/>
    </xf>
    <xf numFmtId="0" fontId="0" fillId="8" borderId="15" applyNumberFormat="1" applyFont="1" applyFill="1" applyBorder="1" applyAlignment="1" applyProtection="0">
      <alignment vertical="bottom"/>
    </xf>
    <xf numFmtId="0" fontId="0" borderId="31" applyNumberFormat="0" applyFont="1" applyFill="0" applyBorder="1" applyAlignment="1" applyProtection="0">
      <alignment vertical="bottom"/>
    </xf>
    <xf numFmtId="0" fontId="0" fillId="2" borderId="31" applyNumberFormat="0" applyFont="1" applyFill="1" applyBorder="1" applyAlignment="1" applyProtection="0">
      <alignment vertical="bottom"/>
    </xf>
    <xf numFmtId="0" fontId="4" borderId="13" applyNumberFormat="1" applyFont="1" applyFill="0" applyBorder="1" applyAlignment="1" applyProtection="0">
      <alignment vertical="bottom"/>
    </xf>
    <xf numFmtId="3" fontId="4" borderId="13" applyNumberFormat="1" applyFont="1" applyFill="0" applyBorder="1" applyAlignment="1" applyProtection="0">
      <alignment vertical="bottom"/>
    </xf>
    <xf numFmtId="49" fontId="4" borderId="13" applyNumberFormat="1" applyFont="1" applyFill="0" applyBorder="1" applyAlignment="1" applyProtection="0">
      <alignment vertical="bottom"/>
    </xf>
    <xf numFmtId="1" fontId="4" borderId="13" applyNumberFormat="1" applyFont="1" applyFill="0" applyBorder="1" applyAlignment="1" applyProtection="0">
      <alignment vertical="bottom"/>
    </xf>
    <xf numFmtId="10" fontId="4" borderId="13" applyNumberFormat="1" applyFont="1" applyFill="0" applyBorder="1" applyAlignment="1" applyProtection="0">
      <alignment vertical="bottom"/>
    </xf>
    <xf numFmtId="9" fontId="4" borderId="13" applyNumberFormat="1" applyFont="1" applyFill="0" applyBorder="1" applyAlignment="1" applyProtection="0">
      <alignment vertical="bottom"/>
    </xf>
    <xf numFmtId="62" fontId="4" borderId="13" applyNumberFormat="1" applyFont="1" applyFill="0" applyBorder="1" applyAlignment="1" applyProtection="0">
      <alignment vertical="bottom"/>
    </xf>
    <xf numFmtId="59" fontId="4" fillId="2" borderId="13" applyNumberFormat="1" applyFont="1" applyFill="1" applyBorder="1" applyAlignment="1" applyProtection="0">
      <alignment vertical="bottom"/>
    </xf>
    <xf numFmtId="49" fontId="4" borderId="13" applyNumberFormat="1" applyFont="1" applyFill="0" applyBorder="1" applyAlignment="1" applyProtection="0">
      <alignment vertical="bottom" wrapText="1"/>
    </xf>
    <xf numFmtId="0" fontId="4" borderId="13" applyNumberFormat="0" applyFont="1" applyFill="0" applyBorder="1" applyAlignment="1" applyProtection="0">
      <alignment vertical="bottom"/>
    </xf>
    <xf numFmtId="49" fontId="4" fillId="2" borderId="13" applyNumberFormat="1" applyFont="1" applyFill="1" applyBorder="1" applyAlignment="1" applyProtection="0">
      <alignment horizontal="center" vertical="bottom" wrapText="1"/>
    </xf>
    <xf numFmtId="60" fontId="4" fillId="2" borderId="13" applyNumberFormat="1" applyFont="1" applyFill="1" applyBorder="1" applyAlignment="1" applyProtection="0">
      <alignment vertical="bottom"/>
    </xf>
    <xf numFmtId="62" fontId="4" fillId="2" borderId="13" applyNumberFormat="1" applyFont="1" applyFill="1" applyBorder="1" applyAlignment="1" applyProtection="0">
      <alignment vertical="bottom" wrapText="1"/>
    </xf>
    <xf numFmtId="60" fontId="4" fillId="2" borderId="13" applyNumberFormat="1" applyFont="1" applyFill="1" applyBorder="1" applyAlignment="1" applyProtection="0">
      <alignment vertical="bottom" wrapText="1"/>
    </xf>
    <xf numFmtId="49" fontId="4" borderId="17" applyNumberFormat="1" applyFont="1" applyFill="0" applyBorder="1" applyAlignment="1" applyProtection="0">
      <alignment vertical="bottom"/>
    </xf>
    <xf numFmtId="9" fontId="4" borderId="17" applyNumberFormat="1" applyFont="1" applyFill="0" applyBorder="1" applyAlignment="1" applyProtection="0">
      <alignment vertical="bottom"/>
    </xf>
    <xf numFmtId="62" fontId="4" borderId="17" applyNumberFormat="1" applyFont="1" applyFill="0" applyBorder="1" applyAlignment="1" applyProtection="0">
      <alignment vertical="bottom"/>
    </xf>
    <xf numFmtId="59" fontId="4" fillId="2" borderId="17" applyNumberFormat="1" applyFont="1" applyFill="1" applyBorder="1" applyAlignment="1" applyProtection="0">
      <alignment vertical="bottom"/>
    </xf>
    <xf numFmtId="10" fontId="4" borderId="17" applyNumberFormat="1" applyFont="1" applyFill="0" applyBorder="1" applyAlignment="1" applyProtection="0">
      <alignment vertical="bottom"/>
    </xf>
    <xf numFmtId="0" fontId="4" fillId="2" borderId="17" applyNumberFormat="0" applyFont="1" applyFill="1" applyBorder="1" applyAlignment="1" applyProtection="0">
      <alignment horizontal="center" vertical="bottom" wrapText="1"/>
    </xf>
    <xf numFmtId="60" fontId="4" fillId="2" borderId="17" applyNumberFormat="1" applyFont="1" applyFill="1" applyBorder="1" applyAlignment="1" applyProtection="0">
      <alignment vertical="bottom"/>
    </xf>
    <xf numFmtId="49" fontId="4" borderId="1" applyNumberFormat="1" applyFont="1" applyFill="0" applyBorder="1" applyAlignment="1" applyProtection="0">
      <alignment vertical="bottom"/>
    </xf>
    <xf numFmtId="9" fontId="4" borderId="1" applyNumberFormat="1" applyFont="1" applyFill="0" applyBorder="1" applyAlignment="1" applyProtection="0">
      <alignment vertical="bottom"/>
    </xf>
    <xf numFmtId="0" fontId="4" borderId="17" applyNumberFormat="1" applyFont="1" applyFill="0" applyBorder="1" applyAlignment="1" applyProtection="0">
      <alignment vertical="bottom"/>
    </xf>
    <xf numFmtId="0" fontId="4" fillId="2" borderId="14" applyNumberFormat="0" applyFont="1" applyFill="1" applyBorder="1" applyAlignment="1" applyProtection="0">
      <alignment horizontal="center" vertical="bottom" wrapText="1"/>
    </xf>
    <xf numFmtId="49" fontId="4" fillId="8" borderId="15" applyNumberFormat="1" applyFont="1" applyFill="1" applyBorder="1" applyAlignment="1" applyProtection="0">
      <alignment vertical="bottom"/>
    </xf>
    <xf numFmtId="0" fontId="4" fillId="8" borderId="15" applyNumberFormat="1" applyFont="1" applyFill="1" applyBorder="1" applyAlignment="1" applyProtection="0">
      <alignment vertical="bottom"/>
    </xf>
    <xf numFmtId="0" fontId="4" borderId="31" applyNumberFormat="0" applyFont="1" applyFill="0" applyBorder="1" applyAlignment="1" applyProtection="0">
      <alignment vertical="bottom"/>
    </xf>
    <xf numFmtId="59" fontId="4" fillId="2" borderId="2" applyNumberFormat="1" applyFont="1" applyFill="1" applyBorder="1" applyAlignment="1" applyProtection="0">
      <alignment vertical="bottom"/>
    </xf>
    <xf numFmtId="60" fontId="4" fillId="2" borderId="2" applyNumberFormat="1" applyFont="1" applyFill="1" applyBorder="1" applyAlignment="1" applyProtection="0">
      <alignment vertical="bottom"/>
    </xf>
    <xf numFmtId="3" fontId="4" fillId="2" borderId="13" applyNumberFormat="1" applyFont="1" applyFill="1" applyBorder="1" applyAlignment="1" applyProtection="0">
      <alignment vertical="center"/>
    </xf>
    <xf numFmtId="0" fontId="0" fillId="2" borderId="13" applyNumberFormat="1" applyFont="1" applyFill="1" applyBorder="1" applyAlignment="1" applyProtection="0">
      <alignment vertical="center"/>
    </xf>
    <xf numFmtId="49" fontId="4" fillId="2" borderId="13" applyNumberFormat="1" applyFont="1" applyFill="1" applyBorder="1" applyAlignment="1" applyProtection="0">
      <alignment vertical="center"/>
    </xf>
    <xf numFmtId="49" fontId="4" fillId="2" borderId="13" applyNumberFormat="1" applyFont="1" applyFill="1" applyBorder="1" applyAlignment="1" applyProtection="0">
      <alignment vertical="center" wrapText="1"/>
    </xf>
    <xf numFmtId="0" fontId="4" fillId="2" borderId="13" applyNumberFormat="0" applyFont="1" applyFill="1" applyBorder="1" applyAlignment="1" applyProtection="0">
      <alignment vertical="center" wrapText="1"/>
    </xf>
    <xf numFmtId="0" fontId="4" fillId="2" borderId="13" applyNumberFormat="0" applyFont="1" applyFill="1" applyBorder="1" applyAlignment="1" applyProtection="0">
      <alignment vertical="center"/>
    </xf>
    <xf numFmtId="62" fontId="4" fillId="2" borderId="13" applyNumberFormat="1" applyFont="1" applyFill="1" applyBorder="1" applyAlignment="1" applyProtection="0">
      <alignment vertical="center" wrapText="1"/>
    </xf>
    <xf numFmtId="59" fontId="4" fillId="2" borderId="13" applyNumberFormat="1" applyFont="1" applyFill="1" applyBorder="1" applyAlignment="1" applyProtection="0">
      <alignment vertical="center" wrapText="1"/>
    </xf>
    <xf numFmtId="49" fontId="4" fillId="2" borderId="21" applyNumberFormat="1" applyFont="1" applyFill="1" applyBorder="1" applyAlignment="1" applyProtection="0">
      <alignment vertical="center" wrapText="1"/>
    </xf>
    <xf numFmtId="0" fontId="4" fillId="8" borderId="11" applyNumberFormat="1" applyFont="1" applyFill="1" applyBorder="1" applyAlignment="1" applyProtection="0">
      <alignment vertical="center" wrapText="1"/>
    </xf>
    <xf numFmtId="62" fontId="4" fillId="2" borderId="33" applyNumberFormat="1" applyFont="1" applyFill="1" applyBorder="1" applyAlignment="1" applyProtection="0">
      <alignment vertical="center" wrapText="1"/>
    </xf>
    <xf numFmtId="60" fontId="4" fillId="2" borderId="30" applyNumberFormat="1" applyFont="1" applyFill="1" applyBorder="1" applyAlignment="1" applyProtection="0">
      <alignment vertical="center" wrapText="1"/>
    </xf>
    <xf numFmtId="62" fontId="4" fillId="2" borderId="30" applyNumberFormat="1" applyFont="1" applyFill="1" applyBorder="1" applyAlignment="1" applyProtection="0">
      <alignment vertical="center" wrapText="1"/>
    </xf>
    <xf numFmtId="0" fontId="4" fillId="2" borderId="30" applyNumberFormat="0" applyFont="1" applyFill="1" applyBorder="1" applyAlignment="1" applyProtection="0">
      <alignment vertical="center" wrapText="1"/>
    </xf>
    <xf numFmtId="0" fontId="4" fillId="2" borderId="30" applyNumberFormat="1" applyFont="1" applyFill="1" applyBorder="1" applyAlignment="1" applyProtection="0">
      <alignment vertical="center" wrapText="1"/>
    </xf>
    <xf numFmtId="0" fontId="4" fillId="2" borderId="13" applyNumberFormat="0" applyFont="1" applyFill="1" applyBorder="1" applyAlignment="1" applyProtection="0">
      <alignment horizontal="center" vertical="center" wrapText="1"/>
    </xf>
    <xf numFmtId="62" fontId="4" fillId="2" borderId="17" applyNumberFormat="1" applyFont="1" applyFill="1" applyBorder="1" applyAlignment="1" applyProtection="0">
      <alignment vertical="center" wrapText="1"/>
    </xf>
    <xf numFmtId="59" fontId="4" fillId="2" borderId="17" applyNumberFormat="1" applyFont="1" applyFill="1" applyBorder="1" applyAlignment="1" applyProtection="0">
      <alignment vertical="center" wrapText="1"/>
    </xf>
    <xf numFmtId="9" fontId="6" fillId="8" borderId="15" applyNumberFormat="1" applyFont="1" applyFill="1" applyBorder="1" applyAlignment="1" applyProtection="0">
      <alignment horizontal="left" vertical="center" wrapText="1"/>
    </xf>
    <xf numFmtId="62" fontId="4" fillId="8" borderId="15" applyNumberFormat="1" applyFont="1" applyFill="1" applyBorder="1" applyAlignment="1" applyProtection="0">
      <alignment vertical="center" wrapText="1"/>
    </xf>
    <xf numFmtId="60" fontId="4" fillId="8" borderId="15" applyNumberFormat="1" applyFont="1" applyFill="1" applyBorder="1" applyAlignment="1" applyProtection="0">
      <alignment vertical="center" wrapText="1"/>
    </xf>
    <xf numFmtId="0" fontId="4" fillId="8" borderId="15" applyNumberFormat="0" applyFont="1" applyFill="1" applyBorder="1" applyAlignment="1" applyProtection="0">
      <alignment horizontal="left" vertical="center" wrapText="1"/>
    </xf>
    <xf numFmtId="0" fontId="4" fillId="8" borderId="15" applyNumberFormat="1" applyFont="1" applyFill="1" applyBorder="1" applyAlignment="1" applyProtection="0">
      <alignment horizontal="left" vertical="center" wrapText="1"/>
    </xf>
    <xf numFmtId="60" fontId="4" fillId="2" borderId="31" applyNumberFormat="1" applyFont="1" applyFill="1" applyBorder="1" applyAlignment="1" applyProtection="0">
      <alignment horizontal="left" vertical="center" wrapText="1"/>
    </xf>
    <xf numFmtId="0" fontId="10" fillId="2" borderId="13" applyNumberFormat="1" applyFont="1" applyFill="1" applyBorder="1" applyAlignment="1" applyProtection="0">
      <alignment vertical="center"/>
    </xf>
    <xf numFmtId="49" fontId="10" fillId="2" borderId="13" applyNumberFormat="1" applyFont="1" applyFill="1" applyBorder="1" applyAlignment="1" applyProtection="0">
      <alignment vertical="center"/>
    </xf>
    <xf numFmtId="49" fontId="10" fillId="2" borderId="13" applyNumberFormat="1" applyFont="1" applyFill="1" applyBorder="1" applyAlignment="1" applyProtection="0">
      <alignment vertical="center" wrapText="1"/>
    </xf>
    <xf numFmtId="49" fontId="10" fillId="2" borderId="13" applyNumberFormat="1" applyFont="1" applyFill="1" applyBorder="1" applyAlignment="1" applyProtection="0">
      <alignment horizontal="center" vertical="center" wrapText="1"/>
    </xf>
    <xf numFmtId="49" fontId="10" fillId="2" borderId="13" applyNumberFormat="1" applyFont="1" applyFill="1" applyBorder="1" applyAlignment="1" applyProtection="0">
      <alignment horizontal="left" vertical="center" wrapText="1"/>
    </xf>
    <xf numFmtId="0" fontId="10" fillId="2" borderId="13" applyNumberFormat="1" applyFont="1" applyFill="1" applyBorder="1" applyAlignment="1" applyProtection="0">
      <alignment horizontal="left" vertical="center" wrapText="1"/>
    </xf>
    <xf numFmtId="62" fontId="10" fillId="2" borderId="13" applyNumberFormat="1" applyFont="1" applyFill="1" applyBorder="1" applyAlignment="1" applyProtection="0">
      <alignment vertical="center" wrapText="1"/>
    </xf>
    <xf numFmtId="59" fontId="10" fillId="2" borderId="13" applyNumberFormat="1" applyFont="1" applyFill="1" applyBorder="1" applyAlignment="1" applyProtection="0">
      <alignment vertical="center" wrapText="1"/>
    </xf>
    <xf numFmtId="0" fontId="10" fillId="2" borderId="13" applyNumberFormat="1" applyFont="1" applyFill="1" applyBorder="1" applyAlignment="1" applyProtection="0">
      <alignment vertical="center" wrapText="1"/>
    </xf>
    <xf numFmtId="0" fontId="10" fillId="2" borderId="13" applyNumberFormat="0" applyFont="1" applyFill="1" applyBorder="1" applyAlignment="1" applyProtection="0">
      <alignment vertical="center"/>
    </xf>
    <xf numFmtId="49" fontId="10" borderId="13" applyNumberFormat="1" applyFont="1" applyFill="0" applyBorder="1" applyAlignment="1" applyProtection="0">
      <alignment horizontal="left" vertical="bottom"/>
    </xf>
    <xf numFmtId="49" fontId="10" borderId="13" applyNumberFormat="1" applyFont="1" applyFill="0" applyBorder="1" applyAlignment="1" applyProtection="0">
      <alignment horizontal="left" vertical="bottom" wrapText="1"/>
    </xf>
    <xf numFmtId="0" fontId="10" fillId="2" borderId="13" applyNumberFormat="0" applyFont="1" applyFill="1" applyBorder="1" applyAlignment="1" applyProtection="0">
      <alignment vertical="center" wrapText="1"/>
    </xf>
    <xf numFmtId="62" fontId="10" fillId="2" borderId="13" applyNumberFormat="1" applyFont="1" applyFill="1" applyBorder="1" applyAlignment="1" applyProtection="0">
      <alignment horizontal="left" vertical="center" wrapText="1"/>
    </xf>
    <xf numFmtId="60" fontId="10" fillId="2" borderId="13" applyNumberFormat="1" applyFont="1" applyFill="1" applyBorder="1" applyAlignment="1" applyProtection="0">
      <alignment horizontal="left" vertical="center" wrapText="1"/>
    </xf>
    <xf numFmtId="60" fontId="10" fillId="2" borderId="13" applyNumberFormat="1" applyFont="1" applyFill="1" applyBorder="1" applyAlignment="1" applyProtection="0">
      <alignment vertical="center" wrapText="1"/>
    </xf>
    <xf numFmtId="49" fontId="10" fillId="2" borderId="17" applyNumberFormat="1" applyFont="1" applyFill="1" applyBorder="1" applyAlignment="1" applyProtection="0">
      <alignment horizontal="left" vertical="center" wrapText="1"/>
    </xf>
    <xf numFmtId="0" fontId="10" fillId="2" borderId="17" applyNumberFormat="1" applyFont="1" applyFill="1" applyBorder="1" applyAlignment="1" applyProtection="0">
      <alignment horizontal="left" vertical="center" wrapText="1"/>
    </xf>
    <xf numFmtId="62" fontId="10" fillId="2" borderId="17" applyNumberFormat="1" applyFont="1" applyFill="1" applyBorder="1" applyAlignment="1" applyProtection="0">
      <alignment vertical="bottom" wrapText="1"/>
    </xf>
    <xf numFmtId="49" fontId="10" fillId="2" borderId="17" applyNumberFormat="1" applyFont="1" applyFill="1" applyBorder="1" applyAlignment="1" applyProtection="0">
      <alignment vertical="bottom" wrapText="1"/>
    </xf>
    <xf numFmtId="59" fontId="10" fillId="2" borderId="17" applyNumberFormat="1" applyFont="1" applyFill="1" applyBorder="1" applyAlignment="1" applyProtection="0">
      <alignment vertical="bottom" wrapText="1"/>
    </xf>
    <xf numFmtId="0" fontId="10" borderId="17" applyNumberFormat="1" applyFont="1" applyFill="0" applyBorder="1" applyAlignment="1" applyProtection="0">
      <alignment vertical="bottom"/>
    </xf>
    <xf numFmtId="0" fontId="10" borderId="17" applyNumberFormat="0" applyFont="1" applyFill="0" applyBorder="1" applyAlignment="1" applyProtection="0">
      <alignment horizontal="left" vertical="bottom"/>
    </xf>
    <xf numFmtId="62" fontId="10" fillId="2" borderId="17" applyNumberFormat="1" applyFont="1" applyFill="1" applyBorder="1" applyAlignment="1" applyProtection="0">
      <alignment vertical="center" wrapText="1"/>
    </xf>
    <xf numFmtId="0" fontId="10" fillId="2" borderId="17" applyNumberFormat="0" applyFont="1" applyFill="1" applyBorder="1" applyAlignment="1" applyProtection="0">
      <alignment vertical="bottom" wrapText="1"/>
    </xf>
    <xf numFmtId="0" fontId="10" fillId="2" borderId="17" applyNumberFormat="0" applyFont="1" applyFill="1" applyBorder="1" applyAlignment="1" applyProtection="0">
      <alignment horizontal="center" vertical="center" wrapText="1"/>
    </xf>
    <xf numFmtId="49" fontId="10" fillId="2" borderId="1" applyNumberFormat="1" applyFont="1" applyFill="1" applyBorder="1" applyAlignment="1" applyProtection="0">
      <alignment horizontal="left" vertical="center" wrapText="1"/>
    </xf>
    <xf numFmtId="0" fontId="10" fillId="2" borderId="1" applyNumberFormat="1" applyFont="1" applyFill="1" applyBorder="1" applyAlignment="1" applyProtection="0">
      <alignment horizontal="left" vertical="center" wrapText="1"/>
    </xf>
    <xf numFmtId="62" fontId="10" fillId="2" borderId="17" applyNumberFormat="1" applyFont="1" applyFill="1" applyBorder="1" applyAlignment="1" applyProtection="0">
      <alignment horizontal="left" vertical="center"/>
    </xf>
    <xf numFmtId="60" fontId="10" fillId="2" borderId="17" applyNumberFormat="1" applyFont="1" applyFill="1" applyBorder="1" applyAlignment="1" applyProtection="0">
      <alignment horizontal="left" vertical="center"/>
    </xf>
    <xf numFmtId="62" fontId="10" fillId="2" borderId="17" applyNumberFormat="1" applyFont="1" applyFill="1" applyBorder="1" applyAlignment="1" applyProtection="0">
      <alignment vertical="center"/>
    </xf>
    <xf numFmtId="60" fontId="10" fillId="2" borderId="17" applyNumberFormat="1" applyFont="1" applyFill="1" applyBorder="1" applyAlignment="1" applyProtection="0">
      <alignment vertical="center"/>
    </xf>
    <xf numFmtId="49" fontId="10" fillId="2" borderId="17" applyNumberFormat="1" applyFont="1" applyFill="1" applyBorder="1" applyAlignment="1" applyProtection="0">
      <alignment vertical="center"/>
    </xf>
    <xf numFmtId="49" fontId="10" fillId="2" borderId="17" applyNumberFormat="1" applyFont="1" applyFill="1" applyBorder="1" applyAlignment="1" applyProtection="0">
      <alignment vertical="top" wrapText="1"/>
    </xf>
    <xf numFmtId="59" fontId="10" fillId="2" borderId="17" applyNumberFormat="1" applyFont="1" applyFill="1" applyBorder="1" applyAlignment="1" applyProtection="0">
      <alignment vertical="bottom"/>
    </xf>
    <xf numFmtId="49" fontId="10" fillId="2" borderId="17" applyNumberFormat="1" applyFont="1" applyFill="1" applyBorder="1" applyAlignment="1" applyProtection="0">
      <alignment horizontal="center" vertical="bottom" wrapText="1"/>
    </xf>
    <xf numFmtId="0" fontId="10" fillId="2" borderId="17" applyNumberFormat="0" applyFont="1" applyFill="1" applyBorder="1" applyAlignment="1" applyProtection="0">
      <alignment horizontal="center" vertical="bottom" wrapText="1"/>
    </xf>
    <xf numFmtId="0" fontId="10" borderId="14" applyNumberFormat="0" applyFont="1" applyFill="0" applyBorder="1" applyAlignment="1" applyProtection="0">
      <alignment vertical="bottom"/>
    </xf>
    <xf numFmtId="49" fontId="10" fillId="8" borderId="15" applyNumberFormat="1" applyFont="1" applyFill="1" applyBorder="1" applyAlignment="1" applyProtection="0">
      <alignment horizontal="left" vertical="center"/>
    </xf>
    <xf numFmtId="49" fontId="10" fillId="8" borderId="15" applyNumberFormat="1" applyFont="1" applyFill="1" applyBorder="1" applyAlignment="1" applyProtection="0">
      <alignment vertical="bottom"/>
    </xf>
    <xf numFmtId="60" fontId="10" fillId="2" borderId="17" applyNumberFormat="1" applyFont="1" applyFill="1" applyBorder="1" applyAlignment="1" applyProtection="0">
      <alignment vertical="bottom"/>
    </xf>
    <xf numFmtId="0" fontId="10" borderId="31" applyNumberFormat="0" applyFont="1" applyFill="0" applyBorder="1" applyAlignment="1" applyProtection="0">
      <alignment vertical="bottom"/>
    </xf>
    <xf numFmtId="59" fontId="10" fillId="2" borderId="2" applyNumberFormat="1" applyFont="1" applyFill="1" applyBorder="1" applyAlignment="1" applyProtection="0">
      <alignment vertical="bottom"/>
    </xf>
    <xf numFmtId="60" fontId="10" fillId="2" borderId="2" applyNumberFormat="1" applyFont="1" applyFill="1" applyBorder="1" applyAlignment="1" applyProtection="0">
      <alignment vertical="bottom"/>
    </xf>
    <xf numFmtId="49" fontId="17" borderId="12" applyNumberFormat="1" applyFont="1" applyFill="0" applyBorder="1" applyAlignment="1" applyProtection="0">
      <alignment vertical="bottom"/>
    </xf>
    <xf numFmtId="3" fontId="11" borderId="13" applyNumberFormat="1" applyFont="1" applyFill="0" applyBorder="1" applyAlignment="1" applyProtection="0">
      <alignment vertical="bottom"/>
    </xf>
    <xf numFmtId="0" fontId="0" borderId="13" applyNumberFormat="0" applyFont="1" applyFill="0" applyBorder="1" applyAlignment="1" applyProtection="0">
      <alignment horizontal="center" vertical="bottom"/>
    </xf>
    <xf numFmtId="49" fontId="19" borderId="13" applyNumberFormat="1" applyFont="1" applyFill="0" applyBorder="1" applyAlignment="1" applyProtection="0">
      <alignment vertical="bottom"/>
    </xf>
    <xf numFmtId="9" fontId="11" borderId="13" applyNumberFormat="1" applyFont="1" applyFill="0" applyBorder="1" applyAlignment="1" applyProtection="0">
      <alignment vertical="bottom"/>
    </xf>
    <xf numFmtId="62" fontId="10" fillId="2" borderId="13" applyNumberFormat="1" applyFont="1" applyFill="1" applyBorder="1" applyAlignment="1" applyProtection="0">
      <alignment vertical="bottom" wrapText="1"/>
    </xf>
    <xf numFmtId="49" fontId="10" fillId="2" borderId="13" applyNumberFormat="1" applyFont="1" applyFill="1" applyBorder="1" applyAlignment="1" applyProtection="0">
      <alignment vertical="bottom" wrapText="1"/>
    </xf>
    <xf numFmtId="59" fontId="10" fillId="2" borderId="13" applyNumberFormat="1" applyFont="1" applyFill="1" applyBorder="1" applyAlignment="1" applyProtection="0">
      <alignment vertical="bottom" wrapText="1"/>
    </xf>
    <xf numFmtId="49" fontId="4" fillId="2" borderId="13" applyNumberFormat="1" applyFont="1" applyFill="1" applyBorder="1" applyAlignment="1" applyProtection="0">
      <alignment vertical="bottom" wrapText="1"/>
    </xf>
    <xf numFmtId="49" fontId="11" fillId="2" borderId="13" applyNumberFormat="1" applyFont="1" applyFill="1" applyBorder="1" applyAlignment="1" applyProtection="0">
      <alignment horizontal="center" vertical="top" wrapText="1"/>
    </xf>
    <xf numFmtId="49" fontId="11" fillId="2" borderId="13" applyNumberFormat="1" applyFont="1" applyFill="1" applyBorder="1" applyAlignment="1" applyProtection="0">
      <alignment vertical="bottom" wrapText="1"/>
    </xf>
    <xf numFmtId="49" fontId="11" fillId="2" borderId="13" applyNumberFormat="1" applyFont="1" applyFill="1" applyBorder="1" applyAlignment="1" applyProtection="0">
      <alignment horizontal="center" vertical="center" wrapText="1"/>
    </xf>
    <xf numFmtId="49" fontId="10" borderId="13" applyNumberFormat="1" applyFont="1" applyFill="0" applyBorder="1" applyAlignment="1" applyProtection="0">
      <alignment vertical="bottom"/>
    </xf>
    <xf numFmtId="49" fontId="10" borderId="13" applyNumberFormat="1" applyFont="1" applyFill="0" applyBorder="1" applyAlignment="1" applyProtection="0">
      <alignment vertical="bottom" wrapText="1"/>
    </xf>
    <xf numFmtId="49" fontId="20" fillId="2" borderId="17" applyNumberFormat="1" applyFont="1" applyFill="1" applyBorder="1" applyAlignment="1" applyProtection="0">
      <alignment horizontal="center" vertical="bottom" wrapText="1"/>
    </xf>
    <xf numFmtId="0" fontId="11" fillId="2" borderId="17" applyNumberFormat="0" applyFont="1" applyFill="1" applyBorder="1" applyAlignment="1" applyProtection="0">
      <alignment horizontal="center" vertical="top" wrapText="1"/>
    </xf>
    <xf numFmtId="62" fontId="11" borderId="17" applyNumberFormat="1" applyFont="1" applyFill="0" applyBorder="1" applyAlignment="1" applyProtection="0">
      <alignment vertical="bottom"/>
    </xf>
    <xf numFmtId="60" fontId="11" fillId="2" borderId="17" applyNumberFormat="1" applyFont="1" applyFill="1" applyBorder="1" applyAlignment="1" applyProtection="0">
      <alignment vertical="bottom"/>
    </xf>
    <xf numFmtId="0" fontId="11" fillId="2" borderId="17" applyNumberFormat="0" applyFont="1" applyFill="1" applyBorder="1" applyAlignment="1" applyProtection="0">
      <alignment horizontal="center" vertical="center" wrapText="1"/>
    </xf>
    <xf numFmtId="0" fontId="11" fillId="2" borderId="17" applyNumberFormat="0" applyFont="1" applyFill="1" applyBorder="1" applyAlignment="1" applyProtection="0">
      <alignment vertical="center"/>
    </xf>
    <xf numFmtId="0" fontId="17" fillId="2" borderId="17" applyNumberFormat="0" applyFont="1" applyFill="1" applyBorder="1" applyAlignment="1" applyProtection="0">
      <alignment vertical="center"/>
    </xf>
    <xf numFmtId="49" fontId="4" fillId="2" borderId="34" applyNumberFormat="1" applyFont="1" applyFill="1" applyBorder="1" applyAlignment="1" applyProtection="0">
      <alignment horizontal="left" vertical="center" wrapText="1"/>
    </xf>
    <xf numFmtId="49" fontId="4" fillId="2" borderId="1" applyNumberFormat="1" applyFont="1" applyFill="1" applyBorder="1" applyAlignment="1" applyProtection="0">
      <alignment horizontal="left" vertical="center" wrapText="1"/>
    </xf>
    <xf numFmtId="0" fontId="4" fillId="2" borderId="1" applyNumberFormat="1" applyFont="1" applyFill="1" applyBorder="1" applyAlignment="1" applyProtection="0">
      <alignment horizontal="left" vertical="center" wrapText="1"/>
    </xf>
    <xf numFmtId="49" fontId="4" fillId="8" borderId="15" applyNumberFormat="1" applyFont="1" applyFill="1" applyBorder="1" applyAlignment="1" applyProtection="0">
      <alignment horizontal="left" vertical="center"/>
    </xf>
    <xf numFmtId="0" fontId="4" fillId="8" borderId="15" applyNumberFormat="1" applyFont="1" applyFill="1" applyBorder="1" applyAlignment="1" applyProtection="0">
      <alignment horizontal="left" vertical="center"/>
    </xf>
    <xf numFmtId="0" fontId="4" fillId="2" borderId="35" applyNumberFormat="0" applyFont="1" applyFill="1" applyBorder="1" applyAlignment="1" applyProtection="0">
      <alignment horizontal="left" vertical="center" wrapText="1"/>
    </xf>
    <xf numFmtId="49" fontId="11" fillId="2" borderId="12" applyNumberFormat="1" applyFont="1" applyFill="1" applyBorder="1" applyAlignment="1" applyProtection="0">
      <alignment vertical="center" wrapText="1"/>
    </xf>
    <xf numFmtId="4" fontId="11" borderId="13" applyNumberFormat="1" applyFont="1" applyFill="0" applyBorder="1" applyAlignment="1" applyProtection="0">
      <alignment vertical="bottom"/>
    </xf>
    <xf numFmtId="63" fontId="11" borderId="13" applyNumberFormat="1" applyFont="1" applyFill="0" applyBorder="1" applyAlignment="1" applyProtection="0">
      <alignment vertical="bottom"/>
    </xf>
    <xf numFmtId="62" fontId="11" fillId="2" borderId="13" applyNumberFormat="1" applyFont="1" applyFill="1" applyBorder="1" applyAlignment="1" applyProtection="0">
      <alignment vertical="bottom" wrapText="1"/>
    </xf>
    <xf numFmtId="49" fontId="11" borderId="13" applyNumberFormat="1" applyFont="1" applyFill="0" applyBorder="1" applyAlignment="1" applyProtection="0">
      <alignment vertical="bottom" wrapText="1"/>
    </xf>
    <xf numFmtId="59" fontId="11" fillId="2" borderId="13" applyNumberFormat="1" applyFont="1" applyFill="1" applyBorder="1" applyAlignment="1" applyProtection="0">
      <alignment vertical="bottom"/>
    </xf>
    <xf numFmtId="49" fontId="11" fillId="2" borderId="13" applyNumberFormat="1" applyFont="1" applyFill="1" applyBorder="1" applyAlignment="1" applyProtection="0">
      <alignment horizontal="center" vertical="bottom" wrapText="1"/>
    </xf>
    <xf numFmtId="60" fontId="11" fillId="2" borderId="13" applyNumberFormat="1" applyFont="1" applyFill="1" applyBorder="1" applyAlignment="1" applyProtection="0">
      <alignment vertical="bottom" wrapText="1"/>
    </xf>
    <xf numFmtId="49" fontId="11" fillId="2" borderId="13" applyNumberFormat="1" applyFont="1" applyFill="1" applyBorder="1" applyAlignment="1" applyProtection="0">
      <alignment vertical="top" wrapText="1"/>
    </xf>
    <xf numFmtId="62" fontId="11" fillId="2" borderId="17" applyNumberFormat="1" applyFont="1" applyFill="1" applyBorder="1" applyAlignment="1" applyProtection="0">
      <alignment vertical="bottom" wrapText="1"/>
    </xf>
    <xf numFmtId="0" fontId="11" fillId="2" borderId="17" applyNumberFormat="0" applyFont="1" applyFill="1" applyBorder="1" applyAlignment="1" applyProtection="0">
      <alignment horizontal="center" vertical="bottom" wrapText="1"/>
    </xf>
    <xf numFmtId="62" fontId="11" fillId="2" borderId="17" applyNumberFormat="1" applyFont="1" applyFill="1" applyBorder="1" applyAlignment="1" applyProtection="0">
      <alignment vertical="top" wrapText="1"/>
    </xf>
    <xf numFmtId="49" fontId="0" fillId="2" borderId="17" applyNumberFormat="1" applyFont="1" applyFill="1" applyBorder="1" applyAlignment="1" applyProtection="0">
      <alignment vertical="bottom" wrapText="1"/>
    </xf>
    <xf numFmtId="59" fontId="0" fillId="2" borderId="17" applyNumberFormat="1" applyFont="1" applyFill="1" applyBorder="1" applyAlignment="1" applyProtection="0">
      <alignment vertical="bottom" wrapText="1"/>
    </xf>
    <xf numFmtId="49" fontId="11" fillId="2" borderId="17" applyNumberFormat="1" applyFont="1" applyFill="1" applyBorder="1" applyAlignment="1" applyProtection="0">
      <alignment vertical="bottom" wrapText="1"/>
    </xf>
    <xf numFmtId="60" fontId="11" fillId="2" borderId="17" applyNumberFormat="1" applyFont="1" applyFill="1" applyBorder="1" applyAlignment="1" applyProtection="0">
      <alignment vertical="bottom" wrapText="1"/>
    </xf>
    <xf numFmtId="0" fontId="0" borderId="35" applyNumberFormat="0" applyFont="1" applyFill="0" applyBorder="1" applyAlignment="1" applyProtection="0">
      <alignment vertical="bottom"/>
    </xf>
    <xf numFmtId="9" fontId="4" fillId="2" borderId="17" applyNumberFormat="1" applyFont="1" applyFill="1" applyBorder="1" applyAlignment="1" applyProtection="0">
      <alignment horizontal="left" vertical="center"/>
    </xf>
    <xf numFmtId="0" fontId="4" fillId="2" borderId="2" applyNumberFormat="0" applyFont="1" applyFill="1" applyBorder="1" applyAlignment="1" applyProtection="0">
      <alignment vertical="center" wrapText="1"/>
    </xf>
    <xf numFmtId="0" fontId="0" applyNumberFormat="1" applyFont="1" applyFill="0" applyBorder="0" applyAlignment="1" applyProtection="0">
      <alignment vertical="bottom"/>
    </xf>
    <xf numFmtId="49" fontId="4" borderId="2" applyNumberFormat="1" applyFont="1" applyFill="0" applyBorder="1" applyAlignment="1" applyProtection="0">
      <alignment horizontal="center" vertical="bottom"/>
    </xf>
    <xf numFmtId="49" fontId="4" fillId="2" borderId="2" applyNumberFormat="1" applyFont="1" applyFill="1" applyBorder="1" applyAlignment="1" applyProtection="0">
      <alignment horizontal="center" vertical="bottom"/>
    </xf>
    <xf numFmtId="64" fontId="4" fillId="2" borderId="2" applyNumberFormat="1" applyFont="1" applyFill="1" applyBorder="1" applyAlignment="1" applyProtection="0">
      <alignment horizontal="center" vertical="bottom"/>
    </xf>
    <xf numFmtId="64" fontId="4" fillId="5" borderId="4" applyNumberFormat="1" applyFont="1" applyFill="1" applyBorder="1" applyAlignment="1" applyProtection="0">
      <alignment horizontal="center" vertical="center" wrapText="1"/>
    </xf>
    <xf numFmtId="49" fontId="0" borderId="26" applyNumberFormat="1" applyFont="1" applyFill="0" applyBorder="1" applyAlignment="1" applyProtection="0">
      <alignment vertical="bottom"/>
    </xf>
    <xf numFmtId="49" fontId="4" fillId="5" borderId="6" applyNumberFormat="1" applyFont="1" applyFill="1" applyBorder="1" applyAlignment="1" applyProtection="0">
      <alignment horizontal="center" vertical="center" wrapText="1"/>
    </xf>
    <xf numFmtId="49" fontId="4" fillId="8" borderId="4" applyNumberFormat="1" applyFont="1" applyFill="1" applyBorder="1" applyAlignment="1" applyProtection="0">
      <alignment horizontal="center" vertical="center" wrapText="1"/>
    </xf>
    <xf numFmtId="64" fontId="4" fillId="5" borderId="9" applyNumberFormat="1" applyFont="1" applyFill="1" applyBorder="1" applyAlignment="1" applyProtection="0">
      <alignment horizontal="center" vertical="center" wrapText="1"/>
    </xf>
    <xf numFmtId="0" fontId="4" fillId="8" borderId="4" applyNumberFormat="0" applyFont="1" applyFill="1" applyBorder="1" applyAlignment="1" applyProtection="0">
      <alignment horizontal="center" vertical="center" wrapText="1"/>
    </xf>
    <xf numFmtId="64" fontId="4" fillId="2" borderId="13" applyNumberFormat="1" applyFont="1" applyFill="1" applyBorder="1" applyAlignment="1" applyProtection="0">
      <alignment horizontal="left" vertical="center" wrapText="1"/>
    </xf>
    <xf numFmtId="64" fontId="4" fillId="2" borderId="17" applyNumberFormat="1" applyFont="1" applyFill="1" applyBorder="1" applyAlignment="1" applyProtection="0">
      <alignment horizontal="left" vertical="center"/>
    </xf>
    <xf numFmtId="49" fontId="10" borderId="17" applyNumberFormat="1" applyFont="1" applyFill="0" applyBorder="1" applyAlignment="1" applyProtection="0">
      <alignment vertical="bottom"/>
    </xf>
    <xf numFmtId="64" fontId="4" fillId="2" borderId="2" applyNumberFormat="1" applyFont="1" applyFill="1" applyBorder="1" applyAlignment="1" applyProtection="0">
      <alignment horizontal="left" vertical="center"/>
    </xf>
    <xf numFmtId="49" fontId="24" borderId="13" applyNumberFormat="1" applyFont="1" applyFill="0" applyBorder="1" applyAlignment="1" applyProtection="0">
      <alignment vertical="bottom"/>
    </xf>
    <xf numFmtId="64" fontId="4" fillId="2" borderId="17" applyNumberFormat="1" applyFont="1" applyFill="1" applyBorder="1" applyAlignment="1" applyProtection="0">
      <alignment horizontal="left" vertical="center" wrapText="1"/>
    </xf>
    <xf numFmtId="49" fontId="11" fillId="2" borderId="13" applyNumberFormat="1" applyFont="1" applyFill="1" applyBorder="1" applyAlignment="1" applyProtection="0">
      <alignment vertical="center" wrapText="1"/>
    </xf>
    <xf numFmtId="3" fontId="25" borderId="17" applyNumberFormat="1" applyFont="1" applyFill="0" applyBorder="1" applyAlignment="1" applyProtection="0">
      <alignment vertical="bottom"/>
    </xf>
    <xf numFmtId="49" fontId="0" fillId="2" borderId="17" applyNumberFormat="1" applyFont="1" applyFill="1" applyBorder="1" applyAlignment="1" applyProtection="0">
      <alignment vertical="center"/>
    </xf>
    <xf numFmtId="0" fontId="6" borderId="16" applyNumberFormat="0" applyFont="1" applyFill="0" applyBorder="1" applyAlignment="1" applyProtection="0">
      <alignment vertical="bottom"/>
    </xf>
    <xf numFmtId="64" fontId="6" fillId="2" borderId="17" applyNumberFormat="1" applyFont="1" applyFill="1" applyBorder="1" applyAlignment="1" applyProtection="0">
      <alignment vertical="bottom"/>
    </xf>
    <xf numFmtId="0" fontId="6" borderId="20" applyNumberFormat="0" applyFont="1" applyFill="0" applyBorder="1" applyAlignment="1" applyProtection="0">
      <alignment vertical="bottom"/>
    </xf>
    <xf numFmtId="64" fontId="6" fillId="2" borderId="2" applyNumberFormat="1" applyFont="1" applyFill="1" applyBorder="1" applyAlignment="1" applyProtection="0">
      <alignment vertical="bottom"/>
    </xf>
    <xf numFmtId="10" fontId="4" fillId="2" borderId="10" applyNumberFormat="1" applyFont="1" applyFill="1" applyBorder="1" applyAlignment="1" applyProtection="0">
      <alignment horizontal="center" vertical="center" wrapText="1"/>
    </xf>
    <xf numFmtId="49" fontId="4" fillId="12" borderId="11" applyNumberFormat="1" applyFont="1" applyFill="1" applyBorder="1" applyAlignment="1" applyProtection="0">
      <alignment horizontal="center" vertical="center" wrapText="1"/>
    </xf>
    <xf numFmtId="49" fontId="4" fillId="2" borderId="12" applyNumberFormat="1" applyFont="1" applyFill="1" applyBorder="1" applyAlignment="1" applyProtection="0">
      <alignment horizontal="center" vertical="center" wrapText="1"/>
    </xf>
    <xf numFmtId="64" fontId="4" fillId="2" borderId="13" applyNumberFormat="1" applyFont="1" applyFill="1" applyBorder="1" applyAlignment="1" applyProtection="0">
      <alignment horizontal="center" vertical="center" wrapText="1"/>
    </xf>
    <xf numFmtId="49" fontId="4" fillId="2" borderId="31" applyNumberFormat="1" applyFont="1" applyFill="1" applyBorder="1" applyAlignment="1" applyProtection="0">
      <alignment horizontal="center" vertical="center" wrapText="1"/>
    </xf>
    <xf numFmtId="64" fontId="4" fillId="2" borderId="17" applyNumberFormat="1" applyFont="1" applyFill="1" applyBorder="1" applyAlignment="1" applyProtection="0">
      <alignment horizontal="center" vertical="center" wrapText="1"/>
    </xf>
    <xf numFmtId="64" fontId="6" fillId="2" borderId="17" applyNumberFormat="1" applyFont="1" applyFill="1" applyBorder="1" applyAlignment="1" applyProtection="0">
      <alignment horizontal="left" vertical="center" wrapText="1"/>
    </xf>
    <xf numFmtId="64" fontId="6" fillId="2" borderId="2" applyNumberFormat="1" applyFont="1" applyFill="1" applyBorder="1" applyAlignment="1" applyProtection="0">
      <alignment vertical="bottom" wrapText="1"/>
    </xf>
    <xf numFmtId="49" fontId="0" fillId="2" borderId="12" applyNumberFormat="1" applyFont="1" applyFill="1" applyBorder="1" applyAlignment="1" applyProtection="0">
      <alignment horizontal="center" vertical="top" wrapText="1"/>
    </xf>
    <xf numFmtId="10" fontId="0" borderId="13" applyNumberFormat="1" applyFont="1" applyFill="0" applyBorder="1" applyAlignment="1" applyProtection="0">
      <alignment vertical="bottom"/>
    </xf>
    <xf numFmtId="49" fontId="28" fillId="2" borderId="13" applyNumberFormat="1" applyFont="1" applyFill="1" applyBorder="1" applyAlignment="1" applyProtection="0">
      <alignment vertical="bottom"/>
    </xf>
    <xf numFmtId="0" fontId="25" borderId="17" applyNumberFormat="1" applyFont="1" applyFill="0" applyBorder="1" applyAlignment="1" applyProtection="0">
      <alignment vertical="bottom"/>
    </xf>
    <xf numFmtId="3" fontId="0" borderId="13" applyNumberFormat="1" applyFont="1" applyFill="0" applyBorder="1" applyAlignment="1" applyProtection="0">
      <alignment vertical="bottom"/>
    </xf>
    <xf numFmtId="0" fontId="0" fillId="2" borderId="16" applyNumberFormat="0" applyFont="1" applyFill="1" applyBorder="1" applyAlignment="1" applyProtection="0">
      <alignment horizontal="center" vertical="top" wrapText="1"/>
    </xf>
    <xf numFmtId="62" fontId="0" fillId="2" borderId="17" applyNumberFormat="1" applyFont="1" applyFill="1" applyBorder="1" applyAlignment="1" applyProtection="0">
      <alignment vertical="bottom"/>
    </xf>
    <xf numFmtId="49" fontId="0" fillId="2" borderId="17" applyNumberFormat="1" applyFont="1" applyFill="1" applyBorder="1" applyAlignment="1" applyProtection="0">
      <alignment vertical="bottom"/>
    </xf>
    <xf numFmtId="64" fontId="0" fillId="2" borderId="2" applyNumberFormat="1" applyFont="1" applyFill="1" applyBorder="1" applyAlignment="1" applyProtection="0">
      <alignment vertical="bottom"/>
    </xf>
    <xf numFmtId="9" fontId="4" fillId="2" borderId="13" applyNumberFormat="1" applyFont="1" applyFill="1" applyBorder="1" applyAlignment="1" applyProtection="0">
      <alignment horizontal="left" vertical="center"/>
    </xf>
    <xf numFmtId="10" fontId="4" fillId="2" borderId="13" applyNumberFormat="1" applyFont="1" applyFill="1" applyBorder="1" applyAlignment="1" applyProtection="0">
      <alignment horizontal="left" vertical="center"/>
    </xf>
    <xf numFmtId="64" fontId="4" fillId="2" borderId="13" applyNumberFormat="1" applyFont="1" applyFill="1" applyBorder="1" applyAlignment="1" applyProtection="0">
      <alignment horizontal="left" vertical="center"/>
    </xf>
    <xf numFmtId="49" fontId="0" fillId="2" borderId="12" applyNumberFormat="1" applyFont="1" applyFill="1" applyBorder="1" applyAlignment="1" applyProtection="0">
      <alignment horizontal="left" vertical="top" wrapText="1"/>
    </xf>
    <xf numFmtId="10" fontId="0" fillId="2" borderId="13" applyNumberFormat="1" applyFont="1" applyFill="1" applyBorder="1" applyAlignment="1" applyProtection="0">
      <alignment horizontal="left" vertical="top"/>
    </xf>
    <xf numFmtId="9" fontId="0" fillId="2" borderId="13" applyNumberFormat="1" applyFont="1" applyFill="1" applyBorder="1" applyAlignment="1" applyProtection="0">
      <alignment horizontal="left" vertical="top" wrapText="1"/>
    </xf>
    <xf numFmtId="64" fontId="0" fillId="2" borderId="13" applyNumberFormat="1" applyFont="1" applyFill="1" applyBorder="1" applyAlignment="1" applyProtection="0">
      <alignment horizontal="left" vertical="top" wrapText="1"/>
    </xf>
    <xf numFmtId="49" fontId="0" fillId="2" borderId="10" applyNumberFormat="1" applyFont="1" applyFill="1" applyBorder="1" applyAlignment="1" applyProtection="0">
      <alignment horizontal="left" vertical="top" wrapText="1"/>
    </xf>
    <xf numFmtId="0" fontId="0" fillId="13" borderId="11" applyNumberFormat="0" applyFont="1" applyFill="1" applyBorder="1" applyAlignment="1" applyProtection="0">
      <alignment vertical="bottom"/>
    </xf>
    <xf numFmtId="0" fontId="0" fillId="13" borderId="33" applyNumberFormat="0" applyFont="1" applyFill="1" applyBorder="1" applyAlignment="1" applyProtection="0">
      <alignment vertical="bottom"/>
    </xf>
    <xf numFmtId="62" fontId="0" fillId="2" borderId="17" applyNumberFormat="1" applyFont="1" applyFill="1" applyBorder="1" applyAlignment="1" applyProtection="0">
      <alignment vertical="top"/>
    </xf>
    <xf numFmtId="64" fontId="0" fillId="2" borderId="17" applyNumberFormat="1" applyFont="1" applyFill="1" applyBorder="1" applyAlignment="1" applyProtection="0">
      <alignment vertical="top"/>
    </xf>
    <xf numFmtId="49" fontId="0" fillId="2" borderId="13" applyNumberFormat="1" applyFont="1" applyFill="1" applyBorder="1" applyAlignment="1" applyProtection="0">
      <alignment vertical="bottom"/>
    </xf>
    <xf numFmtId="49" fontId="0" fillId="2" borderId="34" applyNumberFormat="1" applyFont="1" applyFill="1" applyBorder="1" applyAlignment="1" applyProtection="0">
      <alignment vertical="center" wrapText="1"/>
    </xf>
    <xf numFmtId="49" fontId="25" borderId="17" applyNumberFormat="1" applyFont="1" applyFill="0" applyBorder="1" applyAlignment="1" applyProtection="0">
      <alignment vertical="bottom"/>
    </xf>
    <xf numFmtId="49" fontId="4" fillId="2" borderId="12" applyNumberFormat="1" applyFont="1" applyFill="1" applyBorder="1" applyAlignment="1" applyProtection="0">
      <alignment vertical="bottom" wrapText="1"/>
    </xf>
    <xf numFmtId="10" fontId="4" fillId="2" borderId="13" applyNumberFormat="1" applyFont="1" applyFill="1" applyBorder="1" applyAlignment="1" applyProtection="0">
      <alignment vertical="bottom" wrapText="1"/>
    </xf>
    <xf numFmtId="49" fontId="4" fillId="2" borderId="13" applyNumberFormat="1" applyFont="1" applyFill="1" applyBorder="1" applyAlignment="1" applyProtection="0">
      <alignment vertical="bottom"/>
    </xf>
    <xf numFmtId="0" fontId="25" borderId="13" applyNumberFormat="1" applyFont="1" applyFill="0" applyBorder="1" applyAlignment="1" applyProtection="0">
      <alignment vertical="bottom"/>
    </xf>
    <xf numFmtId="0" fontId="4" fillId="2" borderId="17" applyNumberFormat="0" applyFont="1" applyFill="1" applyBorder="1" applyAlignment="1" applyProtection="0">
      <alignment vertical="bottom" wrapText="1"/>
    </xf>
    <xf numFmtId="49" fontId="4" fillId="2" borderId="17" applyNumberFormat="1" applyFont="1" applyFill="1" applyBorder="1" applyAlignment="1" applyProtection="0">
      <alignment vertical="bottom"/>
    </xf>
    <xf numFmtId="0" fontId="4" fillId="2" borderId="17" applyNumberFormat="0" applyFont="1" applyFill="1" applyBorder="1" applyAlignment="1" applyProtection="0">
      <alignment vertical="bottom"/>
    </xf>
    <xf numFmtId="0" fontId="4" fillId="2" borderId="2" applyNumberFormat="0" applyFont="1" applyFill="1" applyBorder="1" applyAlignment="1" applyProtection="0">
      <alignment vertical="bottom"/>
    </xf>
    <xf numFmtId="49" fontId="4" fillId="2" borderId="12" applyNumberFormat="1" applyFont="1" applyFill="1" applyBorder="1" applyAlignment="1" applyProtection="0">
      <alignment vertical="center" wrapText="1"/>
    </xf>
    <xf numFmtId="3" fontId="4" fillId="2" borderId="13" applyNumberFormat="1" applyFont="1" applyFill="1" applyBorder="1" applyAlignment="1" applyProtection="0">
      <alignment vertical="center" wrapText="1"/>
    </xf>
    <xf numFmtId="49" fontId="11" fillId="2" borderId="13" applyNumberFormat="1" applyFont="1" applyFill="1" applyBorder="1" applyAlignment="1" applyProtection="0">
      <alignment vertical="center"/>
    </xf>
    <xf numFmtId="9" fontId="11" fillId="2" borderId="13" applyNumberFormat="1" applyFont="1" applyFill="1" applyBorder="1" applyAlignment="1" applyProtection="0">
      <alignment vertical="center"/>
    </xf>
    <xf numFmtId="49" fontId="29" borderId="13" applyNumberFormat="1" applyFont="1" applyFill="0" applyBorder="1" applyAlignment="1" applyProtection="0">
      <alignment vertical="bottom"/>
    </xf>
    <xf numFmtId="49" fontId="26" fillId="2" borderId="17" applyNumberFormat="1" applyFont="1" applyFill="1" applyBorder="1" applyAlignment="1" applyProtection="0">
      <alignment vertical="center"/>
    </xf>
    <xf numFmtId="49" fontId="10" fillId="2" borderId="12" applyNumberFormat="1" applyFont="1" applyFill="1" applyBorder="1" applyAlignment="1" applyProtection="0">
      <alignment vertical="center" wrapText="1"/>
    </xf>
    <xf numFmtId="3" fontId="10" fillId="2" borderId="13" applyNumberFormat="1" applyFont="1" applyFill="1" applyBorder="1" applyAlignment="1" applyProtection="0">
      <alignment vertical="center"/>
    </xf>
    <xf numFmtId="64" fontId="10" fillId="2" borderId="13" applyNumberFormat="1" applyFont="1" applyFill="1" applyBorder="1" applyAlignment="1" applyProtection="0">
      <alignment vertical="center"/>
    </xf>
    <xf numFmtId="49" fontId="25" borderId="13" applyNumberFormat="1" applyFont="1" applyFill="0" applyBorder="1" applyAlignment="1" applyProtection="0">
      <alignment vertical="bottom"/>
    </xf>
    <xf numFmtId="62" fontId="10" fillId="2" borderId="17" applyNumberFormat="1" applyFont="1" applyFill="1" applyBorder="1" applyAlignment="1" applyProtection="0">
      <alignment vertical="bottom"/>
    </xf>
    <xf numFmtId="64" fontId="10" fillId="2" borderId="17" applyNumberFormat="1" applyFont="1" applyFill="1" applyBorder="1" applyAlignment="1" applyProtection="0">
      <alignment vertical="bottom"/>
    </xf>
    <xf numFmtId="49" fontId="30" fillId="2" borderId="17" applyNumberFormat="1" applyFont="1" applyFill="1" applyBorder="1" applyAlignment="1" applyProtection="0">
      <alignment vertical="center"/>
    </xf>
    <xf numFmtId="49" fontId="8" borderId="17" applyNumberFormat="1" applyFont="1" applyFill="0" applyBorder="1" applyAlignment="1" applyProtection="0">
      <alignment vertical="bottom"/>
    </xf>
    <xf numFmtId="64" fontId="10" fillId="2" borderId="2" applyNumberFormat="1" applyFont="1" applyFill="1" applyBorder="1" applyAlignment="1" applyProtection="0">
      <alignment vertical="bottom"/>
    </xf>
    <xf numFmtId="49" fontId="10" borderId="12" applyNumberFormat="1" applyFont="1" applyFill="0" applyBorder="1" applyAlignment="1" applyProtection="0">
      <alignment vertical="bottom"/>
    </xf>
    <xf numFmtId="9" fontId="11" fillId="2" borderId="13" applyNumberFormat="1" applyFont="1" applyFill="1" applyBorder="1" applyAlignment="1" applyProtection="0">
      <alignment vertical="bottom" wrapText="1"/>
    </xf>
    <xf numFmtId="64" fontId="11" fillId="2" borderId="13" applyNumberFormat="1" applyFont="1" applyFill="1" applyBorder="1" applyAlignment="1" applyProtection="0">
      <alignment vertical="bottom" wrapText="1"/>
    </xf>
    <xf numFmtId="49" fontId="24" fillId="2" borderId="17" applyNumberFormat="1" applyFont="1" applyFill="1" applyBorder="1" applyAlignment="1" applyProtection="0">
      <alignment vertical="center"/>
    </xf>
    <xf numFmtId="49" fontId="20" borderId="17" applyNumberFormat="1" applyFont="1" applyFill="0" applyBorder="1" applyAlignment="1" applyProtection="0">
      <alignment vertical="bottom"/>
    </xf>
    <xf numFmtId="49" fontId="0" fillId="2" borderId="17" applyNumberFormat="1" applyFont="1" applyFill="1" applyBorder="1" applyAlignment="1" applyProtection="0">
      <alignment horizontal="center" vertical="bottom"/>
    </xf>
    <xf numFmtId="4" fontId="4" fillId="2" borderId="13" applyNumberFormat="1" applyFont="1" applyFill="1" applyBorder="1" applyAlignment="1" applyProtection="0">
      <alignment horizontal="left" vertical="center" wrapText="1"/>
    </xf>
    <xf numFmtId="3" fontId="25" borderId="13" applyNumberFormat="1" applyFont="1" applyFill="0" applyBorder="1" applyAlignment="1" applyProtection="0">
      <alignment vertical="bottom"/>
    </xf>
    <xf numFmtId="49" fontId="4" fillId="2" borderId="17" applyNumberFormat="1" applyFont="1" applyFill="1" applyBorder="1" applyAlignment="1" applyProtection="0">
      <alignment vertical="center"/>
    </xf>
    <xf numFmtId="0" fontId="0" borderId="12" applyNumberFormat="0" applyFont="1" applyFill="0" applyBorder="1" applyAlignment="1" applyProtection="0">
      <alignment vertical="bottom"/>
    </xf>
    <xf numFmtId="10" fontId="11" borderId="13" applyNumberFormat="1" applyFont="1" applyFill="0" applyBorder="1" applyAlignment="1" applyProtection="0">
      <alignment horizontal="left" vertical="bottom"/>
    </xf>
    <xf numFmtId="10" fontId="11" borderId="13" applyNumberFormat="1" applyFont="1" applyFill="0" applyBorder="1" applyAlignment="1" applyProtection="0">
      <alignment vertical="bottom"/>
    </xf>
    <xf numFmtId="49" fontId="11" fillId="2" borderId="13" applyNumberFormat="1" applyFont="1" applyFill="1" applyBorder="1" applyAlignment="1" applyProtection="0">
      <alignment vertical="bottom"/>
    </xf>
    <xf numFmtId="49" fontId="33" fillId="2" borderId="17" applyNumberFormat="1" applyFont="1" applyFill="1" applyBorder="1" applyAlignment="1" applyProtection="0">
      <alignment vertical="center"/>
    </xf>
    <xf numFmtId="49" fontId="35" fillId="2" borderId="17" applyNumberFormat="1" applyFont="1" applyFill="1" applyBorder="1" applyAlignment="1" applyProtection="0">
      <alignment vertical="bottom"/>
    </xf>
    <xf numFmtId="0" fontId="10" fillId="2" borderId="17" applyNumberFormat="0" applyFont="1" applyFill="1" applyBorder="1" applyAlignment="1" applyProtection="0">
      <alignment vertical="center"/>
    </xf>
    <xf numFmtId="0" fontId="4" fillId="2" borderId="17" applyNumberFormat="0" applyFont="1" applyFill="1" applyBorder="1" applyAlignment="1" applyProtection="0">
      <alignment vertical="center"/>
    </xf>
    <xf numFmtId="0" fontId="0" applyNumberFormat="1" applyFont="1" applyFill="0" applyBorder="0" applyAlignment="1" applyProtection="0">
      <alignment vertical="bottom"/>
    </xf>
    <xf numFmtId="49" fontId="4" fillId="3" borderId="4" applyNumberFormat="1" applyFont="1" applyFill="1" applyBorder="1" applyAlignment="1" applyProtection="0">
      <alignment horizontal="center" vertical="center"/>
    </xf>
    <xf numFmtId="0" fontId="4" fillId="3" borderId="4" applyNumberFormat="0" applyFont="1" applyFill="1" applyBorder="1" applyAlignment="1" applyProtection="0">
      <alignment horizontal="center" vertical="center"/>
    </xf>
    <xf numFmtId="49" fontId="4" fillId="3" borderId="4" applyNumberFormat="1" applyFont="1" applyFill="1" applyBorder="1" applyAlignment="1" applyProtection="0">
      <alignment horizontal="center" vertical="bottom" wrapText="1"/>
    </xf>
    <xf numFmtId="0" fontId="4" fillId="3" borderId="4" applyNumberFormat="0" applyFont="1" applyFill="1" applyBorder="1" applyAlignment="1" applyProtection="0">
      <alignment horizontal="center" vertical="bottom" wrapText="1"/>
    </xf>
    <xf numFmtId="49" fontId="4" fillId="3" borderId="4" applyNumberFormat="1" applyFont="1" applyFill="1" applyBorder="1" applyAlignment="1" applyProtection="0">
      <alignment vertical="center"/>
    </xf>
    <xf numFmtId="0" fontId="4" fillId="2" borderId="12" applyNumberFormat="1" applyFont="1" applyFill="1" applyBorder="1" applyAlignment="1" applyProtection="0">
      <alignment horizontal="left" vertical="center" wrapText="1"/>
    </xf>
    <xf numFmtId="0" fontId="0" fillId="2" borderId="13" applyNumberFormat="1" applyFont="1" applyFill="1" applyBorder="1" applyAlignment="1" applyProtection="0">
      <alignment horizontal="center" vertical="center"/>
    </xf>
    <xf numFmtId="0" fontId="15" fillId="2" borderId="13" applyNumberFormat="0" applyFont="1" applyFill="1" applyBorder="1" applyAlignment="1" applyProtection="0">
      <alignment horizontal="left" vertical="center"/>
    </xf>
    <xf numFmtId="0" fontId="15" fillId="2" borderId="17" applyNumberFormat="0" applyFont="1" applyFill="1" applyBorder="1" applyAlignment="1" applyProtection="0">
      <alignment horizontal="left" vertical="center"/>
    </xf>
    <xf numFmtId="49" fontId="4" fillId="2" borderId="2" applyNumberFormat="1" applyFont="1" applyFill="1" applyBorder="1" applyAlignment="1" applyProtection="0">
      <alignment horizontal="left" vertical="center"/>
    </xf>
    <xf numFmtId="0" fontId="4" fillId="2" borderId="12" applyNumberFormat="1" applyFont="1" applyFill="1" applyBorder="1" applyAlignment="1" applyProtection="0">
      <alignment horizontal="left" vertical="center"/>
    </xf>
    <xf numFmtId="4" fontId="4" fillId="2" borderId="13" applyNumberFormat="1" applyFont="1" applyFill="1" applyBorder="1" applyAlignment="1" applyProtection="0">
      <alignment horizontal="center" vertical="center"/>
    </xf>
    <xf numFmtId="10" fontId="4" fillId="2" borderId="13" applyNumberFormat="1" applyFont="1" applyFill="1" applyBorder="1" applyAlignment="1" applyProtection="0">
      <alignment horizontal="left" vertical="center" wrapText="1"/>
    </xf>
    <xf numFmtId="49" fontId="0" fillId="2" borderId="13" applyNumberFormat="1" applyFont="1" applyFill="1" applyBorder="1" applyAlignment="1" applyProtection="0">
      <alignment horizontal="left" vertical="center"/>
    </xf>
    <xf numFmtId="49" fontId="11" fillId="2" borderId="17" applyNumberFormat="1" applyFont="1" applyFill="1" applyBorder="1" applyAlignment="1" applyProtection="0">
      <alignment horizontal="left" vertical="center" wrapText="1"/>
    </xf>
    <xf numFmtId="9" fontId="11" fillId="2" borderId="17" applyNumberFormat="1" applyFont="1" applyFill="1" applyBorder="1" applyAlignment="1" applyProtection="0">
      <alignment horizontal="left" vertical="center" wrapText="1"/>
    </xf>
    <xf numFmtId="9" fontId="11" fillId="2" borderId="17" applyNumberFormat="1" applyFont="1" applyFill="1" applyBorder="1" applyAlignment="1" applyProtection="0">
      <alignment vertical="bottom" wrapText="1"/>
    </xf>
    <xf numFmtId="49" fontId="6" fillId="2" borderId="17" applyNumberFormat="1" applyFont="1" applyFill="1" applyBorder="1" applyAlignment="1" applyProtection="0">
      <alignment vertical="bottom" wrapText="1"/>
    </xf>
    <xf numFmtId="0" fontId="11" fillId="2" borderId="17" applyNumberFormat="0" applyFont="1" applyFill="1" applyBorder="1" applyAlignment="1" applyProtection="0">
      <alignment horizontal="left" vertical="center" wrapText="1"/>
    </xf>
    <xf numFmtId="0" fontId="0" borderId="12" applyNumberFormat="1" applyFont="1" applyFill="0" applyBorder="1" applyAlignment="1" applyProtection="0">
      <alignment vertical="bottom"/>
    </xf>
    <xf numFmtId="49" fontId="10" fillId="2" borderId="13" applyNumberFormat="1" applyFont="1" applyFill="1" applyBorder="1" applyAlignment="1" applyProtection="0">
      <alignment horizontal="center" vertical="bottom" wrapText="1"/>
    </xf>
    <xf numFmtId="0" fontId="0" fillId="2" borderId="17" applyNumberFormat="0" applyFont="1" applyFill="1" applyBorder="1" applyAlignment="1" applyProtection="0">
      <alignment vertical="bottom" wrapText="1"/>
    </xf>
    <xf numFmtId="49" fontId="0" borderId="17" applyNumberFormat="1" applyFont="1" applyFill="0" applyBorder="1" applyAlignment="1" applyProtection="0">
      <alignment vertical="bottom" wrapText="1"/>
    </xf>
    <xf numFmtId="0" fontId="0" fillId="2" borderId="17" applyNumberFormat="0" applyFont="1" applyFill="1" applyBorder="1" applyAlignment="1" applyProtection="0">
      <alignment vertical="center" wrapText="1"/>
    </xf>
    <xf numFmtId="0" fontId="4" fillId="2" borderId="13" applyNumberFormat="0" applyFont="1" applyFill="1" applyBorder="1" applyAlignment="1" applyProtection="0">
      <alignment horizontal="center" vertical="center"/>
    </xf>
    <xf numFmtId="0" fontId="0" fillId="2" borderId="12" applyNumberFormat="1" applyFont="1" applyFill="1" applyBorder="1" applyAlignment="1" applyProtection="0">
      <alignment horizontal="left" vertical="top"/>
    </xf>
    <xf numFmtId="49" fontId="0" fillId="2" borderId="13" applyNumberFormat="1" applyFont="1" applyFill="1" applyBorder="1" applyAlignment="1" applyProtection="0">
      <alignment vertical="top" wrapText="1"/>
    </xf>
    <xf numFmtId="0" fontId="17" borderId="16" applyNumberFormat="0" applyFont="1" applyFill="0" applyBorder="1" applyAlignment="1" applyProtection="0">
      <alignment vertical="bottom"/>
    </xf>
    <xf numFmtId="0" fontId="11" fillId="2" borderId="17" applyNumberFormat="0" applyFont="1" applyFill="1" applyBorder="1" applyAlignment="1" applyProtection="0">
      <alignment vertical="bottom" wrapText="1"/>
    </xf>
    <xf numFmtId="0" fontId="4" fillId="2" borderId="12" applyNumberFormat="1" applyFont="1" applyFill="1" applyBorder="1" applyAlignment="1" applyProtection="0">
      <alignment vertical="center"/>
    </xf>
    <xf numFmtId="0" fontId="4" fillId="2" borderId="13" applyNumberFormat="1" applyFont="1" applyFill="1" applyBorder="1" applyAlignment="1" applyProtection="0">
      <alignment vertical="center"/>
    </xf>
    <xf numFmtId="49" fontId="15" fillId="2" borderId="13" applyNumberFormat="1" applyFont="1" applyFill="1" applyBorder="1" applyAlignment="1" applyProtection="0">
      <alignment vertical="center"/>
    </xf>
    <xf numFmtId="0" fontId="10" fillId="2" borderId="12" applyNumberFormat="1" applyFont="1" applyFill="1" applyBorder="1" applyAlignment="1" applyProtection="0">
      <alignment vertical="center"/>
    </xf>
    <xf numFmtId="49" fontId="10" fillId="2" borderId="13" applyNumberFormat="1" applyFont="1" applyFill="1" applyBorder="1" applyAlignment="1" applyProtection="0">
      <alignment horizontal="center" vertical="center"/>
    </xf>
    <xf numFmtId="0" fontId="10" fillId="2" borderId="13" applyNumberFormat="0" applyFont="1" applyFill="1" applyBorder="1" applyAlignment="1" applyProtection="0">
      <alignment horizontal="center" vertical="center"/>
    </xf>
    <xf numFmtId="9" fontId="10" fillId="2" borderId="13" applyNumberFormat="1" applyFont="1" applyFill="1" applyBorder="1" applyAlignment="1" applyProtection="0">
      <alignment vertical="center"/>
    </xf>
    <xf numFmtId="9" fontId="10" fillId="2" borderId="13" applyNumberFormat="1" applyFont="1" applyFill="1" applyBorder="1" applyAlignment="1" applyProtection="0">
      <alignment vertical="center" wrapText="1"/>
    </xf>
    <xf numFmtId="49" fontId="10" fillId="2" borderId="17" applyNumberFormat="1" applyFont="1" applyFill="1" applyBorder="1" applyAlignment="1" applyProtection="0">
      <alignment vertical="top"/>
    </xf>
    <xf numFmtId="49" fontId="11" fillId="2" borderId="12" applyNumberFormat="1" applyFont="1" applyFill="1" applyBorder="1" applyAlignment="1" applyProtection="0">
      <alignment vertical="bottom" wrapText="1"/>
    </xf>
    <xf numFmtId="9" fontId="10" borderId="13" applyNumberFormat="1" applyFont="1" applyFill="0" applyBorder="1" applyAlignment="1" applyProtection="0">
      <alignment vertical="bottom"/>
    </xf>
    <xf numFmtId="0" fontId="10" fillId="2" borderId="13" applyNumberFormat="1" applyFont="1" applyFill="1" applyBorder="1" applyAlignment="1" applyProtection="0">
      <alignment vertical="bottom" wrapText="1"/>
    </xf>
    <xf numFmtId="49" fontId="0" borderId="17" applyNumberFormat="1" applyFont="1" applyFill="0" applyBorder="1" applyAlignment="1" applyProtection="0">
      <alignment horizontal="center" vertical="bottom"/>
    </xf>
    <xf numFmtId="10" fontId="0" borderId="17" applyNumberFormat="1" applyFont="1" applyFill="0" applyBorder="1" applyAlignment="1" applyProtection="0">
      <alignment vertical="bottom"/>
    </xf>
    <xf numFmtId="9" fontId="0" borderId="17" applyNumberFormat="1" applyFont="1" applyFill="0" applyBorder="1" applyAlignment="1" applyProtection="0">
      <alignment vertical="bottom"/>
    </xf>
    <xf numFmtId="49" fontId="19" borderId="17" applyNumberFormat="1" applyFont="1" applyFill="0" applyBorder="1" applyAlignment="1" applyProtection="0">
      <alignment vertical="bottom"/>
    </xf>
    <xf numFmtId="0" fontId="4" fillId="2" borderId="13" applyNumberFormat="1" applyFont="1" applyFill="1" applyBorder="1" applyAlignment="1" applyProtection="0">
      <alignment horizontal="center" vertical="center"/>
    </xf>
    <xf numFmtId="49" fontId="4" fillId="2" borderId="17" applyNumberFormat="1" applyFont="1" applyFill="1" applyBorder="1" applyAlignment="1" applyProtection="0">
      <alignment horizontal="left" vertical="top" wrapText="1"/>
    </xf>
    <xf numFmtId="0" fontId="0" borderId="36" applyNumberFormat="1" applyFont="1" applyFill="0" applyBorder="1" applyAlignment="1" applyProtection="0">
      <alignment vertical="bottom"/>
    </xf>
    <xf numFmtId="49" fontId="11" fillId="10" borderId="11" applyNumberFormat="1" applyFont="1" applyFill="1" applyBorder="1" applyAlignment="1" applyProtection="0">
      <alignment vertical="bottom"/>
    </xf>
    <xf numFmtId="0" fontId="11" borderId="12" applyNumberFormat="1" applyFont="1" applyFill="0" applyBorder="1" applyAlignment="1" applyProtection="0">
      <alignment vertical="bottom"/>
    </xf>
    <xf numFmtId="0" fontId="0" borderId="13" applyNumberFormat="1" applyFont="1" applyFill="0" applyBorder="1" applyAlignment="1" applyProtection="0">
      <alignment horizontal="center" vertical="bottom"/>
    </xf>
    <xf numFmtId="0" fontId="11" fillId="2" borderId="37" applyNumberFormat="0" applyFont="1" applyFill="1" applyBorder="1" applyAlignment="1" applyProtection="0">
      <alignment horizontal="center" vertical="bottom" wrapText="1"/>
    </xf>
    <xf numFmtId="0" fontId="0" borderId="37" applyNumberFormat="0" applyFont="1" applyFill="0" applyBorder="1" applyAlignment="1" applyProtection="0">
      <alignment vertical="bottom"/>
    </xf>
    <xf numFmtId="0" fontId="11" fillId="2" borderId="17" applyNumberFormat="0" applyFont="1" applyFill="1" applyBorder="1" applyAlignment="1" applyProtection="0">
      <alignment vertical="center" wrapText="1"/>
    </xf>
    <xf numFmtId="0" fontId="0" borderId="38" applyNumberFormat="0" applyFont="1" applyFill="0" applyBorder="1" applyAlignment="1" applyProtection="0">
      <alignment vertical="bottom"/>
    </xf>
    <xf numFmtId="49" fontId="0" fillId="11" borderId="39" applyNumberFormat="1" applyFont="1" applyFill="1" applyBorder="1" applyAlignment="1" applyProtection="0">
      <alignment vertical="center" wrapText="1"/>
    </xf>
    <xf numFmtId="0" fontId="0" borderId="40" applyNumberFormat="0" applyFont="1" applyFill="0" applyBorder="1" applyAlignment="1" applyProtection="0">
      <alignment vertical="bottom"/>
    </xf>
    <xf numFmtId="49" fontId="0" fillId="11" borderId="41" applyNumberFormat="1" applyFont="1" applyFill="1" applyBorder="1" applyAlignment="1" applyProtection="0">
      <alignment vertical="center" wrapText="1"/>
    </xf>
    <xf numFmtId="49" fontId="8" fillId="11" borderId="41" applyNumberFormat="1" applyFont="1" applyFill="1" applyBorder="1" applyAlignment="1" applyProtection="0">
      <alignment vertical="center" wrapText="1"/>
    </xf>
    <xf numFmtId="49" fontId="0" fillId="11" borderId="41" applyNumberFormat="1" applyFont="1" applyFill="1" applyBorder="1" applyAlignment="1" applyProtection="0">
      <alignment horizontal="center" vertical="center" wrapText="1"/>
    </xf>
    <xf numFmtId="0" fontId="0" fillId="11" borderId="42" applyNumberFormat="0" applyFont="1" applyFill="1" applyBorder="1" applyAlignment="1" applyProtection="0">
      <alignment vertical="center" wrapText="1"/>
    </xf>
    <xf numFmtId="49" fontId="0" fillId="11" borderId="42" applyNumberFormat="1" applyFont="1" applyFill="1" applyBorder="1" applyAlignment="1" applyProtection="0">
      <alignment vertical="center" wrapText="1"/>
    </xf>
    <xf numFmtId="0" fontId="8" fillId="11" borderId="42" applyNumberFormat="0" applyFont="1" applyFill="1" applyBorder="1" applyAlignment="1" applyProtection="0">
      <alignment vertical="center" wrapText="1"/>
    </xf>
    <xf numFmtId="49" fontId="8" fillId="11" borderId="42" applyNumberFormat="1" applyFont="1" applyFill="1" applyBorder="1" applyAlignment="1" applyProtection="0">
      <alignment vertical="center" wrapText="1"/>
    </xf>
    <xf numFmtId="0" fontId="0" fillId="11" borderId="42" applyNumberFormat="0" applyFont="1" applyFill="1" applyBorder="1" applyAlignment="1" applyProtection="0">
      <alignment horizontal="center" vertical="center" wrapText="1"/>
    </xf>
    <xf numFmtId="0" fontId="0" fillId="11" borderId="39" applyNumberFormat="0" applyFont="1" applyFill="1" applyBorder="1" applyAlignment="1" applyProtection="0">
      <alignment vertical="center" wrapText="1"/>
    </xf>
    <xf numFmtId="4" fontId="8" fillId="11" borderId="39" applyNumberFormat="1" applyFont="1" applyFill="1" applyBorder="1" applyAlignment="1" applyProtection="0">
      <alignment vertical="center" wrapText="1"/>
    </xf>
    <xf numFmtId="49" fontId="8" fillId="11" borderId="39" applyNumberFormat="1" applyFont="1" applyFill="1" applyBorder="1" applyAlignment="1" applyProtection="0">
      <alignment vertical="center" wrapText="1"/>
    </xf>
    <xf numFmtId="0" fontId="0" borderId="43" applyNumberFormat="0" applyFont="1" applyFill="0" applyBorder="1" applyAlignment="1" applyProtection="0">
      <alignment vertical="bottom"/>
    </xf>
    <xf numFmtId="49" fontId="0" fillId="11" borderId="44" applyNumberFormat="1" applyFont="1" applyFill="1" applyBorder="1" applyAlignment="1" applyProtection="0">
      <alignment vertical="center" wrapText="1"/>
    </xf>
    <xf numFmtId="0" fontId="0" fillId="11" borderId="44" applyNumberFormat="0" applyFont="1" applyFill="1" applyBorder="1" applyAlignment="1" applyProtection="0">
      <alignment vertical="center" wrapText="1"/>
    </xf>
    <xf numFmtId="4" fontId="8" fillId="11" borderId="44" applyNumberFormat="1" applyFont="1" applyFill="1" applyBorder="1" applyAlignment="1" applyProtection="0">
      <alignment vertical="center" wrapText="1"/>
    </xf>
    <xf numFmtId="49" fontId="8" fillId="11" borderId="44" applyNumberFormat="1" applyFont="1" applyFill="1" applyBorder="1" applyAlignment="1" applyProtection="0">
      <alignment vertical="center" wrapText="1"/>
    </xf>
    <xf numFmtId="0" fontId="0" borderId="45" applyNumberFormat="0" applyFont="1" applyFill="0" applyBorder="1" applyAlignment="1" applyProtection="0">
      <alignment vertical="bottom"/>
    </xf>
    <xf numFmtId="0" fontId="11" fillId="2" borderId="2" applyNumberFormat="0" applyFont="1" applyFill="1" applyBorder="1" applyAlignment="1" applyProtection="0">
      <alignment horizontal="center" vertical="center" wrapText="1"/>
    </xf>
    <xf numFmtId="3" fontId="4" fillId="2" borderId="13" applyNumberFormat="1" applyFont="1" applyFill="1" applyBorder="1" applyAlignment="1" applyProtection="0">
      <alignment horizontal="center" vertical="center" wrapText="1"/>
    </xf>
    <xf numFmtId="49" fontId="0" fillId="2" borderId="17" applyNumberFormat="1" applyFont="1" applyFill="1" applyBorder="1" applyAlignment="1" applyProtection="0">
      <alignment horizontal="left" vertical="center" wrapText="1"/>
    </xf>
    <xf numFmtId="0" fontId="0" applyNumberFormat="1" applyFont="1" applyFill="0" applyBorder="0" applyAlignment="1" applyProtection="0">
      <alignment vertical="bottom"/>
    </xf>
    <xf numFmtId="0" fontId="0" fillId="2" borderId="17" applyNumberFormat="0" applyFont="1" applyFill="1" applyBorder="1" applyAlignment="1" applyProtection="0">
      <alignment horizontal="left" vertical="top" wrapText="1"/>
    </xf>
    <xf numFmtId="49" fontId="11" borderId="12" applyNumberFormat="1" applyFont="1" applyFill="0" applyBorder="1" applyAlignment="1" applyProtection="0">
      <alignment vertical="bottom"/>
    </xf>
    <xf numFmtId="0" fontId="4" borderId="12" applyNumberFormat="1" applyFont="1" applyFill="0" applyBorder="1" applyAlignment="1" applyProtection="0">
      <alignment vertical="bottom"/>
    </xf>
    <xf numFmtId="49" fontId="20" borderId="13" applyNumberFormat="1" applyFont="1" applyFill="0" applyBorder="1" applyAlignment="1" applyProtection="0">
      <alignment vertical="bottom"/>
    </xf>
    <xf numFmtId="49" fontId="4" fillId="2" borderId="13" applyNumberFormat="1" applyFont="1" applyFill="1" applyBorder="1" applyAlignment="1" applyProtection="0">
      <alignment horizontal="center" vertical="top" wrapText="1"/>
    </xf>
    <xf numFmtId="0" fontId="4" fillId="2" borderId="17" applyNumberFormat="0" applyFont="1" applyFill="1" applyBorder="1" applyAlignment="1" applyProtection="0">
      <alignment horizontal="center" vertical="top" wrapText="1"/>
    </xf>
    <xf numFmtId="0" fontId="4" fillId="2" borderId="2" applyNumberFormat="0" applyFont="1" applyFill="1" applyBorder="1" applyAlignment="1" applyProtection="0">
      <alignment horizontal="center" vertical="top" wrapText="1"/>
    </xf>
    <xf numFmtId="49" fontId="4" fillId="2" borderId="13" applyNumberFormat="1" applyFont="1" applyFill="1" applyBorder="1" applyAlignment="1" applyProtection="0">
      <alignment horizontal="left" vertical="top" wrapText="1"/>
    </xf>
    <xf numFmtId="49" fontId="10" fillId="2" borderId="13" applyNumberFormat="1" applyFont="1" applyFill="1" applyBorder="1" applyAlignment="1" applyProtection="0">
      <alignment horizontal="center" vertical="top" wrapText="1"/>
    </xf>
    <xf numFmtId="0" fontId="10" fillId="2" borderId="17" applyNumberFormat="0" applyFont="1" applyFill="1" applyBorder="1" applyAlignment="1" applyProtection="0">
      <alignment horizontal="center" vertical="top" wrapText="1"/>
    </xf>
    <xf numFmtId="0" fontId="10" fillId="2" borderId="2" applyNumberFormat="0" applyFont="1" applyFill="1" applyBorder="1" applyAlignment="1" applyProtection="0">
      <alignment horizontal="center" vertical="top" wrapText="1"/>
    </xf>
    <xf numFmtId="0" fontId="0" fillId="2" borderId="2" applyNumberFormat="0" applyFont="1" applyFill="1" applyBorder="1" applyAlignment="1" applyProtection="0">
      <alignment horizontal="center" vertical="bottom" wrapText="1"/>
    </xf>
    <xf numFmtId="0" fontId="0" applyNumberFormat="1" applyFont="1" applyFill="0" applyBorder="0" applyAlignment="1" applyProtection="0">
      <alignment vertical="bottom"/>
    </xf>
    <xf numFmtId="59" fontId="4" fillId="2" borderId="2" applyNumberFormat="1" applyFont="1" applyFill="1" applyBorder="1" applyAlignment="1" applyProtection="0">
      <alignment horizontal="center" vertical="bottom"/>
    </xf>
    <xf numFmtId="49" fontId="4" fillId="11" borderId="11" applyNumberFormat="1" applyFont="1" applyFill="1" applyBorder="1" applyAlignment="1" applyProtection="0">
      <alignment horizontal="left" vertical="center" wrapText="1"/>
    </xf>
    <xf numFmtId="0" fontId="4" fillId="2" borderId="12" applyNumberFormat="0" applyFont="1" applyFill="1" applyBorder="1" applyAlignment="1" applyProtection="0">
      <alignment horizontal="left" vertical="center" wrapText="1"/>
    </xf>
    <xf numFmtId="0" fontId="4" fillId="11" borderId="15" applyNumberFormat="1" applyFont="1" applyFill="1" applyBorder="1" applyAlignment="1" applyProtection="0">
      <alignment horizontal="left" vertical="center"/>
    </xf>
    <xf numFmtId="0" fontId="4" fillId="11" borderId="15" applyNumberFormat="0" applyFont="1" applyFill="1" applyBorder="1" applyAlignment="1" applyProtection="0">
      <alignment horizontal="left" vertical="center"/>
    </xf>
    <xf numFmtId="49" fontId="4" fillId="11" borderId="15" applyNumberFormat="1" applyFont="1" applyFill="1" applyBorder="1" applyAlignment="1" applyProtection="0">
      <alignment horizontal="left" vertical="center"/>
    </xf>
    <xf numFmtId="49" fontId="4" fillId="2" borderId="20" applyNumberFormat="1" applyFont="1" applyFill="1" applyBorder="1" applyAlignment="1" applyProtection="0">
      <alignment horizontal="left" vertical="center"/>
    </xf>
    <xf numFmtId="0" fontId="4" fillId="2" borderId="18" applyNumberFormat="1" applyFont="1" applyFill="1" applyBorder="1" applyAlignment="1" applyProtection="0">
      <alignment horizontal="left" vertical="center"/>
    </xf>
    <xf numFmtId="0" fontId="4" fillId="11" borderId="19" applyNumberFormat="1" applyFont="1" applyFill="1" applyBorder="1" applyAlignment="1" applyProtection="0">
      <alignment horizontal="left" vertical="center"/>
    </xf>
    <xf numFmtId="59" fontId="4" fillId="2" borderId="34" applyNumberFormat="1" applyFont="1" applyFill="1" applyBorder="1" applyAlignment="1" applyProtection="0">
      <alignment horizontal="left" vertical="center"/>
    </xf>
    <xf numFmtId="10" fontId="4" fillId="2" borderId="13" applyNumberFormat="1" applyFont="1" applyFill="1" applyBorder="1" applyAlignment="1" applyProtection="0">
      <alignment horizontal="center" vertical="center" wrapText="1"/>
    </xf>
    <xf numFmtId="0" fontId="4" fillId="2" borderId="17" applyNumberFormat="1" applyFont="1" applyFill="1" applyBorder="1" applyAlignment="1" applyProtection="0">
      <alignment horizontal="center" vertical="center" wrapText="1"/>
    </xf>
    <xf numFmtId="10" fontId="4" fillId="2" borderId="17" applyNumberFormat="1" applyFont="1" applyFill="1" applyBorder="1" applyAlignment="1" applyProtection="0">
      <alignment horizontal="left" vertical="center"/>
    </xf>
    <xf numFmtId="0" fontId="4" fillId="2" borderId="16" applyNumberFormat="0" applyFont="1" applyFill="1" applyBorder="1" applyAlignment="1" applyProtection="0">
      <alignment horizontal="center" vertical="center" wrapText="1"/>
    </xf>
    <xf numFmtId="9" fontId="6" fillId="2" borderId="17" applyNumberFormat="1" applyFont="1" applyFill="1" applyBorder="1" applyAlignment="1" applyProtection="0">
      <alignment horizontal="left" vertical="center" wrapText="1"/>
    </xf>
    <xf numFmtId="49" fontId="6" fillId="2" borderId="16" applyNumberFormat="1" applyFont="1" applyFill="1" applyBorder="1" applyAlignment="1" applyProtection="0">
      <alignment horizontal="left" vertical="center" wrapText="1"/>
    </xf>
    <xf numFmtId="49" fontId="6" fillId="2" borderId="20" applyNumberFormat="1" applyFont="1" applyFill="1" applyBorder="1" applyAlignment="1" applyProtection="0">
      <alignment horizontal="left" vertical="center" wrapText="1"/>
    </xf>
    <xf numFmtId="9" fontId="6" fillId="2" borderId="2" applyNumberFormat="1" applyFont="1" applyFill="1" applyBorder="1" applyAlignment="1" applyProtection="0">
      <alignment horizontal="left" vertical="center" wrapText="1"/>
    </xf>
    <xf numFmtId="49" fontId="6" fillId="2" borderId="2" applyNumberFormat="1" applyFont="1" applyFill="1" applyBorder="1" applyAlignment="1" applyProtection="0">
      <alignment horizontal="left" vertical="center" wrapText="1"/>
    </xf>
    <xf numFmtId="0" fontId="6" fillId="2" borderId="2" applyNumberFormat="0" applyFont="1" applyFill="1" applyBorder="1" applyAlignment="1" applyProtection="0">
      <alignment horizontal="left" vertical="center" wrapText="1"/>
    </xf>
    <xf numFmtId="59" fontId="6" fillId="2" borderId="2" applyNumberFormat="1" applyFont="1" applyFill="1" applyBorder="1" applyAlignment="1" applyProtection="0">
      <alignment horizontal="left" vertical="center" wrapText="1"/>
    </xf>
    <xf numFmtId="49" fontId="0" borderId="16" applyNumberFormat="1" applyFont="1" applyFill="0" applyBorder="1" applyAlignment="1" applyProtection="0">
      <alignment vertical="bottom"/>
    </xf>
    <xf numFmtId="0" fontId="0" fillId="2" borderId="13" applyNumberFormat="0" applyFont="1" applyFill="1" applyBorder="1" applyAlignment="1" applyProtection="0">
      <alignment horizontal="left" vertical="center"/>
    </xf>
    <xf numFmtId="0" fontId="0" fillId="2" borderId="13" applyNumberFormat="1" applyFont="1" applyFill="1" applyBorder="1" applyAlignment="1" applyProtection="0">
      <alignment horizontal="left" vertical="top" wrapText="1"/>
    </xf>
    <xf numFmtId="49" fontId="0" fillId="2" borderId="16" applyNumberFormat="1" applyFont="1" applyFill="1" applyBorder="1" applyAlignment="1" applyProtection="0">
      <alignment vertical="top"/>
    </xf>
    <xf numFmtId="49" fontId="0" fillId="2" borderId="16" applyNumberFormat="1" applyFont="1" applyFill="1" applyBorder="1" applyAlignment="1" applyProtection="0">
      <alignment vertical="top" wrapText="1"/>
    </xf>
    <xf numFmtId="49" fontId="0" borderId="12" applyNumberFormat="1" applyFont="1" applyFill="0" applyBorder="1" applyAlignment="1" applyProtection="0">
      <alignment horizontal="left" vertical="bottom"/>
    </xf>
    <xf numFmtId="0" fontId="0" borderId="16" applyNumberFormat="0" applyFont="1" applyFill="0" applyBorder="1" applyAlignment="1" applyProtection="0">
      <alignment horizontal="left" vertical="bottom"/>
    </xf>
    <xf numFmtId="49" fontId="4" borderId="16" applyNumberFormat="1" applyFont="1" applyFill="0" applyBorder="1" applyAlignment="1" applyProtection="0">
      <alignment vertical="bottom"/>
    </xf>
    <xf numFmtId="62" fontId="4" fillId="2" borderId="13" applyNumberFormat="1" applyFont="1" applyFill="1" applyBorder="1" applyAlignment="1" applyProtection="0">
      <alignment vertical="center"/>
    </xf>
    <xf numFmtId="59" fontId="4" fillId="2" borderId="13" applyNumberFormat="1" applyFont="1" applyFill="1" applyBorder="1" applyAlignment="1" applyProtection="0">
      <alignment vertical="center"/>
    </xf>
    <xf numFmtId="0" fontId="4" fillId="2" borderId="2" applyNumberFormat="1" applyFont="1" applyFill="1" applyBorder="1" applyAlignment="1" applyProtection="0">
      <alignment horizontal="left" vertical="center"/>
    </xf>
    <xf numFmtId="62" fontId="4" fillId="2" borderId="2" applyNumberFormat="1" applyFont="1" applyFill="1" applyBorder="1" applyAlignment="1" applyProtection="0">
      <alignment horizontal="left" vertical="center"/>
    </xf>
    <xf numFmtId="49" fontId="10" fillId="2" borderId="12" applyNumberFormat="1" applyFont="1" applyFill="1" applyBorder="1" applyAlignment="1" applyProtection="0">
      <alignment horizontal="left" vertical="center"/>
    </xf>
    <xf numFmtId="0" fontId="10" fillId="2" borderId="13" applyNumberFormat="1" applyFont="1" applyFill="1" applyBorder="1" applyAlignment="1" applyProtection="0">
      <alignment horizontal="left" vertical="center"/>
    </xf>
    <xf numFmtId="0" fontId="10" fillId="2" borderId="13" applyNumberFormat="1" applyFont="1" applyFill="1" applyBorder="1" applyAlignment="1" applyProtection="0">
      <alignment horizontal="center" vertical="center" wrapText="1"/>
    </xf>
    <xf numFmtId="49" fontId="10" fillId="2" borderId="13" applyNumberFormat="1" applyFont="1" applyFill="1" applyBorder="1" applyAlignment="1" applyProtection="0">
      <alignment horizontal="left" vertical="center"/>
    </xf>
    <xf numFmtId="49" fontId="10" fillId="2" borderId="16" applyNumberFormat="1" applyFont="1" applyFill="1" applyBorder="1" applyAlignment="1" applyProtection="0">
      <alignment horizontal="left" vertical="center"/>
    </xf>
    <xf numFmtId="0" fontId="10" fillId="2" borderId="17" applyNumberFormat="1" applyFont="1" applyFill="1" applyBorder="1" applyAlignment="1" applyProtection="0">
      <alignment horizontal="left" vertical="center"/>
    </xf>
    <xf numFmtId="59" fontId="10" fillId="2" borderId="17" applyNumberFormat="1" applyFont="1" applyFill="1" applyBorder="1" applyAlignment="1" applyProtection="0">
      <alignment vertical="top" wrapText="1"/>
    </xf>
    <xf numFmtId="0" fontId="10" fillId="2" borderId="17" applyNumberFormat="1" applyFont="1" applyFill="1" applyBorder="1" applyAlignment="1" applyProtection="0">
      <alignment horizontal="center" vertical="center" wrapText="1"/>
    </xf>
    <xf numFmtId="49" fontId="10" fillId="2" borderId="17" applyNumberFormat="1" applyFont="1" applyFill="1" applyBorder="1" applyAlignment="1" applyProtection="0">
      <alignment horizontal="left" vertical="center"/>
    </xf>
    <xf numFmtId="0" fontId="10" fillId="2" borderId="17" applyNumberFormat="0" applyFont="1" applyFill="1" applyBorder="1" applyAlignment="1" applyProtection="0">
      <alignment horizontal="left" vertical="center"/>
    </xf>
    <xf numFmtId="59" fontId="10" fillId="2" borderId="17" applyNumberFormat="1" applyFont="1" applyFill="1" applyBorder="1" applyAlignment="1" applyProtection="0">
      <alignment horizontal="left" vertical="center"/>
    </xf>
    <xf numFmtId="0" fontId="10" fillId="2" borderId="17" applyNumberFormat="1" applyFont="1" applyFill="1" applyBorder="1" applyAlignment="1" applyProtection="0">
      <alignment horizontal="center" vertical="center"/>
    </xf>
    <xf numFmtId="49" fontId="10" fillId="2" borderId="17" applyNumberFormat="1" applyFont="1" applyFill="1" applyBorder="1" applyAlignment="1" applyProtection="0">
      <alignment horizontal="center" vertical="center"/>
    </xf>
    <xf numFmtId="0" fontId="0" borderId="17" applyNumberFormat="1" applyFont="1" applyFill="0" applyBorder="1" applyAlignment="1" applyProtection="0">
      <alignment horizontal="center" vertical="bottom"/>
    </xf>
    <xf numFmtId="62" fontId="10" fillId="2" borderId="17" applyNumberFormat="1" applyFont="1" applyFill="1" applyBorder="1" applyAlignment="1" applyProtection="0">
      <alignment vertical="top" wrapText="1"/>
    </xf>
    <xf numFmtId="59" fontId="11" fillId="2" borderId="17" applyNumberFormat="1" applyFont="1" applyFill="1" applyBorder="1" applyAlignment="1" applyProtection="0">
      <alignment vertical="bottom"/>
    </xf>
    <xf numFmtId="49" fontId="0" borderId="20" applyNumberFormat="1" applyFont="1" applyFill="0" applyBorder="1" applyAlignment="1" applyProtection="0">
      <alignment vertical="bottom"/>
    </xf>
    <xf numFmtId="0" fontId="0" borderId="2" applyNumberFormat="1" applyFont="1" applyFill="0" applyBorder="1" applyAlignment="1" applyProtection="0">
      <alignment vertical="bottom"/>
    </xf>
    <xf numFmtId="62" fontId="0" borderId="2" applyNumberFormat="1" applyFont="1" applyFill="0" applyBorder="1" applyAlignment="1" applyProtection="0">
      <alignment vertical="bottom"/>
    </xf>
    <xf numFmtId="49" fontId="0" borderId="2" applyNumberFormat="1" applyFont="1" applyFill="0" applyBorder="1" applyAlignment="1" applyProtection="0">
      <alignment vertical="bottom"/>
    </xf>
    <xf numFmtId="0" fontId="0" borderId="13" applyNumberFormat="1" applyFont="1" applyFill="0" applyBorder="1" applyAlignment="1" applyProtection="0">
      <alignment horizontal="right" vertical="bottom"/>
    </xf>
    <xf numFmtId="62" fontId="11" fillId="2" borderId="13" applyNumberFormat="1" applyFont="1" applyFill="1" applyBorder="1" applyAlignment="1" applyProtection="0">
      <alignment horizontal="left" vertical="center"/>
    </xf>
    <xf numFmtId="0" fontId="0" borderId="17" applyNumberFormat="1" applyFont="1" applyFill="0" applyBorder="1" applyAlignment="1" applyProtection="0">
      <alignment horizontal="right" vertical="bottom"/>
    </xf>
    <xf numFmtId="0" fontId="11" borderId="17" applyNumberFormat="1" applyFont="1" applyFill="0" applyBorder="1" applyAlignment="1" applyProtection="0">
      <alignment vertical="bottom"/>
    </xf>
    <xf numFmtId="0" fontId="0" fillId="2" borderId="2" applyNumberFormat="0" applyFont="1" applyFill="1" applyBorder="1" applyAlignment="1" applyProtection="0">
      <alignment horizontal="center" vertical="top" wrapText="1"/>
    </xf>
    <xf numFmtId="0" fontId="0" fillId="2" borderId="2" applyNumberFormat="0" applyFont="1" applyFill="1" applyBorder="1" applyAlignment="1" applyProtection="0">
      <alignment horizontal="center" vertical="top"/>
    </xf>
    <xf numFmtId="0" fontId="11" fillId="2" borderId="17" applyNumberFormat="0" applyFont="1" applyFill="1" applyBorder="1" applyAlignment="1" applyProtection="0">
      <alignment horizontal="left" vertical="center"/>
    </xf>
    <xf numFmtId="0" fontId="0" applyNumberFormat="1" applyFont="1" applyFill="0" applyBorder="0" applyAlignment="1" applyProtection="0">
      <alignment vertical="bottom"/>
    </xf>
    <xf numFmtId="60" fontId="4" fillId="2" borderId="2" applyNumberFormat="1" applyFont="1" applyFill="1" applyBorder="1" applyAlignment="1" applyProtection="0">
      <alignment horizontal="center" vertical="bottom"/>
    </xf>
    <xf numFmtId="49" fontId="4" fillId="5" borderId="27" applyNumberFormat="1" applyFont="1" applyFill="1" applyBorder="1" applyAlignment="1" applyProtection="0">
      <alignment horizontal="center" vertical="center"/>
    </xf>
    <xf numFmtId="0" fontId="4" fillId="5" borderId="28" applyNumberFormat="0" applyFont="1" applyFill="1" applyBorder="1" applyAlignment="1" applyProtection="0">
      <alignment horizontal="center" vertical="center"/>
    </xf>
    <xf numFmtId="0" fontId="4" fillId="5" borderId="29" applyNumberFormat="0" applyFont="1" applyFill="1" applyBorder="1" applyAlignment="1" applyProtection="0">
      <alignment horizontal="center" vertical="center"/>
    </xf>
    <xf numFmtId="49" fontId="4" fillId="5" borderId="4" applyNumberFormat="1" applyFont="1" applyFill="1" applyBorder="1" applyAlignment="1" applyProtection="0">
      <alignment vertical="center"/>
    </xf>
    <xf numFmtId="49" fontId="4" fillId="14" borderId="27" applyNumberFormat="1" applyFont="1" applyFill="1" applyBorder="1" applyAlignment="1" applyProtection="0">
      <alignment horizontal="center" vertical="center"/>
    </xf>
    <xf numFmtId="0" fontId="4" fillId="14" borderId="28" applyNumberFormat="0" applyFont="1" applyFill="1" applyBorder="1" applyAlignment="1" applyProtection="0">
      <alignment horizontal="center" vertical="center"/>
    </xf>
    <xf numFmtId="0" fontId="4" fillId="14" borderId="29" applyNumberFormat="0" applyFont="1" applyFill="1" applyBorder="1" applyAlignment="1" applyProtection="0">
      <alignment horizontal="center" vertical="center"/>
    </xf>
    <xf numFmtId="0" fontId="0" borderId="46" applyNumberFormat="0" applyFont="1" applyFill="0" applyBorder="1" applyAlignment="1" applyProtection="0">
      <alignment vertical="bottom"/>
    </xf>
    <xf numFmtId="0" fontId="4" fillId="5" borderId="9" applyNumberFormat="0" applyFont="1" applyFill="1" applyBorder="1" applyAlignment="1" applyProtection="0">
      <alignment horizontal="center" vertical="center" wrapText="1"/>
    </xf>
    <xf numFmtId="49" fontId="4" fillId="5" borderId="4" applyNumberFormat="1" applyFont="1" applyFill="1" applyBorder="1" applyAlignment="1" applyProtection="0">
      <alignment vertical="center" wrapText="1"/>
    </xf>
    <xf numFmtId="0" fontId="4" fillId="2" borderId="10" applyNumberFormat="0" applyFont="1" applyFill="1" applyBorder="1" applyAlignment="1" applyProtection="0">
      <alignment horizontal="left" vertical="center"/>
    </xf>
    <xf numFmtId="49" fontId="4" fillId="8" borderId="11" applyNumberFormat="1" applyFont="1" applyFill="1" applyBorder="1" applyAlignment="1" applyProtection="0">
      <alignment horizontal="left" vertical="center"/>
    </xf>
    <xf numFmtId="49" fontId="4" fillId="8" borderId="11" applyNumberFormat="1" applyFont="1" applyFill="1" applyBorder="1" applyAlignment="1" applyProtection="0">
      <alignment horizontal="left" vertical="center" wrapText="1"/>
    </xf>
    <xf numFmtId="0" fontId="4" fillId="2" borderId="12" applyNumberFormat="0" applyFont="1" applyFill="1" applyBorder="1" applyAlignment="1" applyProtection="0">
      <alignment horizontal="left" vertical="center"/>
    </xf>
    <xf numFmtId="49" fontId="11" fillId="2" borderId="17" applyNumberFormat="1" applyFont="1" applyFill="1" applyBorder="1" applyAlignment="1" applyProtection="0">
      <alignment horizontal="center" vertical="center" wrapText="1"/>
    </xf>
    <xf numFmtId="60" fontId="11" fillId="2" borderId="17" applyNumberFormat="1" applyFont="1" applyFill="1" applyBorder="1" applyAlignment="1" applyProtection="0">
      <alignment horizontal="center" vertical="center" wrapText="1"/>
    </xf>
    <xf numFmtId="0" fontId="4" fillId="2" borderId="24" applyNumberFormat="0" applyFont="1" applyFill="1" applyBorder="1" applyAlignment="1" applyProtection="0">
      <alignment horizontal="left" vertical="center"/>
    </xf>
    <xf numFmtId="0" fontId="4" fillId="2" borderId="14" applyNumberFormat="0" applyFont="1" applyFill="1" applyBorder="1" applyAlignment="1" applyProtection="0">
      <alignment horizontal="left" vertical="center"/>
    </xf>
    <xf numFmtId="49" fontId="4" fillId="2" borderId="1" applyNumberFormat="1" applyFont="1" applyFill="1" applyBorder="1" applyAlignment="1" applyProtection="0">
      <alignment horizontal="left" vertical="center"/>
    </xf>
    <xf numFmtId="0" fontId="4" fillId="2" borderId="31" applyNumberFormat="0" applyFont="1" applyFill="1" applyBorder="1" applyAlignment="1" applyProtection="0">
      <alignment horizontal="left" vertical="center"/>
    </xf>
    <xf numFmtId="49" fontId="4" fillId="2" borderId="31" applyNumberFormat="1" applyFont="1" applyFill="1" applyBorder="1" applyAlignment="1" applyProtection="0">
      <alignment horizontal="left" vertical="center"/>
    </xf>
    <xf numFmtId="0" fontId="4" fillId="2" borderId="31" applyNumberFormat="1" applyFont="1" applyFill="1" applyBorder="1" applyAlignment="1" applyProtection="0">
      <alignment horizontal="left" vertical="center"/>
    </xf>
    <xf numFmtId="49" fontId="4" fillId="2" borderId="10" applyNumberFormat="1" applyFont="1" applyFill="1" applyBorder="1" applyAlignment="1" applyProtection="0">
      <alignment horizontal="left" vertical="center"/>
    </xf>
    <xf numFmtId="49" fontId="4" fillId="8" borderId="11" applyNumberFormat="1" applyFont="1" applyFill="1" applyBorder="1" applyAlignment="1" applyProtection="0">
      <alignment horizontal="center" vertical="center" wrapText="1"/>
    </xf>
    <xf numFmtId="0" fontId="4" fillId="2" borderId="24" applyNumberFormat="0" applyFont="1" applyFill="1" applyBorder="1" applyAlignment="1" applyProtection="0">
      <alignment horizontal="left" vertical="center" wrapText="1"/>
    </xf>
    <xf numFmtId="0" fontId="4" fillId="8" borderId="15" applyNumberFormat="0" applyFont="1" applyFill="1" applyBorder="1" applyAlignment="1" applyProtection="0">
      <alignment horizontal="center" vertical="center" wrapText="1"/>
    </xf>
    <xf numFmtId="2" fontId="4" fillId="2" borderId="13" applyNumberFormat="1" applyFont="1" applyFill="1" applyBorder="1" applyAlignment="1" applyProtection="0">
      <alignment horizontal="left" vertical="center"/>
    </xf>
    <xf numFmtId="49" fontId="4" fillId="8" borderId="11" applyNumberFormat="1" applyFont="1" applyFill="1" applyBorder="1" applyAlignment="1" applyProtection="0">
      <alignment horizontal="center" vertical="top" wrapText="1"/>
    </xf>
    <xf numFmtId="2" fontId="4" fillId="2" borderId="17" applyNumberFormat="1" applyFont="1" applyFill="1" applyBorder="1" applyAlignment="1" applyProtection="0">
      <alignment horizontal="left" vertical="center"/>
    </xf>
    <xf numFmtId="10" fontId="4" fillId="2" borderId="17" applyNumberFormat="1" applyFont="1" applyFill="1" applyBorder="1" applyAlignment="1" applyProtection="0">
      <alignment horizontal="left" vertical="center" wrapText="1"/>
    </xf>
    <xf numFmtId="0" fontId="4" fillId="8" borderId="15" applyNumberFormat="0" applyFont="1" applyFill="1" applyBorder="1" applyAlignment="1" applyProtection="0">
      <alignment horizontal="center" vertical="top" wrapText="1"/>
    </xf>
    <xf numFmtId="0" fontId="4" fillId="2" borderId="47" applyNumberFormat="0" applyFont="1" applyFill="1" applyBorder="1" applyAlignment="1" applyProtection="0">
      <alignment horizontal="left" vertical="center"/>
    </xf>
    <xf numFmtId="10" fontId="4" fillId="2" borderId="2" applyNumberFormat="1" applyFont="1" applyFill="1" applyBorder="1" applyAlignment="1" applyProtection="0">
      <alignment horizontal="left" vertical="center"/>
    </xf>
    <xf numFmtId="9" fontId="4" fillId="2" borderId="30" applyNumberFormat="1" applyFont="1" applyFill="1" applyBorder="1" applyAlignment="1" applyProtection="0">
      <alignment horizontal="left" vertical="center"/>
    </xf>
    <xf numFmtId="9" fontId="4" fillId="8" borderId="11" applyNumberFormat="1" applyFont="1" applyFill="1" applyBorder="1" applyAlignment="1" applyProtection="0">
      <alignment horizontal="left" vertical="center"/>
    </xf>
    <xf numFmtId="0" fontId="4" fillId="2" borderId="14" applyNumberFormat="0" applyFont="1" applyFill="1" applyBorder="1" applyAlignment="1" applyProtection="0">
      <alignment horizontal="center" vertical="center"/>
    </xf>
    <xf numFmtId="10" fontId="4" fillId="8" borderId="15" applyNumberFormat="1" applyFont="1" applyFill="1" applyBorder="1" applyAlignment="1" applyProtection="0">
      <alignment horizontal="left" vertical="center" wrapText="1"/>
    </xf>
    <xf numFmtId="49" fontId="4" fillId="8" borderId="15" applyNumberFormat="1" applyFont="1" applyFill="1" applyBorder="1" applyAlignment="1" applyProtection="0">
      <alignment horizontal="left" vertical="center" wrapText="1"/>
    </xf>
    <xf numFmtId="10" fontId="4" fillId="2" borderId="32" applyNumberFormat="1" applyFont="1" applyFill="1" applyBorder="1" applyAlignment="1" applyProtection="0">
      <alignment horizontal="left" vertical="center" wrapText="1"/>
    </xf>
    <xf numFmtId="62" fontId="4" fillId="2" borderId="1" applyNumberFormat="1" applyFont="1" applyFill="1" applyBorder="1" applyAlignment="1" applyProtection="0">
      <alignment horizontal="left" vertical="center" wrapText="1"/>
    </xf>
    <xf numFmtId="60" fontId="4" fillId="2" borderId="1" applyNumberFormat="1" applyFont="1" applyFill="1" applyBorder="1" applyAlignment="1" applyProtection="0">
      <alignment horizontal="left" vertical="center" wrapText="1"/>
    </xf>
    <xf numFmtId="49" fontId="4" fillId="2" borderId="1" applyNumberFormat="1" applyFont="1" applyFill="1" applyBorder="1" applyAlignment="1" applyProtection="0">
      <alignment horizontal="center" vertical="center" wrapText="1"/>
    </xf>
    <xf numFmtId="63" fontId="4" fillId="8" borderId="15" applyNumberFormat="1" applyFont="1" applyFill="1" applyBorder="1" applyAlignment="1" applyProtection="0">
      <alignment horizontal="left" vertical="center"/>
    </xf>
    <xf numFmtId="62" fontId="4" fillId="8" borderId="15" applyNumberFormat="1" applyFont="1" applyFill="1" applyBorder="1" applyAlignment="1" applyProtection="0">
      <alignment horizontal="left" vertical="center" wrapText="1"/>
    </xf>
    <xf numFmtId="60" fontId="4" fillId="2" borderId="48" applyNumberFormat="1" applyFont="1" applyFill="1" applyBorder="1" applyAlignment="1" applyProtection="0">
      <alignment horizontal="left" vertical="center" wrapText="1"/>
    </xf>
    <xf numFmtId="60" fontId="4" fillId="8" borderId="15" applyNumberFormat="1" applyFont="1" applyFill="1" applyBorder="1" applyAlignment="1" applyProtection="0">
      <alignment horizontal="left" vertical="center" wrapText="1"/>
    </xf>
    <xf numFmtId="0" fontId="4" fillId="8" borderId="15" applyNumberFormat="0" applyFont="1" applyFill="1" applyBorder="1" applyAlignment="1" applyProtection="0">
      <alignment horizontal="left" vertical="center"/>
    </xf>
    <xf numFmtId="0" fontId="4" fillId="2" borderId="35" applyNumberFormat="0" applyFont="1" applyFill="1" applyBorder="1" applyAlignment="1" applyProtection="0">
      <alignment horizontal="left" vertical="center"/>
    </xf>
    <xf numFmtId="60" fontId="4" fillId="2" borderId="35" applyNumberFormat="1" applyFont="1" applyFill="1" applyBorder="1" applyAlignment="1" applyProtection="0">
      <alignment horizontal="left" vertical="center"/>
    </xf>
    <xf numFmtId="49" fontId="4" fillId="15" borderId="11" applyNumberFormat="1" applyFont="1" applyFill="1" applyBorder="1" applyAlignment="1" applyProtection="0">
      <alignment horizontal="left" vertical="center" wrapText="1"/>
    </xf>
    <xf numFmtId="60" fontId="4" fillId="15" borderId="11" applyNumberFormat="1" applyFont="1" applyFill="1" applyBorder="1" applyAlignment="1" applyProtection="0">
      <alignment horizontal="left" vertical="center" wrapText="1"/>
    </xf>
    <xf numFmtId="62" fontId="4" fillId="15" borderId="11" applyNumberFormat="1" applyFont="1" applyFill="1" applyBorder="1" applyAlignment="1" applyProtection="0">
      <alignment horizontal="center" vertical="center" wrapText="1"/>
    </xf>
    <xf numFmtId="60" fontId="4" fillId="15" borderId="11" applyNumberFormat="1" applyFont="1" applyFill="1" applyBorder="1" applyAlignment="1" applyProtection="0">
      <alignment horizontal="center" vertical="center" wrapText="1"/>
    </xf>
    <xf numFmtId="0" fontId="0" borderId="13" applyNumberFormat="1" applyFont="1" applyFill="0" applyBorder="1" applyAlignment="1" applyProtection="0">
      <alignment horizontal="left" vertical="bottom"/>
    </xf>
    <xf numFmtId="49" fontId="4" fillId="2" borderId="10" applyNumberFormat="1" applyFont="1" applyFill="1" applyBorder="1" applyAlignment="1" applyProtection="0">
      <alignment horizontal="left" vertical="center" wrapText="1"/>
    </xf>
    <xf numFmtId="0" fontId="6" fillId="15" borderId="15" applyNumberFormat="0" applyFont="1" applyFill="1" applyBorder="1" applyAlignment="1" applyProtection="0">
      <alignment horizontal="left" vertical="center" wrapText="1"/>
    </xf>
    <xf numFmtId="60" fontId="6" fillId="15" borderId="15" applyNumberFormat="1" applyFont="1" applyFill="1" applyBorder="1" applyAlignment="1" applyProtection="0">
      <alignment horizontal="left" vertical="center" wrapText="1"/>
    </xf>
    <xf numFmtId="49" fontId="4" fillId="15" borderId="15" applyNumberFormat="1" applyFont="1" applyFill="1" applyBorder="1" applyAlignment="1" applyProtection="0">
      <alignment horizontal="center" vertical="center" wrapText="1"/>
    </xf>
    <xf numFmtId="60" fontId="4" fillId="15" borderId="15" applyNumberFormat="1" applyFont="1" applyFill="1" applyBorder="1" applyAlignment="1" applyProtection="0">
      <alignment horizontal="center" vertical="center" wrapText="1"/>
    </xf>
    <xf numFmtId="0" fontId="6" fillId="2" borderId="47" applyNumberFormat="0" applyFont="1" applyFill="1" applyBorder="1" applyAlignment="1" applyProtection="0">
      <alignment horizontal="left" vertical="center" wrapText="1"/>
    </xf>
    <xf numFmtId="0" fontId="6" fillId="2" borderId="31" applyNumberFormat="1" applyFont="1" applyFill="1" applyBorder="1" applyAlignment="1" applyProtection="0">
      <alignment horizontal="left" vertical="center" wrapText="1"/>
    </xf>
    <xf numFmtId="0" fontId="6" fillId="2" borderId="24" applyNumberFormat="0" applyFont="1" applyFill="1" applyBorder="1" applyAlignment="1" applyProtection="0">
      <alignment horizontal="left" vertical="center" wrapText="1"/>
    </xf>
    <xf numFmtId="60" fontId="6" fillId="2" borderId="2" applyNumberFormat="1" applyFont="1" applyFill="1" applyBorder="1" applyAlignment="1" applyProtection="0">
      <alignment vertical="bottom" wrapText="1"/>
    </xf>
    <xf numFmtId="10" fontId="0" fillId="2" borderId="13" applyNumberFormat="1" applyFont="1" applyFill="1" applyBorder="1" applyAlignment="1" applyProtection="0">
      <alignment vertical="bottom" wrapText="1"/>
    </xf>
    <xf numFmtId="0" fontId="0" fillId="2" borderId="10" applyNumberFormat="0" applyFont="1" applyFill="1" applyBorder="1" applyAlignment="1" applyProtection="0">
      <alignment horizontal="left" vertical="top"/>
    </xf>
    <xf numFmtId="49" fontId="0" fillId="8" borderId="11" applyNumberFormat="1" applyFont="1" applyFill="1" applyBorder="1" applyAlignment="1" applyProtection="0">
      <alignment horizontal="left" vertical="top" wrapText="1"/>
    </xf>
    <xf numFmtId="49" fontId="0" fillId="8" borderId="11" applyNumberFormat="1" applyFont="1" applyFill="1" applyBorder="1" applyAlignment="1" applyProtection="0">
      <alignment horizontal="left" vertical="top"/>
    </xf>
    <xf numFmtId="60" fontId="0" fillId="2" borderId="17" applyNumberFormat="1" applyFont="1" applyFill="1" applyBorder="1" applyAlignment="1" applyProtection="0">
      <alignment vertical="bottom" wrapText="1"/>
    </xf>
    <xf numFmtId="49" fontId="0" fillId="2" borderId="17" applyNumberFormat="1" applyFont="1" applyFill="1" applyBorder="1" applyAlignment="1" applyProtection="0">
      <alignment horizontal="left" vertical="top"/>
    </xf>
    <xf numFmtId="0" fontId="0" fillId="2" borderId="17" applyNumberFormat="0" applyFont="1" applyFill="1" applyBorder="1" applyAlignment="1" applyProtection="0">
      <alignment horizontal="left" vertical="top"/>
    </xf>
    <xf numFmtId="0" fontId="0" fillId="2" borderId="24" applyNumberFormat="0" applyFont="1" applyFill="1" applyBorder="1" applyAlignment="1" applyProtection="0">
      <alignment horizontal="left" vertical="top"/>
    </xf>
    <xf numFmtId="49" fontId="0" fillId="8" borderId="15" applyNumberFormat="1" applyFont="1" applyFill="1" applyBorder="1" applyAlignment="1" applyProtection="0">
      <alignment horizontal="left" vertical="top"/>
    </xf>
    <xf numFmtId="0" fontId="0" fillId="8" borderId="15" applyNumberFormat="0" applyFont="1" applyFill="1" applyBorder="1" applyAlignment="1" applyProtection="0">
      <alignment horizontal="left" vertical="top"/>
    </xf>
    <xf numFmtId="0" fontId="0" fillId="2" borderId="14" applyNumberFormat="0" applyFont="1" applyFill="1" applyBorder="1" applyAlignment="1" applyProtection="0">
      <alignment horizontal="left" vertical="top"/>
    </xf>
    <xf numFmtId="0" fontId="0" fillId="8" borderId="15" applyNumberFormat="1" applyFont="1" applyFill="1" applyBorder="1" applyAlignment="1" applyProtection="0">
      <alignment horizontal="left" vertical="top" wrapText="1"/>
    </xf>
    <xf numFmtId="49" fontId="0" fillId="8" borderId="15" applyNumberFormat="1" applyFont="1" applyFill="1" applyBorder="1" applyAlignment="1" applyProtection="0">
      <alignment horizontal="left" vertical="top" wrapText="1"/>
    </xf>
    <xf numFmtId="0" fontId="0" fillId="2" borderId="31" applyNumberFormat="0" applyFont="1" applyFill="1" applyBorder="1" applyAlignment="1" applyProtection="0">
      <alignment horizontal="left" vertical="top"/>
    </xf>
    <xf numFmtId="49" fontId="0" fillId="2" borderId="17" applyNumberFormat="1" applyFont="1" applyFill="1" applyBorder="1" applyAlignment="1" applyProtection="0">
      <alignment horizontal="center" vertical="top" wrapText="1"/>
    </xf>
    <xf numFmtId="0" fontId="4" fillId="8" borderId="11" applyNumberFormat="1" applyFont="1" applyFill="1" applyBorder="1" applyAlignment="1" applyProtection="0">
      <alignment horizontal="left" vertical="center"/>
    </xf>
    <xf numFmtId="0" fontId="10" fillId="2" borderId="17" applyNumberFormat="1" applyFont="1" applyFill="1" applyBorder="1" applyAlignment="1" applyProtection="0">
      <alignment vertical="center" wrapText="1"/>
    </xf>
    <xf numFmtId="0" fontId="10" fillId="2" borderId="17" applyNumberFormat="0" applyFont="1" applyFill="1" applyBorder="1" applyAlignment="1" applyProtection="0">
      <alignment vertical="center" wrapText="1"/>
    </xf>
    <xf numFmtId="0" fontId="0" fillId="2" borderId="17" applyNumberFormat="0" applyFont="1" applyFill="1" applyBorder="1" applyAlignment="1" applyProtection="0">
      <alignment horizontal="left" vertical="center"/>
    </xf>
    <xf numFmtId="60" fontId="4" fillId="2" borderId="17" applyNumberFormat="1" applyFont="1" applyFill="1" applyBorder="1" applyAlignment="1" applyProtection="0">
      <alignment vertical="center" wrapText="1"/>
    </xf>
    <xf numFmtId="0" fontId="4" fillId="2" borderId="17" applyNumberFormat="1" applyFont="1" applyFill="1" applyBorder="1" applyAlignment="1" applyProtection="0">
      <alignment vertical="center"/>
    </xf>
    <xf numFmtId="60" fontId="4" fillId="2" borderId="17" applyNumberFormat="1" applyFont="1" applyFill="1" applyBorder="1" applyAlignment="1" applyProtection="0">
      <alignment vertical="center"/>
    </xf>
    <xf numFmtId="49" fontId="4" fillId="2" borderId="2" applyNumberFormat="1" applyFont="1" applyFill="1" applyBorder="1" applyAlignment="1" applyProtection="0">
      <alignment vertical="center" wrapText="1"/>
    </xf>
    <xf numFmtId="60" fontId="4" fillId="2" borderId="2" applyNumberFormat="1" applyFont="1" applyFill="1" applyBorder="1" applyAlignment="1" applyProtection="0">
      <alignment vertical="center" wrapText="1"/>
    </xf>
    <xf numFmtId="0" fontId="4" fillId="2" borderId="2" applyNumberFormat="0" applyFont="1" applyFill="1" applyBorder="1" applyAlignment="1" applyProtection="0">
      <alignment vertical="center"/>
    </xf>
    <xf numFmtId="60" fontId="4" fillId="2" borderId="2" applyNumberFormat="1" applyFont="1" applyFill="1" applyBorder="1" applyAlignment="1" applyProtection="0">
      <alignment vertical="center"/>
    </xf>
    <xf numFmtId="60" fontId="0" fillId="2" borderId="13" applyNumberFormat="1" applyFont="1" applyFill="1" applyBorder="1" applyAlignment="1" applyProtection="0">
      <alignment horizontal="left" vertical="top" wrapText="1"/>
    </xf>
    <xf numFmtId="49" fontId="0" fillId="2" borderId="10" applyNumberFormat="1" applyFont="1" applyFill="1" applyBorder="1" applyAlignment="1" applyProtection="0">
      <alignment horizontal="left" vertical="top"/>
    </xf>
    <xf numFmtId="0" fontId="0" fillId="16" borderId="11" applyNumberFormat="0" applyFont="1" applyFill="1" applyBorder="1" applyAlignment="1" applyProtection="0">
      <alignment horizontal="left" vertical="top"/>
    </xf>
    <xf numFmtId="10" fontId="0" fillId="2" borderId="17" applyNumberFormat="1" applyFont="1" applyFill="1" applyBorder="1" applyAlignment="1" applyProtection="0">
      <alignment vertical="top"/>
    </xf>
    <xf numFmtId="49" fontId="0" fillId="2" borderId="17" applyNumberFormat="1" applyFont="1" applyFill="1" applyBorder="1" applyAlignment="1" applyProtection="0">
      <alignment horizontal="left" vertical="top" wrapText="1"/>
    </xf>
    <xf numFmtId="60" fontId="0" fillId="2" borderId="17" applyNumberFormat="1" applyFont="1" applyFill="1" applyBorder="1" applyAlignment="1" applyProtection="0">
      <alignment horizontal="left" vertical="top" wrapText="1"/>
    </xf>
    <xf numFmtId="0" fontId="0" fillId="2" borderId="14" applyNumberFormat="0" applyFont="1" applyFill="1" applyBorder="1" applyAlignment="1" applyProtection="0">
      <alignment vertical="top"/>
    </xf>
    <xf numFmtId="0" fontId="0" fillId="16" borderId="15" applyNumberFormat="0" applyFont="1" applyFill="1" applyBorder="1" applyAlignment="1" applyProtection="0">
      <alignment vertical="top"/>
    </xf>
    <xf numFmtId="0" fontId="0" fillId="16" borderId="15" applyNumberFormat="0" applyFont="1" applyFill="1" applyBorder="1" applyAlignment="1" applyProtection="0">
      <alignment vertical="bottom"/>
    </xf>
    <xf numFmtId="49" fontId="0" fillId="2" borderId="2" applyNumberFormat="1" applyFont="1" applyFill="1" applyBorder="1" applyAlignment="1" applyProtection="0">
      <alignment vertical="top"/>
    </xf>
    <xf numFmtId="0" fontId="0" borderId="18" applyNumberFormat="0" applyFont="1" applyFill="0" applyBorder="1" applyAlignment="1" applyProtection="0">
      <alignment vertical="bottom"/>
    </xf>
    <xf numFmtId="0" fontId="0" fillId="16" borderId="19" applyNumberFormat="0" applyFont="1" applyFill="1" applyBorder="1" applyAlignment="1" applyProtection="0">
      <alignment vertical="bottom"/>
    </xf>
    <xf numFmtId="62" fontId="0" borderId="13" applyNumberFormat="1" applyFont="1" applyFill="0" applyBorder="1" applyAlignment="1" applyProtection="0">
      <alignment vertical="bottom"/>
    </xf>
    <xf numFmtId="60" fontId="0" fillId="2" borderId="13" applyNumberFormat="1" applyFont="1" applyFill="1" applyBorder="1" applyAlignment="1" applyProtection="0">
      <alignment vertical="bottom"/>
    </xf>
    <xf numFmtId="0" fontId="0" borderId="10" applyNumberFormat="0" applyFont="1" applyFill="0" applyBorder="1" applyAlignment="1" applyProtection="0">
      <alignment vertical="bottom"/>
    </xf>
    <xf numFmtId="9" fontId="24" fillId="8" borderId="11" applyNumberFormat="1" applyFont="1" applyFill="1" applyBorder="1" applyAlignment="1" applyProtection="0">
      <alignment vertical="bottom"/>
    </xf>
    <xf numFmtId="49" fontId="0" fillId="8" borderId="11" applyNumberFormat="1" applyFont="1" applyFill="1" applyBorder="1" applyAlignment="1" applyProtection="0">
      <alignment vertical="bottom"/>
    </xf>
    <xf numFmtId="0" fontId="0" borderId="24" applyNumberFormat="0" applyFont="1" applyFill="0" applyBorder="1" applyAlignment="1" applyProtection="0">
      <alignment vertical="bottom"/>
    </xf>
    <xf numFmtId="0" fontId="0" fillId="2" borderId="1" applyNumberFormat="0" applyFont="1" applyFill="1" applyBorder="1" applyAlignment="1" applyProtection="0">
      <alignment vertical="bottom"/>
    </xf>
    <xf numFmtId="10" fontId="0" fillId="8" borderId="15" applyNumberFormat="1" applyFont="1" applyFill="1" applyBorder="1" applyAlignment="1" applyProtection="0">
      <alignment vertical="bottom"/>
    </xf>
    <xf numFmtId="49" fontId="4" borderId="10" applyNumberFormat="1" applyFont="1" applyFill="0" applyBorder="1" applyAlignment="1" applyProtection="0">
      <alignment vertical="bottom"/>
    </xf>
    <xf numFmtId="49" fontId="4" fillId="8" borderId="11" applyNumberFormat="1" applyFont="1" applyFill="1" applyBorder="1" applyAlignment="1" applyProtection="0">
      <alignment vertical="bottom"/>
    </xf>
    <xf numFmtId="0" fontId="4" fillId="8" borderId="11" applyNumberFormat="0" applyFont="1" applyFill="1" applyBorder="1" applyAlignment="1" applyProtection="0">
      <alignment vertical="bottom"/>
    </xf>
    <xf numFmtId="0" fontId="4" borderId="14" applyNumberFormat="0" applyFont="1" applyFill="0" applyBorder="1" applyAlignment="1" applyProtection="0">
      <alignment vertical="bottom"/>
    </xf>
    <xf numFmtId="49" fontId="4" fillId="8" borderId="15" applyNumberFormat="1" applyFont="1" applyFill="1" applyBorder="1" applyAlignment="1" applyProtection="0">
      <alignment vertical="bottom" wrapText="1"/>
    </xf>
    <xf numFmtId="49" fontId="4" fillId="8" borderId="15" applyNumberFormat="1" applyFont="1" applyFill="1" applyBorder="1" applyAlignment="1" applyProtection="0">
      <alignment horizontal="center" vertical="bottom" wrapText="1"/>
    </xf>
    <xf numFmtId="49" fontId="4" fillId="2" borderId="17" applyNumberFormat="1" applyFont="1" applyFill="1" applyBorder="1" applyAlignment="1" applyProtection="0">
      <alignment vertical="bottom" wrapText="1"/>
    </xf>
    <xf numFmtId="0" fontId="4" fillId="8" borderId="15" applyNumberFormat="0" applyFont="1" applyFill="1" applyBorder="1" applyAlignment="1" applyProtection="0">
      <alignment vertical="bottom"/>
    </xf>
    <xf numFmtId="0" fontId="4" fillId="8" borderId="15" applyNumberFormat="0" applyFont="1" applyFill="1" applyBorder="1" applyAlignment="1" applyProtection="0">
      <alignment horizontal="center" vertical="bottom"/>
    </xf>
    <xf numFmtId="0" fontId="4" borderId="35" applyNumberFormat="0" applyFont="1" applyFill="0" applyBorder="1" applyAlignment="1" applyProtection="0">
      <alignment vertical="bottom"/>
    </xf>
    <xf numFmtId="60" fontId="4" fillId="2" borderId="13" applyNumberFormat="1" applyFont="1" applyFill="1" applyBorder="1" applyAlignment="1" applyProtection="0">
      <alignment vertical="center" wrapText="1"/>
    </xf>
    <xf numFmtId="60" fontId="4" fillId="2" borderId="13" applyNumberFormat="1" applyFont="1" applyFill="1" applyBorder="1" applyAlignment="1" applyProtection="0">
      <alignment vertical="center"/>
    </xf>
    <xf numFmtId="49" fontId="4" fillId="2" borderId="10" applyNumberFormat="1" applyFont="1" applyFill="1" applyBorder="1" applyAlignment="1" applyProtection="0">
      <alignment vertical="center"/>
    </xf>
    <xf numFmtId="9" fontId="4" fillId="8" borderId="11" applyNumberFormat="1" applyFont="1" applyFill="1" applyBorder="1" applyAlignment="1" applyProtection="0">
      <alignment vertical="center"/>
    </xf>
    <xf numFmtId="49" fontId="4" fillId="8" borderId="11" applyNumberFormat="1" applyFont="1" applyFill="1" applyBorder="1" applyAlignment="1" applyProtection="0">
      <alignment vertical="center"/>
    </xf>
    <xf numFmtId="49" fontId="4" fillId="8" borderId="11" applyNumberFormat="1" applyFont="1" applyFill="1" applyBorder="1" applyAlignment="1" applyProtection="0">
      <alignment vertical="center" wrapText="1"/>
    </xf>
    <xf numFmtId="49" fontId="10" borderId="13" applyNumberFormat="1" applyFont="1" applyFill="0" applyBorder="1" applyAlignment="1" applyProtection="0">
      <alignment horizontal="center" vertical="bottom"/>
    </xf>
    <xf numFmtId="0" fontId="10" fillId="2" borderId="13" applyNumberFormat="1" applyFont="1" applyFill="1" applyBorder="1" applyAlignment="1" applyProtection="0">
      <alignment horizontal="center" vertical="center"/>
    </xf>
    <xf numFmtId="49" fontId="10" fillId="2" borderId="10" applyNumberFormat="1" applyFont="1" applyFill="1" applyBorder="1" applyAlignment="1" applyProtection="0">
      <alignment vertical="center"/>
    </xf>
    <xf numFmtId="49" fontId="10" fillId="2" borderId="10" applyNumberFormat="1" applyFont="1" applyFill="1" applyBorder="1" applyAlignment="1" applyProtection="0">
      <alignment vertical="center" wrapText="1"/>
    </xf>
    <xf numFmtId="49" fontId="24" fillId="8" borderId="11" applyNumberFormat="1" applyFont="1" applyFill="1" applyBorder="1" applyAlignment="1" applyProtection="0">
      <alignment vertical="bottom"/>
    </xf>
    <xf numFmtId="49" fontId="10" fillId="8" borderId="11" applyNumberFormat="1" applyFont="1" applyFill="1" applyBorder="1" applyAlignment="1" applyProtection="0">
      <alignment vertical="center"/>
    </xf>
    <xf numFmtId="49" fontId="10" fillId="8" borderId="11" applyNumberFormat="1" applyFont="1" applyFill="1" applyBorder="1" applyAlignment="1" applyProtection="0">
      <alignment vertical="center" wrapText="1"/>
    </xf>
    <xf numFmtId="49" fontId="10" borderId="16" applyNumberFormat="1" applyFont="1" applyFill="0" applyBorder="1" applyAlignment="1" applyProtection="0">
      <alignment vertical="bottom"/>
    </xf>
    <xf numFmtId="49" fontId="10" fillId="2" borderId="17" applyNumberFormat="1" applyFont="1" applyFill="1" applyBorder="1" applyAlignment="1" applyProtection="0">
      <alignment vertical="center" wrapText="1"/>
    </xf>
    <xf numFmtId="60" fontId="10" fillId="2" borderId="17" applyNumberFormat="1" applyFont="1" applyFill="1" applyBorder="1" applyAlignment="1" applyProtection="0">
      <alignment vertical="center" wrapText="1"/>
    </xf>
    <xf numFmtId="0" fontId="10" borderId="17" applyNumberFormat="1" applyFont="1" applyFill="0" applyBorder="1" applyAlignment="1" applyProtection="0">
      <alignment horizontal="center" vertical="bottom"/>
    </xf>
    <xf numFmtId="49" fontId="10" borderId="17" applyNumberFormat="1" applyFont="1" applyFill="0" applyBorder="1" applyAlignment="1" applyProtection="0">
      <alignment horizontal="center" vertical="bottom"/>
    </xf>
    <xf numFmtId="49" fontId="10" fillId="8" borderId="15" applyNumberFormat="1" applyFont="1" applyFill="1" applyBorder="1" applyAlignment="1" applyProtection="0">
      <alignment vertical="bottom" wrapText="1"/>
    </xf>
    <xf numFmtId="49" fontId="10" fillId="8" borderId="15" applyNumberFormat="1" applyFont="1" applyFill="1" applyBorder="1" applyAlignment="1" applyProtection="0">
      <alignment vertical="center"/>
    </xf>
    <xf numFmtId="49" fontId="10" fillId="8" borderId="15" applyNumberFormat="1" applyFont="1" applyFill="1" applyBorder="1" applyAlignment="1" applyProtection="0">
      <alignment vertical="center" wrapText="1"/>
    </xf>
    <xf numFmtId="60" fontId="10" fillId="2" borderId="17" applyNumberFormat="1" applyFont="1" applyFill="1" applyBorder="1" applyAlignment="1" applyProtection="0">
      <alignment vertical="bottom" wrapText="1"/>
    </xf>
    <xf numFmtId="0" fontId="10" borderId="24" applyNumberFormat="0" applyFont="1" applyFill="0" applyBorder="1" applyAlignment="1" applyProtection="0">
      <alignment vertical="bottom"/>
    </xf>
    <xf numFmtId="0" fontId="10" borderId="47" applyNumberFormat="0" applyFont="1" applyFill="0" applyBorder="1" applyAlignment="1" applyProtection="0">
      <alignment vertical="bottom"/>
    </xf>
    <xf numFmtId="0" fontId="10" fillId="2" borderId="17" applyNumberFormat="1" applyFont="1" applyFill="1" applyBorder="1" applyAlignment="1" applyProtection="0">
      <alignment vertical="bottom" wrapText="1"/>
    </xf>
    <xf numFmtId="49" fontId="10" fillId="2" borderId="1" applyNumberFormat="1" applyFont="1" applyFill="1" applyBorder="1" applyAlignment="1" applyProtection="0">
      <alignment horizontal="left" vertical="center"/>
    </xf>
    <xf numFmtId="49" fontId="10" borderId="1" applyNumberFormat="1" applyFont="1" applyFill="0" applyBorder="1" applyAlignment="1" applyProtection="0">
      <alignment vertical="bottom"/>
    </xf>
    <xf numFmtId="49" fontId="10" fillId="2" borderId="17" applyNumberFormat="1" applyFont="1" applyFill="1" applyBorder="1" applyAlignment="1" applyProtection="0">
      <alignment horizontal="center" vertical="center" wrapText="1"/>
    </xf>
    <xf numFmtId="60" fontId="10" fillId="2" borderId="17" applyNumberFormat="1" applyFont="1" applyFill="1" applyBorder="1" applyAlignment="1" applyProtection="0">
      <alignment horizontal="center" vertical="center" wrapText="1"/>
    </xf>
    <xf numFmtId="0" fontId="7" fillId="2" borderId="49" applyNumberFormat="0" applyFont="1" applyFill="1" applyBorder="1" applyAlignment="1" applyProtection="0">
      <alignment horizontal="left" vertical="center"/>
    </xf>
    <xf numFmtId="0" fontId="10" borderId="18" applyNumberFormat="0" applyFont="1" applyFill="0" applyBorder="1" applyAlignment="1" applyProtection="0">
      <alignment vertical="bottom"/>
    </xf>
    <xf numFmtId="49" fontId="10" fillId="8" borderId="19" applyNumberFormat="1" applyFont="1" applyFill="1" applyBorder="1" applyAlignment="1" applyProtection="0">
      <alignment horizontal="left" vertical="center"/>
    </xf>
    <xf numFmtId="49" fontId="10" fillId="8" borderId="19" applyNumberFormat="1" applyFont="1" applyFill="1" applyBorder="1" applyAlignment="1" applyProtection="0">
      <alignment vertical="bottom"/>
    </xf>
    <xf numFmtId="0" fontId="10" fillId="2" borderId="20" applyNumberFormat="0" applyFont="1" applyFill="1" applyBorder="1" applyAlignment="1" applyProtection="0">
      <alignment horizontal="center" vertical="center" wrapText="1"/>
    </xf>
    <xf numFmtId="60" fontId="10" fillId="2" borderId="2" applyNumberFormat="1" applyFont="1" applyFill="1" applyBorder="1" applyAlignment="1" applyProtection="0">
      <alignment horizontal="center" vertical="center" wrapText="1"/>
    </xf>
    <xf numFmtId="0" fontId="10" fillId="2" borderId="2" applyNumberFormat="0" applyFont="1" applyFill="1" applyBorder="1" applyAlignment="1" applyProtection="0">
      <alignment vertical="bottom" wrapText="1"/>
    </xf>
    <xf numFmtId="60" fontId="10" fillId="2" borderId="2" applyNumberFormat="1" applyFont="1" applyFill="1" applyBorder="1" applyAlignment="1" applyProtection="0">
      <alignment vertical="bottom" wrapText="1"/>
    </xf>
    <xf numFmtId="0" fontId="10" borderId="2" applyNumberFormat="0" applyFont="1" applyFill="0" applyBorder="1" applyAlignment="1" applyProtection="0">
      <alignment horizontal="center" vertical="bottom"/>
    </xf>
    <xf numFmtId="60" fontId="10" fillId="2" borderId="13" applyNumberFormat="1" applyFont="1" applyFill="1" applyBorder="1" applyAlignment="1" applyProtection="0">
      <alignment vertical="bottom" wrapText="1"/>
    </xf>
    <xf numFmtId="0" fontId="10" borderId="13" applyNumberFormat="1" applyFont="1" applyFill="0" applyBorder="1" applyAlignment="1" applyProtection="0">
      <alignment vertical="bottom"/>
    </xf>
    <xf numFmtId="49" fontId="14" fillId="2" borderId="13" applyNumberFormat="1" applyFont="1" applyFill="1" applyBorder="1" applyAlignment="1" applyProtection="0">
      <alignment horizontal="center" vertical="center" wrapText="1"/>
    </xf>
    <xf numFmtId="0" fontId="14" fillId="2" borderId="13" applyNumberFormat="0" applyFont="1" applyFill="1" applyBorder="1" applyAlignment="1" applyProtection="0">
      <alignment horizontal="center" vertical="center" wrapText="1"/>
    </xf>
    <xf numFmtId="9" fontId="0" fillId="8" borderId="11" applyNumberFormat="1" applyFont="1" applyFill="1" applyBorder="1" applyAlignment="1" applyProtection="0">
      <alignment vertical="bottom"/>
    </xf>
    <xf numFmtId="0" fontId="26" fillId="2" borderId="17" applyNumberFormat="0" applyFont="1" applyFill="1" applyBorder="1" applyAlignment="1" applyProtection="0">
      <alignment horizontal="center" vertical="bottom" wrapText="1"/>
    </xf>
    <xf numFmtId="49" fontId="22" borderId="17" applyNumberFormat="1" applyFont="1" applyFill="0" applyBorder="1" applyAlignment="1" applyProtection="0">
      <alignment vertical="bottom"/>
    </xf>
    <xf numFmtId="0" fontId="14" fillId="2" borderId="17" applyNumberFormat="0" applyFont="1" applyFill="1" applyBorder="1" applyAlignment="1" applyProtection="0">
      <alignment horizontal="center" vertical="center" wrapText="1"/>
    </xf>
    <xf numFmtId="0" fontId="7" fillId="2" borderId="18" applyNumberFormat="0" applyFont="1" applyFill="1" applyBorder="1" applyAlignment="1" applyProtection="0">
      <alignment horizontal="left" vertical="center"/>
    </xf>
    <xf numFmtId="0" fontId="4" fillId="2" borderId="18" applyNumberFormat="0" applyFont="1" applyFill="1" applyBorder="1" applyAlignment="1" applyProtection="0">
      <alignment horizontal="left" vertical="center"/>
    </xf>
    <xf numFmtId="49" fontId="4" fillId="8" borderId="19" applyNumberFormat="1" applyFont="1" applyFill="1" applyBorder="1" applyAlignment="1" applyProtection="0">
      <alignment horizontal="left" vertical="center"/>
    </xf>
    <xf numFmtId="0" fontId="4" fillId="8" borderId="19" applyNumberFormat="1" applyFont="1" applyFill="1" applyBorder="1" applyAlignment="1" applyProtection="0">
      <alignment horizontal="left" vertical="center"/>
    </xf>
    <xf numFmtId="62" fontId="4" fillId="2" borderId="20" applyNumberFormat="1" applyFont="1" applyFill="1" applyBorder="1" applyAlignment="1" applyProtection="0">
      <alignment horizontal="left" vertical="center" wrapText="1"/>
    </xf>
    <xf numFmtId="62" fontId="4" fillId="2" borderId="2" applyNumberFormat="1" applyFont="1" applyFill="1" applyBorder="1" applyAlignment="1" applyProtection="0">
      <alignment horizontal="left" vertical="center" wrapText="1"/>
    </xf>
    <xf numFmtId="60" fontId="11" fillId="2" borderId="13" applyNumberFormat="1" applyFont="1" applyFill="1" applyBorder="1" applyAlignment="1" applyProtection="0">
      <alignment vertical="center" wrapText="1"/>
    </xf>
    <xf numFmtId="49" fontId="0" fillId="2" borderId="17" applyNumberFormat="1" applyFont="1" applyFill="1" applyBorder="1" applyAlignment="1" applyProtection="0">
      <alignment horizontal="center" vertical="center" wrapText="1"/>
    </xf>
    <xf numFmtId="60" fontId="0" fillId="2" borderId="17" applyNumberFormat="1" applyFont="1" applyFill="1" applyBorder="1" applyAlignment="1" applyProtection="0">
      <alignment horizontal="center" vertical="center" wrapText="1"/>
    </xf>
    <xf numFmtId="0" fontId="0" borderId="47" applyNumberFormat="0" applyFont="1" applyFill="0" applyBorder="1" applyAlignment="1" applyProtection="0">
      <alignment vertical="bottom"/>
    </xf>
    <xf numFmtId="62" fontId="11" borderId="1" applyNumberFormat="1" applyFont="1" applyFill="0" applyBorder="1" applyAlignment="1" applyProtection="0">
      <alignment vertical="bottom"/>
    </xf>
    <xf numFmtId="60" fontId="11" fillId="2" borderId="1" applyNumberFormat="1" applyFont="1" applyFill="1" applyBorder="1" applyAlignment="1" applyProtection="0">
      <alignment vertical="bottom"/>
    </xf>
    <xf numFmtId="49" fontId="0" borderId="14" applyNumberFormat="1" applyFont="1" applyFill="0" applyBorder="1" applyAlignment="1" applyProtection="0">
      <alignment vertical="bottom"/>
    </xf>
    <xf numFmtId="62" fontId="11" fillId="8" borderId="15" applyNumberFormat="1" applyFont="1" applyFill="1" applyBorder="1" applyAlignment="1" applyProtection="0">
      <alignment vertical="bottom"/>
    </xf>
    <xf numFmtId="62" fontId="11" borderId="31" applyNumberFormat="1" applyFont="1" applyFill="0" applyBorder="1" applyAlignment="1" applyProtection="0">
      <alignment vertical="bottom"/>
    </xf>
    <xf numFmtId="0" fontId="0" fillId="2" borderId="20" applyNumberFormat="0" applyFont="1" applyFill="1" applyBorder="1" applyAlignment="1" applyProtection="0">
      <alignment horizontal="center" vertical="top"/>
    </xf>
    <xf numFmtId="0" fontId="11" fillId="2" borderId="18" applyNumberFormat="0" applyFont="1" applyFill="1" applyBorder="1" applyAlignment="1" applyProtection="0">
      <alignment horizontal="center" vertical="top" wrapText="1"/>
    </xf>
    <xf numFmtId="49" fontId="0" fillId="8" borderId="19" applyNumberFormat="1" applyFont="1" applyFill="1" applyBorder="1" applyAlignment="1" applyProtection="0">
      <alignment vertical="bottom"/>
    </xf>
    <xf numFmtId="0" fontId="0" fillId="8" borderId="19" applyNumberFormat="1" applyFont="1" applyFill="1" applyBorder="1" applyAlignment="1" applyProtection="0">
      <alignment vertical="bottom"/>
    </xf>
    <xf numFmtId="63" fontId="4" fillId="2" borderId="13" applyNumberFormat="1" applyFont="1" applyFill="1" applyBorder="1" applyAlignment="1" applyProtection="0">
      <alignment horizontal="left" vertical="center"/>
    </xf>
    <xf numFmtId="0" fontId="4" fillId="2" borderId="17" applyNumberFormat="0" applyFont="1" applyFill="1" applyBorder="1" applyAlignment="1" applyProtection="0">
      <alignment horizontal="left" vertical="top" wrapText="1"/>
    </xf>
    <xf numFmtId="49" fontId="4" fillId="2" borderId="17" applyNumberFormat="1" applyFont="1" applyFill="1" applyBorder="1" applyAlignment="1" applyProtection="0">
      <alignment vertical="top" wrapText="1"/>
    </xf>
    <xf numFmtId="63" fontId="4" fillId="2" borderId="1" applyNumberFormat="1" applyFont="1" applyFill="1" applyBorder="1" applyAlignment="1" applyProtection="0">
      <alignment horizontal="left" vertical="center"/>
    </xf>
    <xf numFmtId="63" fontId="4" fillId="2" borderId="31" applyNumberFormat="1" applyFont="1" applyFill="1" applyBorder="1" applyAlignment="1" applyProtection="0">
      <alignment horizontal="left" vertical="center"/>
    </xf>
    <xf numFmtId="0" fontId="0" applyNumberFormat="1" applyFont="1" applyFill="0" applyBorder="0" applyAlignment="1" applyProtection="0">
      <alignment vertical="bottom"/>
    </xf>
    <xf numFmtId="49" fontId="0" fillId="2" borderId="12" applyNumberFormat="1" applyFont="1" applyFill="1" applyBorder="1" applyAlignment="1" applyProtection="0">
      <alignment vertical="bottom" wrapText="1"/>
    </xf>
    <xf numFmtId="49" fontId="0" fillId="2" borderId="13" applyNumberFormat="1" applyFont="1" applyFill="1" applyBorder="1" applyAlignment="1" applyProtection="0">
      <alignment vertical="center" wrapText="1"/>
    </xf>
    <xf numFmtId="0" fontId="7" fillId="2" borderId="23" applyNumberFormat="0" applyFont="1" applyFill="1" applyBorder="1" applyAlignment="1" applyProtection="0">
      <alignment horizontal="center" vertical="top"/>
    </xf>
    <xf numFmtId="0" fontId="0" fillId="5" borderId="19" applyNumberFormat="0" applyFont="1" applyFill="1" applyBorder="1" applyAlignment="1" applyProtection="0">
      <alignment vertical="top"/>
    </xf>
    <xf numFmtId="0" fontId="0" fillId="2" borderId="20" applyNumberFormat="0" applyFont="1" applyFill="1" applyBorder="1" applyAlignment="1" applyProtection="0">
      <alignment vertical="top"/>
    </xf>
    <xf numFmtId="0" fontId="0" fillId="2" borderId="2" applyNumberFormat="0" applyFont="1" applyFill="1" applyBorder="1" applyAlignment="1" applyProtection="0">
      <alignment vertical="top"/>
    </xf>
    <xf numFmtId="0" fontId="0" fillId="2" borderId="49" applyNumberFormat="0" applyFont="1" applyFill="1" applyBorder="1" applyAlignment="1" applyProtection="0">
      <alignment vertical="top"/>
    </xf>
    <xf numFmtId="0" fontId="0" fillId="5" borderId="28" applyNumberFormat="0" applyFont="1" applyFill="1" applyBorder="1" applyAlignment="1" applyProtection="0">
      <alignment vertical="top"/>
    </xf>
    <xf numFmtId="0" fontId="0" fillId="2" borderId="50" applyNumberFormat="0" applyFont="1" applyFill="1" applyBorder="1" applyAlignment="1" applyProtection="0">
      <alignment vertical="top"/>
    </xf>
    <xf numFmtId="0" fontId="0" fillId="2" borderId="34" applyNumberFormat="0" applyFont="1" applyFill="1" applyBorder="1" applyAlignment="1" applyProtection="0">
      <alignment vertical="top"/>
    </xf>
    <xf numFmtId="0" fontId="0" fillId="2" borderId="49" applyNumberFormat="0" applyFont="1" applyFill="1" applyBorder="1" applyAlignment="1" applyProtection="0">
      <alignment vertical="center"/>
    </xf>
    <xf numFmtId="0" fontId="0" fillId="5" borderId="28" applyNumberFormat="0" applyFont="1" applyFill="1" applyBorder="1" applyAlignment="1" applyProtection="0">
      <alignment vertical="bottom"/>
    </xf>
    <xf numFmtId="0" fontId="0" borderId="50" applyNumberFormat="0" applyFont="1" applyFill="0" applyBorder="1" applyAlignment="1" applyProtection="0">
      <alignment vertical="bottom"/>
    </xf>
    <xf numFmtId="0" fontId="0" borderId="34" applyNumberFormat="0" applyFont="1" applyFill="0" applyBorder="1" applyAlignment="1" applyProtection="0">
      <alignment vertical="bottom"/>
    </xf>
    <xf numFmtId="0" fontId="4" fillId="2" borderId="13" applyNumberFormat="0" applyFont="1" applyFill="1" applyBorder="1" applyAlignment="1" applyProtection="0">
      <alignment horizontal="center" vertical="bottom" wrapText="1"/>
    </xf>
    <xf numFmtId="0" fontId="0" applyNumberFormat="1" applyFont="1" applyFill="0" applyBorder="0" applyAlignment="1" applyProtection="0">
      <alignment vertical="bottom"/>
    </xf>
    <xf numFmtId="0" fontId="4" fillId="3" borderId="6" applyNumberFormat="0" applyFont="1" applyFill="1" applyBorder="1" applyAlignment="1" applyProtection="0">
      <alignment horizontal="center" vertical="center" wrapText="1"/>
    </xf>
    <xf numFmtId="0" fontId="4" fillId="3" borderId="51" applyNumberFormat="0" applyFont="1" applyFill="1" applyBorder="1" applyAlignment="1" applyProtection="0">
      <alignment horizontal="center" vertical="center"/>
    </xf>
    <xf numFmtId="0" fontId="4" fillId="3" borderId="11" applyNumberFormat="0" applyFont="1" applyFill="1" applyBorder="1" applyAlignment="1" applyProtection="0">
      <alignment horizontal="center" vertical="center"/>
    </xf>
    <xf numFmtId="0" fontId="4" fillId="3" borderId="52" applyNumberFormat="0" applyFont="1" applyFill="1" applyBorder="1" applyAlignment="1" applyProtection="0">
      <alignment horizontal="center" vertical="center"/>
    </xf>
    <xf numFmtId="0" fontId="4" fillId="3" borderId="53" applyNumberFormat="0" applyFont="1" applyFill="1" applyBorder="1" applyAlignment="1" applyProtection="0">
      <alignment horizontal="center" vertical="center"/>
    </xf>
    <xf numFmtId="0" fontId="4" fillId="3" borderId="19" applyNumberFormat="0" applyFont="1" applyFill="1" applyBorder="1" applyAlignment="1" applyProtection="0">
      <alignment horizontal="center" vertical="center"/>
    </xf>
    <xf numFmtId="0" fontId="4" fillId="3" borderId="54" applyNumberFormat="0" applyFont="1" applyFill="1" applyBorder="1" applyAlignment="1" applyProtection="0">
      <alignment horizontal="center" vertical="center"/>
    </xf>
    <xf numFmtId="49" fontId="4" fillId="2" borderId="16" applyNumberFormat="1" applyFont="1" applyFill="1" applyBorder="1" applyAlignment="1" applyProtection="0">
      <alignment horizontal="center" vertical="center" wrapText="1"/>
    </xf>
    <xf numFmtId="49" fontId="0" fillId="2" borderId="13" applyNumberFormat="1" applyFont="1" applyFill="1" applyBorder="1" applyAlignment="1" applyProtection="0">
      <alignment horizontal="left" vertical="center" wrapText="1"/>
    </xf>
    <xf numFmtId="0" fontId="10" fillId="2" borderId="13" applyNumberFormat="0" applyFont="1" applyFill="1" applyBorder="1" applyAlignment="1" applyProtection="0">
      <alignment horizontal="center" vertical="center" wrapText="1"/>
    </xf>
    <xf numFmtId="0" fontId="0" fillId="2" borderId="13" applyNumberFormat="0" applyFont="1" applyFill="1" applyBorder="1" applyAlignment="1" applyProtection="0">
      <alignment horizontal="center" vertical="top" wrapText="1"/>
    </xf>
    <xf numFmtId="49" fontId="0" fillId="2" borderId="12" applyNumberFormat="1" applyFont="1" applyFill="1" applyBorder="1" applyAlignment="1" applyProtection="0">
      <alignment horizontal="center" vertical="bottom" wrapText="1"/>
    </xf>
    <xf numFmtId="0" fontId="0" fillId="2" borderId="13" applyNumberFormat="0" applyFont="1" applyFill="1" applyBorder="1" applyAlignment="1" applyProtection="0">
      <alignment horizontal="center" vertical="bottom" wrapText="1"/>
    </xf>
    <xf numFmtId="0" fontId="0" fillId="2" borderId="16" applyNumberFormat="0" applyFont="1" applyFill="1" applyBorder="1" applyAlignment="1" applyProtection="0">
      <alignment horizontal="center" vertical="bottom" wrapText="1"/>
    </xf>
    <xf numFmtId="49" fontId="4" fillId="2" borderId="12" applyNumberFormat="1" applyFont="1" applyFill="1" applyBorder="1" applyAlignment="1" applyProtection="0">
      <alignment horizontal="left" vertical="bottom" wrapText="1"/>
    </xf>
    <xf numFmtId="0" fontId="4" borderId="13" applyNumberFormat="0" applyFont="1" applyFill="0" applyBorder="1" applyAlignment="1" applyProtection="0">
      <alignment horizontal="left" vertical="bottom"/>
    </xf>
    <xf numFmtId="0" fontId="4" borderId="16" applyNumberFormat="0" applyFont="1" applyFill="0" applyBorder="1" applyAlignment="1" applyProtection="0">
      <alignment horizontal="left" vertical="bottom"/>
    </xf>
    <xf numFmtId="0" fontId="4" borderId="17" applyNumberFormat="0" applyFont="1" applyFill="0" applyBorder="1" applyAlignment="1" applyProtection="0">
      <alignment horizontal="left" vertical="bottom"/>
    </xf>
    <xf numFmtId="0" fontId="4" borderId="20" applyNumberFormat="0" applyFont="1" applyFill="0" applyBorder="1" applyAlignment="1" applyProtection="0">
      <alignment horizontal="left" vertical="bottom"/>
    </xf>
    <xf numFmtId="0" fontId="4" borderId="2" applyNumberFormat="0" applyFont="1" applyFill="0" applyBorder="1" applyAlignment="1" applyProtection="0">
      <alignment horizontal="left" vertical="bottom"/>
    </xf>
    <xf numFmtId="0" fontId="4" fillId="2" borderId="12" applyNumberFormat="0" applyFont="1" applyFill="1" applyBorder="1" applyAlignment="1" applyProtection="0">
      <alignment vertical="center"/>
    </xf>
    <xf numFmtId="0" fontId="4" fillId="2" borderId="16" applyNumberFormat="0" applyFont="1" applyFill="1" applyBorder="1" applyAlignment="1" applyProtection="0">
      <alignment horizontal="center" vertical="center"/>
    </xf>
    <xf numFmtId="49" fontId="10" fillId="2" borderId="12" applyNumberFormat="1" applyFont="1" applyFill="1" applyBorder="1" applyAlignment="1" applyProtection="0">
      <alignment horizontal="center" vertical="bottom" wrapText="1"/>
    </xf>
    <xf numFmtId="0" fontId="10" fillId="2" borderId="13" applyNumberFormat="0" applyFont="1" applyFill="1" applyBorder="1" applyAlignment="1" applyProtection="0">
      <alignment horizontal="center" vertical="bottom" wrapText="1"/>
    </xf>
    <xf numFmtId="0" fontId="10" fillId="2" borderId="16" applyNumberFormat="0" applyFont="1" applyFill="1" applyBorder="1" applyAlignment="1" applyProtection="0">
      <alignment horizontal="center" vertical="bottom" wrapText="1"/>
    </xf>
    <xf numFmtId="49" fontId="26" fillId="2" borderId="12" applyNumberFormat="1" applyFont="1" applyFill="1" applyBorder="1" applyAlignment="1" applyProtection="0">
      <alignment horizontal="center" vertical="bottom" wrapText="1"/>
    </xf>
    <xf numFmtId="0" fontId="26" fillId="2" borderId="13" applyNumberFormat="0" applyFont="1" applyFill="1" applyBorder="1" applyAlignment="1" applyProtection="0">
      <alignment horizontal="center" vertical="bottom" wrapText="1"/>
    </xf>
    <xf numFmtId="49" fontId="24" fillId="2" borderId="13" applyNumberFormat="1" applyFont="1" applyFill="1" applyBorder="1" applyAlignment="1" applyProtection="0">
      <alignment horizontal="center" vertical="bottom" wrapText="1"/>
    </xf>
    <xf numFmtId="0" fontId="24" fillId="2" borderId="13" applyNumberFormat="0" applyFont="1" applyFill="1" applyBorder="1" applyAlignment="1" applyProtection="0">
      <alignment horizontal="center" vertical="bottom" wrapText="1"/>
    </xf>
    <xf numFmtId="0" fontId="26" fillId="2" borderId="16" applyNumberFormat="0" applyFont="1" applyFill="1" applyBorder="1" applyAlignment="1" applyProtection="0">
      <alignment horizontal="center" vertical="bottom" wrapText="1"/>
    </xf>
    <xf numFmtId="49" fontId="11" fillId="2" borderId="17" applyNumberFormat="1" applyFont="1" applyFill="1" applyBorder="1" applyAlignment="1" applyProtection="0">
      <alignment vertical="center" wrapText="1"/>
    </xf>
    <xf numFmtId="0" fontId="0" fillId="2" borderId="13" applyNumberFormat="0" applyFont="1" applyFill="1" applyBorder="1" applyAlignment="1" applyProtection="0">
      <alignment horizontal="center" vertical="center" wrapText="1"/>
    </xf>
    <xf numFmtId="0" fontId="0" fillId="2" borderId="20" applyNumberFormat="0" applyFont="1" applyFill="1" applyBorder="1" applyAlignment="1" applyProtection="0">
      <alignment horizontal="center" vertical="top" wrapText="1"/>
    </xf>
    <xf numFmtId="0" fontId="0" fillId="2" borderId="2" applyNumberFormat="0" applyFont="1" applyFill="1" applyBorder="1" applyAlignment="1" applyProtection="0">
      <alignment horizontal="center" vertical="center" wrapText="1"/>
    </xf>
    <xf numFmtId="0" fontId="4" fillId="2" borderId="13" applyNumberFormat="0" applyFont="1" applyFill="1" applyBorder="1" applyAlignment="1" applyProtection="0">
      <alignment horizontal="center" vertical="top" wrapText="1"/>
    </xf>
    <xf numFmtId="49" fontId="4" fillId="2" borderId="17" applyNumberFormat="1" applyFont="1" applyFill="1" applyBorder="1" applyAlignment="1" applyProtection="0">
      <alignment horizontal="center" vertical="top" wrapText="1"/>
    </xf>
    <xf numFmtId="0" fontId="0" fillId="3" borderId="15" applyNumberFormat="0" applyFont="1" applyFill="1" applyBorder="1" applyAlignment="1" applyProtection="0">
      <alignment vertical="bottom"/>
    </xf>
    <xf numFmtId="0" fontId="0" fillId="3" borderId="55"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eeaf6"/>
      <rgbColor rgb="ffbdd6ee"/>
      <rgbColor rgb="ff9cc2e5"/>
      <rgbColor rgb="ff5b9bd5"/>
      <rgbColor rgb="ffc5deb5"/>
      <rgbColor rgb="ffffe598"/>
      <rgbColor rgb="ffffc000"/>
      <rgbColor rgb="ffffff00"/>
      <rgbColor rgb="ffff0000"/>
      <rgbColor rgb="ffe7e6e6"/>
      <rgbColor rgb="ff0563c1"/>
      <rgbColor rgb="ffa5a5a5"/>
      <rgbColor rgb="ff0070c0"/>
      <rgbColor rgb="ffadacac"/>
      <rgbColor rgb="ff222222"/>
      <rgbColor rgb="ffa9cd90"/>
      <rgbColor rgb="ff70ad47"/>
      <rgbColor rgb="ffc8c8c8"/>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drawings/_rels/drawing2.xml.rels><?xml version="1.0" encoding="UTF-8"?>
<Relationships xmlns="http://schemas.openxmlformats.org/package/2006/relationships"><Relationship Id="rId1" Type="http://schemas.openxmlformats.org/officeDocument/2006/relationships/image" Target="../media/image1.png"/></Relationships>

</file>

<file path=xl/drawings/_rels/drawing3.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4.png"/></Relationships>

</file>

<file path=xl/drawings/_rels/drawing6.xml.rels><?xml version="1.0" encoding="UTF-8"?>
<Relationships xmlns="http://schemas.openxmlformats.org/package/2006/relationships"><Relationship Id="rId1" Type="http://schemas.openxmlformats.org/officeDocument/2006/relationships/image" Target="../media/image1.jpeg"/></Relationships>

</file>

<file path=xl/drawings/_rels/drawing8.xml.rels><?xml version="1.0" encoding="UTF-8"?>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6.png"/><Relationship Id="rId3"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2</xdr:col>
      <xdr:colOff>202268</xdr:colOff>
      <xdr:row>58</xdr:row>
      <xdr:rowOff>98611</xdr:rowOff>
    </xdr:from>
    <xdr:to>
      <xdr:col>5</xdr:col>
      <xdr:colOff>354665</xdr:colOff>
      <xdr:row>64</xdr:row>
      <xdr:rowOff>351863</xdr:rowOff>
    </xdr:to>
    <xdr:pic>
      <xdr:nvPicPr>
        <xdr:cNvPr id="83" name="Picture 1" descr="Picture 1"/>
        <xdr:cNvPicPr>
          <a:picLocks noChangeAspect="1"/>
        </xdr:cNvPicPr>
      </xdr:nvPicPr>
      <xdr:blipFill>
        <a:blip r:embed="rId1">
          <a:extLst/>
        </a:blip>
        <a:stretch>
          <a:fillRect/>
        </a:stretch>
      </xdr:blipFill>
      <xdr:spPr>
        <a:xfrm>
          <a:off x="1713568" y="16986436"/>
          <a:ext cx="2870198" cy="2424953"/>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15</xdr:col>
      <xdr:colOff>369792</xdr:colOff>
      <xdr:row>90</xdr:row>
      <xdr:rowOff>33616</xdr:rowOff>
    </xdr:from>
    <xdr:to>
      <xdr:col>25</xdr:col>
      <xdr:colOff>446685</xdr:colOff>
      <xdr:row>98</xdr:row>
      <xdr:rowOff>235148</xdr:rowOff>
    </xdr:to>
    <xdr:pic>
      <xdr:nvPicPr>
        <xdr:cNvPr id="124" name="Picture 1" descr="Picture 1"/>
        <xdr:cNvPicPr>
          <a:picLocks noChangeAspect="1"/>
        </xdr:cNvPicPr>
      </xdr:nvPicPr>
      <xdr:blipFill>
        <a:blip r:embed="rId1">
          <a:extLst/>
        </a:blip>
        <a:stretch>
          <a:fillRect/>
        </a:stretch>
      </xdr:blipFill>
      <xdr:spPr>
        <a:xfrm>
          <a:off x="14898592" y="39705241"/>
          <a:ext cx="14186594" cy="3135233"/>
        </a:xfrm>
        <a:prstGeom prst="rect">
          <a:avLst/>
        </a:prstGeom>
        <a:ln w="12700" cap="flat">
          <a:noFill/>
          <a:miter lim="400000"/>
        </a:ln>
        <a:effectLst/>
      </xdr:spPr>
    </xdr:pic>
    <xdr:clientData/>
  </xdr:twoCellAnchor>
  <xdr:twoCellAnchor>
    <xdr:from>
      <xdr:col>17</xdr:col>
      <xdr:colOff>649940</xdr:colOff>
      <xdr:row>93</xdr:row>
      <xdr:rowOff>22411</xdr:rowOff>
    </xdr:from>
    <xdr:to>
      <xdr:col>24</xdr:col>
      <xdr:colOff>300043</xdr:colOff>
      <xdr:row>100</xdr:row>
      <xdr:rowOff>160439</xdr:rowOff>
    </xdr:to>
    <xdr:pic>
      <xdr:nvPicPr>
        <xdr:cNvPr id="125" name="Picture 2" descr="Picture 2"/>
        <xdr:cNvPicPr>
          <a:picLocks noChangeAspect="1"/>
        </xdr:cNvPicPr>
      </xdr:nvPicPr>
      <xdr:blipFill>
        <a:blip r:embed="rId2">
          <a:extLst/>
        </a:blip>
        <a:stretch>
          <a:fillRect/>
        </a:stretch>
      </xdr:blipFill>
      <xdr:spPr>
        <a:xfrm>
          <a:off x="18620440" y="40817986"/>
          <a:ext cx="8273404" cy="2671679"/>
        </a:xfrm>
        <a:prstGeom prst="rect">
          <a:avLst/>
        </a:prstGeom>
        <a:ln w="12700" cap="flat">
          <a:noFill/>
          <a:miter lim="400000"/>
        </a:ln>
        <a:effectLst/>
      </xdr:spPr>
    </xdr:pic>
    <xdr:clientData/>
  </xdr:twoCellAnchor>
  <xdr:twoCellAnchor>
    <xdr:from>
      <xdr:col>37</xdr:col>
      <xdr:colOff>0</xdr:colOff>
      <xdr:row>5</xdr:row>
      <xdr:rowOff>300185</xdr:rowOff>
    </xdr:from>
    <xdr:to>
      <xdr:col>40</xdr:col>
      <xdr:colOff>440949</xdr:colOff>
      <xdr:row>6</xdr:row>
      <xdr:rowOff>91066</xdr:rowOff>
    </xdr:to>
    <xdr:pic>
      <xdr:nvPicPr>
        <xdr:cNvPr id="126" name="Picture 4" descr="Picture 4"/>
        <xdr:cNvPicPr>
          <a:picLocks noChangeAspect="1"/>
        </xdr:cNvPicPr>
      </xdr:nvPicPr>
      <xdr:blipFill>
        <a:blip r:embed="rId3">
          <a:extLst/>
        </a:blip>
        <a:stretch>
          <a:fillRect/>
        </a:stretch>
      </xdr:blipFill>
      <xdr:spPr>
        <a:xfrm>
          <a:off x="42862500" y="2433785"/>
          <a:ext cx="3247650" cy="1772082"/>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6.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46</xdr:col>
      <xdr:colOff>204108</xdr:colOff>
      <xdr:row>152</xdr:row>
      <xdr:rowOff>449395</xdr:rowOff>
    </xdr:from>
    <xdr:to>
      <xdr:col>52</xdr:col>
      <xdr:colOff>410390</xdr:colOff>
      <xdr:row>154</xdr:row>
      <xdr:rowOff>143230</xdr:rowOff>
    </xdr:to>
    <xdr:pic>
      <xdr:nvPicPr>
        <xdr:cNvPr id="239" name="Picture 1" descr="Picture 1"/>
        <xdr:cNvPicPr>
          <a:picLocks noChangeAspect="1"/>
        </xdr:cNvPicPr>
      </xdr:nvPicPr>
      <xdr:blipFill>
        <a:blip r:embed="rId1">
          <a:extLst/>
        </a:blip>
        <a:stretch>
          <a:fillRect/>
        </a:stretch>
      </xdr:blipFill>
      <xdr:spPr>
        <a:xfrm>
          <a:off x="46025708" y="59576785"/>
          <a:ext cx="4244883" cy="1675036"/>
        </a:xfrm>
        <a:prstGeom prst="rect">
          <a:avLst/>
        </a:prstGeom>
        <a:ln w="12700" cap="flat">
          <a:noFill/>
          <a:miter lim="400000"/>
        </a:ln>
        <a:effectLst/>
      </xdr:spPr>
    </xdr:pic>
    <xdr:clientData/>
  </xdr:twoCellAnchor>
</xdr:wsDr>
</file>

<file path=xl/drawings/drawing7.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8.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9</xdr:col>
      <xdr:colOff>447675</xdr:colOff>
      <xdr:row>47</xdr:row>
      <xdr:rowOff>111125</xdr:rowOff>
    </xdr:from>
    <xdr:to>
      <xdr:col>15</xdr:col>
      <xdr:colOff>460122</xdr:colOff>
      <xdr:row>61</xdr:row>
      <xdr:rowOff>46398</xdr:rowOff>
    </xdr:to>
    <xdr:pic>
      <xdr:nvPicPr>
        <xdr:cNvPr id="250" name="Imagen 1" descr="Imagen 1"/>
        <xdr:cNvPicPr>
          <a:picLocks noChangeAspect="1"/>
        </xdr:cNvPicPr>
      </xdr:nvPicPr>
      <xdr:blipFill>
        <a:blip r:embed="rId1">
          <a:extLst/>
        </a:blip>
        <a:stretch>
          <a:fillRect/>
        </a:stretch>
      </xdr:blipFill>
      <xdr:spPr>
        <a:xfrm>
          <a:off x="14163675" y="11426825"/>
          <a:ext cx="9816848" cy="3688124"/>
        </a:xfrm>
        <a:prstGeom prst="rect">
          <a:avLst/>
        </a:prstGeom>
        <a:ln w="12700" cap="flat">
          <a:noFill/>
          <a:miter lim="400000"/>
        </a:ln>
        <a:effectLst/>
      </xdr:spPr>
    </xdr:pic>
    <xdr:clientData/>
  </xdr:twoCellAnchor>
  <xdr:twoCellAnchor>
    <xdr:from>
      <xdr:col>12</xdr:col>
      <xdr:colOff>634998</xdr:colOff>
      <xdr:row>170</xdr:row>
      <xdr:rowOff>144780</xdr:rowOff>
    </xdr:from>
    <xdr:to>
      <xdr:col>19</xdr:col>
      <xdr:colOff>499070</xdr:colOff>
      <xdr:row>179</xdr:row>
      <xdr:rowOff>62074</xdr:rowOff>
    </xdr:to>
    <xdr:pic>
      <xdr:nvPicPr>
        <xdr:cNvPr id="251" name="Imagen 2" descr="Imagen 2"/>
        <xdr:cNvPicPr>
          <a:picLocks noChangeAspect="1"/>
        </xdr:cNvPicPr>
      </xdr:nvPicPr>
      <xdr:blipFill>
        <a:blip r:embed="rId2">
          <a:extLst/>
        </a:blip>
        <a:stretch>
          <a:fillRect/>
        </a:stretch>
      </xdr:blipFill>
      <xdr:spPr>
        <a:xfrm>
          <a:off x="19240498" y="49110900"/>
          <a:ext cx="9706573" cy="3174845"/>
        </a:xfrm>
        <a:prstGeom prst="rect">
          <a:avLst/>
        </a:prstGeom>
        <a:ln w="12700" cap="flat">
          <a:noFill/>
          <a:miter lim="400000"/>
        </a:ln>
        <a:effectLst/>
      </xdr:spPr>
    </xdr:pic>
    <xdr:clientData/>
  </xdr:twoCellAnchor>
  <xdr:twoCellAnchor>
    <xdr:from>
      <xdr:col>12</xdr:col>
      <xdr:colOff>279130</xdr:colOff>
      <xdr:row>89</xdr:row>
      <xdr:rowOff>100852</xdr:rowOff>
    </xdr:from>
    <xdr:to>
      <xdr:col>24</xdr:col>
      <xdr:colOff>85349</xdr:colOff>
      <xdr:row>100</xdr:row>
      <xdr:rowOff>183039</xdr:rowOff>
    </xdr:to>
    <xdr:pic>
      <xdr:nvPicPr>
        <xdr:cNvPr id="252" name="Picture 3" descr="Picture 3"/>
        <xdr:cNvPicPr>
          <a:picLocks noChangeAspect="1"/>
        </xdr:cNvPicPr>
      </xdr:nvPicPr>
      <xdr:blipFill>
        <a:blip r:embed="rId3">
          <a:extLst/>
        </a:blip>
        <a:stretch>
          <a:fillRect/>
        </a:stretch>
      </xdr:blipFill>
      <xdr:spPr>
        <a:xfrm>
          <a:off x="18884630" y="23075152"/>
          <a:ext cx="13014220" cy="3549288"/>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Relationships xmlns="http://schemas.openxmlformats.org/package/2006/relationships"><Relationship Id="rId1" Type="http://schemas.openxmlformats.org/officeDocument/2006/relationships/hyperlink" Target="http://portalgeo.rio.rj.gov.br/estudoscariocas/download/3272_FavelasCariocas_compara%C3%A7%C3%A3o_das_%C3%A1reas_ocupadas_2004_2011.pdf" TargetMode="External"/><Relationship Id="rId2" Type="http://schemas.openxmlformats.org/officeDocument/2006/relationships/hyperlink" Target="http://www.statistics.gov.lk/HIES/HIES2016/HIES2016_FinalReport.pdf" TargetMode="External"/><Relationship Id="rId3" Type="http://schemas.openxmlformats.org/officeDocument/2006/relationships/hyperlink" Target="http://mepb.lagosstate.gov.ng/wp-content/uploads/sites/29/2017/08/Y2016-Digest-of-Statistics.pdf" TargetMode="External"/><Relationship Id="rId4" Type="http://schemas.openxmlformats.org/officeDocument/2006/relationships/drawing" Target="../drawings/drawing2.xml"/><Relationship Id="rId5" Type="http://schemas.openxmlformats.org/officeDocument/2006/relationships/vmlDrawing" Target="../drawings/vmlDrawing2.vml"/><Relationship Id="rId6" Type="http://schemas.openxmlformats.org/officeDocument/2006/relationships/comments" Target="../comments2.xml"/></Relationships>

</file>

<file path=xl/worksheets/_rels/sheet4.xml.rels><?xml version="1.0" encoding="UTF-8"?>
<Relationships xmlns="http://schemas.openxmlformats.org/package/2006/relationships"><Relationship Id="rId1" Type="http://schemas.openxmlformats.org/officeDocument/2006/relationships/hyperlink" Target="http://www.emcali.com.com/" TargetMode="External"/><Relationship Id="rId2" Type="http://schemas.openxmlformats.org/officeDocument/2006/relationships/hyperlink" Target="https://www.nwsc.co.ug/files/corprateplan/NWSC_CORPORATE_PLAN_2015-2018_APPROVED_FINAL.pdf%20NWSC,%202016/2017%20NWSC%20Corporate%20Strategy%202017" TargetMode="External"/><Relationship Id="rId3" Type="http://schemas.openxmlformats.org/officeDocument/2006/relationships/hyperlink" Target="http://www.nairobi.go.ke/assets/Documents/BUDGET-FOR-FY-2015-2016.pdf%20%5Bsee%20page%20135%20of%20this%20report%20for%20allocation%20for%20%20%E2%80%9CRehabilitation%20of%20Civil%20Works:%20Water%20Supplies%20and%20Sewerage%E2%80%9D-%207,345,384%20%5B2015/2016%5D,%207,712,653%20%5Bprojected%202016/2017%5D" TargetMode="External"/><Relationship Id="rId4" Type="http://schemas.openxmlformats.org/officeDocument/2006/relationships/drawing" Target="../drawings/drawing3.xml"/><Relationship Id="rId5" Type="http://schemas.openxmlformats.org/officeDocument/2006/relationships/vmlDrawing" Target="../drawings/vmlDrawing3.vml"/><Relationship Id="rId6" Type="http://schemas.openxmlformats.org/officeDocument/2006/relationships/comments" Target="../comments3.xml"/></Relationships>

</file>

<file path=xl/worksheets/_rels/sheet5.xml.rels><?xml version="1.0" encoding="UTF-8"?>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Relationships xmlns="http://schemas.openxmlformats.org/package/2006/relationships"><Relationship Id="rId1" Type="http://schemas.openxmlformats.org/officeDocument/2006/relationships/hyperlink" Target="http://www.punecorporation.org/" TargetMode="External"/><Relationship Id="rId2" Type="http://schemas.openxmlformats.org/officeDocument/2006/relationships/hyperlink" Target="https://www.nwsc.co.ug/files/corprateplan/NWSC_CORPORATE_PLAN_2015-2018_APPROVED_FINAL.pdf%20NWSC,%202016/2017%20NWSC%20Corporate%20Strategy%202017" TargetMode="External"/><Relationship Id="rId3" Type="http://schemas.openxmlformats.org/officeDocument/2006/relationships/hyperlink" Target="mailto:temanyirenda@gmail.com" TargetMode="External"/><Relationship Id="rId4" Type="http://schemas.openxmlformats.org/officeDocument/2006/relationships/drawing" Target="../drawings/drawing5.xml"/><Relationship Id="rId5" Type="http://schemas.openxmlformats.org/officeDocument/2006/relationships/vmlDrawing" Target="../drawings/vmlDrawing5.vml"/><Relationship Id="rId6" Type="http://schemas.openxmlformats.org/officeDocument/2006/relationships/comments" Target="../comments5.xml"/></Relationships>

</file>

<file path=xl/worksheets/_rels/sheet7.xml.rels><?xml version="1.0" encoding="UTF-8"?>
<Relationships xmlns="http://schemas.openxmlformats.org/package/2006/relationships"><Relationship Id="rId1" Type="http://schemas.openxmlformats.org/officeDocument/2006/relationships/hyperlink" Target="http://www.punecorporation.org/" TargetMode="External"/><Relationship Id="rId2" Type="http://schemas.openxmlformats.org/officeDocument/2006/relationships/drawing" Target="../drawings/drawing6.xml"/><Relationship Id="rId3" Type="http://schemas.openxmlformats.org/officeDocument/2006/relationships/vmlDrawing" Target="../drawings/vmlDrawing6.vml"/><Relationship Id="rId4" Type="http://schemas.openxmlformats.org/officeDocument/2006/relationships/comments" Target="../comments6.xml"/></Relationships>

</file>

<file path=xl/worksheets/_rels/sheet8.xml.rels><?xml version="1.0" encoding="UTF-8"?>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9.xml.rels><?xml version="1.0" encoding="UTF-8"?>
<Relationships xmlns="http://schemas.openxmlformats.org/package/2006/relationships"><Relationship Id="rId1" Type="http://schemas.openxmlformats.org/officeDocument/2006/relationships/hyperlink" Target="http://www.cali.gov.co/publicaciones/107143/cali_en_cifras_planeacion/" TargetMode="External"/><Relationship Id="rId2" Type="http://schemas.openxmlformats.org/officeDocument/2006/relationships/drawing" Target="../drawings/drawing8.xml"/><Relationship Id="rId3" Type="http://schemas.openxmlformats.org/officeDocument/2006/relationships/vmlDrawing" Target="../drawings/vmlDrawing8.vml"/><Relationship Id="rId4" Type="http://schemas.openxmlformats.org/officeDocument/2006/relationships/comments" Target="../comments8.xml"/></Relationships>

</file>

<file path=xl/worksheets/sheet1.xml><?xml version="1.0" encoding="utf-8"?>
<worksheet xmlns:r="http://schemas.openxmlformats.org/officeDocument/2006/relationships" xmlns="http://schemas.openxmlformats.org/spreadsheetml/2006/main">
  <dimension ref="A1:E178"/>
  <sheetViews>
    <sheetView workbookViewId="0" showGridLines="0" defaultGridColor="1"/>
  </sheetViews>
  <sheetFormatPr defaultColWidth="8.83333" defaultRowHeight="28.5" customHeight="1" outlineLevelRow="0" outlineLevelCol="0"/>
  <cols>
    <col min="1" max="1" width="6.35156" style="1" customWidth="1"/>
    <col min="2" max="2" width="13.5" style="1" customWidth="1"/>
    <col min="3" max="3" width="8.85156" style="1" customWidth="1"/>
    <col min="4" max="4" width="10.6719" style="1" customWidth="1"/>
    <col min="5" max="5" width="10.3516" style="1" customWidth="1"/>
    <col min="6" max="16384" width="8.85156" style="1" customWidth="1"/>
  </cols>
  <sheetData>
    <row r="1" ht="27" customHeight="1">
      <c r="A1" s="2"/>
      <c r="B1" s="3"/>
      <c r="C1" s="4"/>
      <c r="D1" t="s" s="5">
        <v>0</v>
      </c>
      <c r="E1" t="s" s="5">
        <v>1</v>
      </c>
    </row>
    <row r="2" ht="27" customHeight="1">
      <c r="A2" s="6"/>
      <c r="B2" t="s" s="7">
        <v>2</v>
      </c>
      <c r="C2" t="s" s="8">
        <v>3</v>
      </c>
      <c r="D2" t="s" s="9">
        <v>4</v>
      </c>
      <c r="E2" t="s" s="8">
        <v>5</v>
      </c>
    </row>
    <row r="3" ht="27" customHeight="1">
      <c r="A3" s="6"/>
      <c r="B3" s="10"/>
      <c r="C3" s="11"/>
      <c r="D3" s="12"/>
      <c r="E3" s="11"/>
    </row>
    <row r="4" ht="27" customHeight="1">
      <c r="A4" s="13"/>
      <c r="B4" s="10"/>
      <c r="C4" s="11"/>
      <c r="D4" s="14"/>
      <c r="E4" s="11"/>
    </row>
    <row r="5" ht="15" customHeight="1">
      <c r="A5" s="15">
        <v>1</v>
      </c>
      <c r="B5" t="s" s="16">
        <v>6</v>
      </c>
      <c r="C5" t="s" s="17">
        <v>7</v>
      </c>
      <c r="D5" t="s" s="18">
        <v>8</v>
      </c>
      <c r="E5" t="s" s="18">
        <v>9</v>
      </c>
    </row>
    <row r="6" ht="15" customHeight="1">
      <c r="A6" s="19"/>
      <c r="B6" s="20"/>
      <c r="C6" s="21"/>
      <c r="D6" s="22"/>
      <c r="E6" s="22"/>
    </row>
    <row r="7" ht="15" customHeight="1">
      <c r="A7" s="19"/>
      <c r="B7" s="20"/>
      <c r="C7" s="21"/>
      <c r="D7" s="22"/>
      <c r="E7" s="22"/>
    </row>
    <row r="8" ht="15" customHeight="1">
      <c r="A8" s="19"/>
      <c r="B8" s="20"/>
      <c r="C8" s="21"/>
      <c r="D8" s="22"/>
      <c r="E8" s="22"/>
    </row>
    <row r="9" ht="15" customHeight="1">
      <c r="A9" s="19"/>
      <c r="B9" s="20"/>
      <c r="C9" s="21"/>
      <c r="D9" s="22"/>
      <c r="E9" s="22"/>
    </row>
    <row r="10" ht="15" customHeight="1">
      <c r="A10" s="19"/>
      <c r="B10" s="20"/>
      <c r="C10" s="21"/>
      <c r="D10" s="22"/>
      <c r="E10" s="22"/>
    </row>
    <row r="11" ht="15" customHeight="1">
      <c r="A11" s="19"/>
      <c r="B11" s="20"/>
      <c r="C11" s="21"/>
      <c r="D11" s="22"/>
      <c r="E11" s="22"/>
    </row>
    <row r="12" ht="15" customHeight="1">
      <c r="A12" s="23"/>
      <c r="B12" s="24"/>
      <c r="C12" s="25"/>
      <c r="D12" s="26"/>
      <c r="E12" s="26"/>
    </row>
    <row r="13" ht="15" customHeight="1">
      <c r="A13" s="27">
        <v>2</v>
      </c>
      <c r="B13" t="s" s="28">
        <v>10</v>
      </c>
      <c r="C13" t="s" s="29">
        <v>11</v>
      </c>
      <c r="D13" s="30">
        <v>42816</v>
      </c>
      <c r="E13" s="30">
        <v>42825</v>
      </c>
    </row>
    <row r="14" ht="15" customHeight="1">
      <c r="A14" s="31"/>
      <c r="B14" s="32"/>
      <c r="C14" s="33"/>
      <c r="D14" s="34"/>
      <c r="E14" s="34"/>
    </row>
    <row r="15" ht="15" customHeight="1">
      <c r="A15" s="31"/>
      <c r="B15" s="32"/>
      <c r="C15" s="33"/>
      <c r="D15" s="34"/>
      <c r="E15" s="34"/>
    </row>
    <row r="16" ht="15" customHeight="1">
      <c r="A16" s="31"/>
      <c r="B16" s="32"/>
      <c r="C16" s="33"/>
      <c r="D16" s="34"/>
      <c r="E16" s="34"/>
    </row>
    <row r="17" ht="15" customHeight="1">
      <c r="A17" s="31"/>
      <c r="B17" s="32"/>
      <c r="C17" s="33"/>
      <c r="D17" s="34"/>
      <c r="E17" s="34"/>
    </row>
    <row r="18" ht="15" customHeight="1">
      <c r="A18" s="35"/>
      <c r="B18" s="24"/>
      <c r="C18" s="25"/>
      <c r="D18" s="26"/>
      <c r="E18" s="26"/>
    </row>
    <row r="19" ht="15" customHeight="1">
      <c r="A19" s="15">
        <v>3</v>
      </c>
      <c r="B19" t="s" s="16">
        <v>12</v>
      </c>
      <c r="C19" t="s" s="17">
        <v>13</v>
      </c>
      <c r="D19" s="36">
        <v>42895</v>
      </c>
      <c r="E19" s="36">
        <v>42916</v>
      </c>
    </row>
    <row r="20" ht="15" customHeight="1">
      <c r="A20" s="19"/>
      <c r="B20" s="32"/>
      <c r="C20" s="33"/>
      <c r="D20" s="34"/>
      <c r="E20" s="34"/>
    </row>
    <row r="21" ht="15" customHeight="1">
      <c r="A21" s="19"/>
      <c r="B21" s="32"/>
      <c r="C21" s="33"/>
      <c r="D21" s="34"/>
      <c r="E21" s="34"/>
    </row>
    <row r="22" ht="15" customHeight="1">
      <c r="A22" s="19"/>
      <c r="B22" s="32"/>
      <c r="C22" s="33"/>
      <c r="D22" s="34"/>
      <c r="E22" s="34"/>
    </row>
    <row r="23" ht="15" customHeight="1">
      <c r="A23" s="19"/>
      <c r="B23" s="32"/>
      <c r="C23" s="33"/>
      <c r="D23" s="34"/>
      <c r="E23" s="34"/>
    </row>
    <row r="24" ht="15" customHeight="1">
      <c r="A24" s="19"/>
      <c r="B24" s="32"/>
      <c r="C24" s="33"/>
      <c r="D24" s="34"/>
      <c r="E24" s="34"/>
    </row>
    <row r="25" ht="15" customHeight="1">
      <c r="A25" s="19"/>
      <c r="B25" s="32"/>
      <c r="C25" s="33"/>
      <c r="D25" s="34"/>
      <c r="E25" s="34"/>
    </row>
    <row r="26" ht="15" customHeight="1">
      <c r="A26" s="19"/>
      <c r="B26" s="32"/>
      <c r="C26" s="33"/>
      <c r="D26" s="34"/>
      <c r="E26" s="34"/>
    </row>
    <row r="27" ht="15" customHeight="1">
      <c r="A27" s="19"/>
      <c r="B27" s="32"/>
      <c r="C27" s="33"/>
      <c r="D27" s="34"/>
      <c r="E27" s="34"/>
    </row>
    <row r="28" ht="15" customHeight="1">
      <c r="A28" s="19"/>
      <c r="B28" s="32"/>
      <c r="C28" s="33"/>
      <c r="D28" s="34"/>
      <c r="E28" s="34"/>
    </row>
    <row r="29" ht="15" customHeight="1">
      <c r="A29" s="19"/>
      <c r="B29" s="32"/>
      <c r="C29" s="33"/>
      <c r="D29" s="34"/>
      <c r="E29" s="34"/>
    </row>
    <row r="30" ht="15" customHeight="1">
      <c r="A30" s="19"/>
      <c r="B30" s="32"/>
      <c r="C30" s="33"/>
      <c r="D30" s="34"/>
      <c r="E30" s="34"/>
    </row>
    <row r="31" ht="15" customHeight="1">
      <c r="A31" s="19"/>
      <c r="B31" s="32"/>
      <c r="C31" s="33"/>
      <c r="D31" s="34"/>
      <c r="E31" s="34"/>
    </row>
    <row r="32" ht="15" customHeight="1">
      <c r="A32" s="19"/>
      <c r="B32" s="32"/>
      <c r="C32" s="33"/>
      <c r="D32" s="34"/>
      <c r="E32" s="34"/>
    </row>
    <row r="33" ht="15" customHeight="1">
      <c r="A33" s="19"/>
      <c r="B33" s="32"/>
      <c r="C33" s="33"/>
      <c r="D33" s="34"/>
      <c r="E33" s="34"/>
    </row>
    <row r="34" ht="15" customHeight="1">
      <c r="A34" s="19"/>
      <c r="B34" s="32"/>
      <c r="C34" s="33"/>
      <c r="D34" s="34"/>
      <c r="E34" s="34"/>
    </row>
    <row r="35" ht="15" customHeight="1">
      <c r="A35" s="19"/>
      <c r="B35" s="37"/>
      <c r="C35" s="38"/>
      <c r="D35" s="39"/>
      <c r="E35" s="39"/>
    </row>
    <row r="36" ht="15" customHeight="1">
      <c r="A36" s="19"/>
      <c r="B36" s="37"/>
      <c r="C36" s="38"/>
      <c r="D36" s="39"/>
      <c r="E36" s="39"/>
    </row>
    <row r="37" ht="15" customHeight="1">
      <c r="A37" s="19"/>
      <c r="B37" s="37"/>
      <c r="C37" s="38"/>
      <c r="D37" s="39"/>
      <c r="E37" s="39"/>
    </row>
    <row r="38" ht="15" customHeight="1">
      <c r="A38" s="19"/>
      <c r="B38" s="37"/>
      <c r="C38" s="38"/>
      <c r="D38" s="39"/>
      <c r="E38" s="39"/>
    </row>
    <row r="39" ht="15" customHeight="1">
      <c r="A39" s="19"/>
      <c r="B39" s="37"/>
      <c r="C39" s="38"/>
      <c r="D39" s="39"/>
      <c r="E39" s="39"/>
    </row>
    <row r="40" ht="15" customHeight="1">
      <c r="A40" s="19"/>
      <c r="B40" s="37"/>
      <c r="C40" s="38"/>
      <c r="D40" s="39"/>
      <c r="E40" s="39"/>
    </row>
    <row r="41" ht="15" customHeight="1">
      <c r="A41" s="19"/>
      <c r="B41" s="37"/>
      <c r="C41" s="38"/>
      <c r="D41" s="39"/>
      <c r="E41" s="39"/>
    </row>
    <row r="42" ht="15" customHeight="1">
      <c r="A42" s="23"/>
      <c r="B42" s="40"/>
      <c r="C42" s="41"/>
      <c r="D42" s="42"/>
      <c r="E42" s="42"/>
    </row>
    <row r="43" ht="15" customHeight="1">
      <c r="A43" s="15">
        <v>4</v>
      </c>
      <c r="B43" t="s" s="16">
        <v>14</v>
      </c>
      <c r="C43" t="s" s="17">
        <v>13</v>
      </c>
      <c r="D43" s="43">
        <v>43075</v>
      </c>
      <c r="E43" t="s" s="18">
        <v>15</v>
      </c>
    </row>
    <row r="44" ht="15" customHeight="1">
      <c r="A44" s="19"/>
      <c r="B44" s="44"/>
      <c r="C44" s="21"/>
      <c r="D44" s="22"/>
      <c r="E44" s="22"/>
    </row>
    <row r="45" ht="15" customHeight="1">
      <c r="A45" s="19"/>
      <c r="B45" s="44"/>
      <c r="C45" s="21"/>
      <c r="D45" s="22"/>
      <c r="E45" s="22"/>
    </row>
    <row r="46" ht="15" customHeight="1">
      <c r="A46" s="19"/>
      <c r="B46" s="44"/>
      <c r="C46" s="21"/>
      <c r="D46" s="22"/>
      <c r="E46" s="22"/>
    </row>
    <row r="47" ht="15" customHeight="1">
      <c r="A47" s="23"/>
      <c r="B47" s="45"/>
      <c r="C47" s="25"/>
      <c r="D47" s="26"/>
      <c r="E47" s="26"/>
    </row>
    <row r="48" ht="15" customHeight="1">
      <c r="A48" s="27">
        <v>5</v>
      </c>
      <c r="B48" t="s" s="28">
        <v>16</v>
      </c>
      <c r="C48" t="s" s="17">
        <v>17</v>
      </c>
      <c r="D48" s="43">
        <v>43075</v>
      </c>
      <c r="E48" t="s" s="18">
        <v>18</v>
      </c>
    </row>
    <row r="49" ht="15" customHeight="1">
      <c r="A49" s="31"/>
      <c r="B49" s="46"/>
      <c r="C49" s="47"/>
      <c r="D49" s="48"/>
      <c r="E49" s="48"/>
    </row>
    <row r="50" ht="15" customHeight="1">
      <c r="A50" s="31"/>
      <c r="B50" s="46"/>
      <c r="C50" s="47"/>
      <c r="D50" s="48"/>
      <c r="E50" s="48"/>
    </row>
    <row r="51" ht="15" customHeight="1">
      <c r="A51" s="31"/>
      <c r="B51" s="46"/>
      <c r="C51" s="47"/>
      <c r="D51" s="48"/>
      <c r="E51" s="48"/>
    </row>
    <row r="52" ht="15" customHeight="1">
      <c r="A52" s="31"/>
      <c r="B52" s="46"/>
      <c r="C52" s="47"/>
      <c r="D52" s="48"/>
      <c r="E52" s="48"/>
    </row>
    <row r="53" ht="15" customHeight="1">
      <c r="A53" s="31"/>
      <c r="B53" s="46"/>
      <c r="C53" s="47"/>
      <c r="D53" s="48"/>
      <c r="E53" s="48"/>
    </row>
    <row r="54" ht="15" customHeight="1">
      <c r="A54" s="31"/>
      <c r="B54" s="46"/>
      <c r="C54" s="47"/>
      <c r="D54" s="48"/>
      <c r="E54" s="48"/>
    </row>
    <row r="55" ht="15" customHeight="1">
      <c r="A55" s="35"/>
      <c r="B55" s="49"/>
      <c r="C55" s="50"/>
      <c r="D55" s="51"/>
      <c r="E55" s="51"/>
    </row>
    <row r="56" ht="15" customHeight="1">
      <c r="A56" s="52">
        <v>6</v>
      </c>
      <c r="B56" t="s" s="53">
        <v>19</v>
      </c>
      <c r="C56" t="s" s="54">
        <v>20</v>
      </c>
      <c r="D56" s="55">
        <v>42741</v>
      </c>
      <c r="E56" s="55">
        <v>42923</v>
      </c>
    </row>
    <row r="57" ht="15" customHeight="1">
      <c r="A57" s="56"/>
      <c r="B57" s="57"/>
      <c r="C57" s="58"/>
      <c r="D57" s="59"/>
      <c r="E57" s="59"/>
    </row>
    <row r="58" ht="15" customHeight="1">
      <c r="A58" s="56"/>
      <c r="B58" s="57"/>
      <c r="C58" s="58"/>
      <c r="D58" s="59"/>
      <c r="E58" s="59"/>
    </row>
    <row r="59" ht="13.55" customHeight="1">
      <c r="A59" s="60"/>
      <c r="B59" s="57"/>
      <c r="C59" s="58"/>
      <c r="D59" s="59"/>
      <c r="E59" s="59"/>
    </row>
    <row r="60" ht="13.55" customHeight="1">
      <c r="A60" s="60"/>
      <c r="B60" s="57"/>
      <c r="C60" s="58"/>
      <c r="D60" s="59"/>
      <c r="E60" s="59"/>
    </row>
    <row r="61" ht="13.55" customHeight="1">
      <c r="A61" s="60"/>
      <c r="B61" s="57"/>
      <c r="C61" s="58"/>
      <c r="D61" s="59"/>
      <c r="E61" s="59"/>
    </row>
    <row r="62" ht="13.55" customHeight="1">
      <c r="A62" s="60"/>
      <c r="B62" s="57"/>
      <c r="C62" s="58"/>
      <c r="D62" s="59"/>
      <c r="E62" s="59"/>
    </row>
    <row r="63" ht="13.55" customHeight="1">
      <c r="A63" s="60"/>
      <c r="B63" s="57"/>
      <c r="C63" s="58"/>
      <c r="D63" s="59"/>
      <c r="E63" s="59"/>
    </row>
    <row r="64" ht="13.55" customHeight="1">
      <c r="A64" s="60"/>
      <c r="B64" s="57"/>
      <c r="C64" s="58"/>
      <c r="D64" s="59"/>
      <c r="E64" s="59"/>
    </row>
    <row r="65" ht="13.55" customHeight="1">
      <c r="A65" s="60"/>
      <c r="B65" s="57"/>
      <c r="C65" s="58"/>
      <c r="D65" s="59"/>
      <c r="E65" s="59"/>
    </row>
    <row r="66" ht="13.55" customHeight="1">
      <c r="A66" s="60"/>
      <c r="B66" s="57"/>
      <c r="C66" s="58"/>
      <c r="D66" s="59"/>
      <c r="E66" s="59"/>
    </row>
    <row r="67" ht="13.55" customHeight="1">
      <c r="A67" s="60"/>
      <c r="B67" s="57"/>
      <c r="C67" s="58"/>
      <c r="D67" s="59"/>
      <c r="E67" s="59"/>
    </row>
    <row r="68" ht="13.55" customHeight="1">
      <c r="A68" s="60"/>
      <c r="B68" s="57"/>
      <c r="C68" s="58"/>
      <c r="D68" s="59"/>
      <c r="E68" s="59"/>
    </row>
    <row r="69" ht="13.55" customHeight="1">
      <c r="A69" s="61"/>
      <c r="B69" s="62"/>
      <c r="C69" s="63"/>
      <c r="D69" s="64"/>
      <c r="E69" s="64"/>
    </row>
    <row r="70" ht="15" customHeight="1">
      <c r="A70" s="15">
        <v>7</v>
      </c>
      <c r="B70" t="s" s="65">
        <v>21</v>
      </c>
      <c r="C70" t="s" s="17">
        <v>20</v>
      </c>
      <c r="D70" s="66">
        <v>42887</v>
      </c>
      <c r="E70" s="66">
        <v>42917</v>
      </c>
    </row>
    <row r="71" ht="15" customHeight="1">
      <c r="A71" s="19"/>
      <c r="B71" s="67"/>
      <c r="C71" s="21"/>
      <c r="D71" s="22"/>
      <c r="E71" s="22"/>
    </row>
    <row r="72" ht="15" customHeight="1">
      <c r="A72" s="19"/>
      <c r="B72" s="67"/>
      <c r="C72" s="21"/>
      <c r="D72" s="22"/>
      <c r="E72" s="22"/>
    </row>
    <row r="73" ht="15" customHeight="1">
      <c r="A73" s="19"/>
      <c r="B73" s="67"/>
      <c r="C73" s="21"/>
      <c r="D73" s="22"/>
      <c r="E73" s="22"/>
    </row>
    <row r="74" ht="15" customHeight="1">
      <c r="A74" s="19"/>
      <c r="B74" s="67"/>
      <c r="C74" s="21"/>
      <c r="D74" s="22"/>
      <c r="E74" s="22"/>
    </row>
    <row r="75" ht="15" customHeight="1">
      <c r="A75" s="19"/>
      <c r="B75" s="67"/>
      <c r="C75" s="21"/>
      <c r="D75" s="22"/>
      <c r="E75" s="22"/>
    </row>
    <row r="76" ht="15" customHeight="1">
      <c r="A76" s="19"/>
      <c r="B76" s="67"/>
      <c r="C76" s="21"/>
      <c r="D76" s="22"/>
      <c r="E76" s="22"/>
    </row>
    <row r="77" ht="15" customHeight="1">
      <c r="A77" s="19"/>
      <c r="B77" s="67"/>
      <c r="C77" s="21"/>
      <c r="D77" s="22"/>
      <c r="E77" s="22"/>
    </row>
    <row r="78" ht="15" customHeight="1">
      <c r="A78" s="19"/>
      <c r="B78" s="67"/>
      <c r="C78" s="21"/>
      <c r="D78" s="22"/>
      <c r="E78" s="22"/>
    </row>
    <row r="79" ht="15" customHeight="1">
      <c r="A79" s="19"/>
      <c r="B79" s="67"/>
      <c r="C79" s="21"/>
      <c r="D79" s="22"/>
      <c r="E79" s="22"/>
    </row>
    <row r="80" ht="15" customHeight="1">
      <c r="A80" s="23"/>
      <c r="B80" s="68"/>
      <c r="C80" s="69"/>
      <c r="D80" s="70"/>
      <c r="E80" s="70"/>
    </row>
    <row r="81" ht="75" customHeight="1">
      <c r="A81" s="71">
        <v>8</v>
      </c>
      <c r="B81" t="s" s="72">
        <v>22</v>
      </c>
      <c r="C81" t="s" s="73">
        <v>20</v>
      </c>
      <c r="D81" s="74">
        <v>42898</v>
      </c>
      <c r="E81" t="s" s="75">
        <v>23</v>
      </c>
    </row>
    <row r="82" ht="15" customHeight="1">
      <c r="A82" s="76"/>
      <c r="B82" s="77"/>
      <c r="C82" s="78"/>
      <c r="D82" s="79"/>
      <c r="E82" s="79"/>
    </row>
    <row r="83" ht="26.1" customHeight="1">
      <c r="A83" s="80"/>
      <c r="B83" s="77"/>
      <c r="C83" s="78"/>
      <c r="D83" s="79"/>
      <c r="E83" s="79"/>
    </row>
    <row r="84" ht="13.55" customHeight="1">
      <c r="A84" s="81"/>
      <c r="B84" s="57"/>
      <c r="C84" s="58"/>
      <c r="D84" s="59"/>
      <c r="E84" s="59"/>
    </row>
    <row r="85" ht="13.55" customHeight="1">
      <c r="A85" s="19"/>
      <c r="B85" s="57"/>
      <c r="C85" s="58"/>
      <c r="D85" s="59"/>
      <c r="E85" s="59"/>
    </row>
    <row r="86" ht="13.55" customHeight="1">
      <c r="A86" s="19"/>
      <c r="B86" s="57"/>
      <c r="C86" s="58"/>
      <c r="D86" s="59"/>
      <c r="E86" s="59"/>
    </row>
    <row r="87" ht="13.55" customHeight="1">
      <c r="A87" s="19"/>
      <c r="B87" s="57"/>
      <c r="C87" s="58"/>
      <c r="D87" s="59"/>
      <c r="E87" s="59"/>
    </row>
    <row r="88" ht="13.55" customHeight="1">
      <c r="A88" s="19"/>
      <c r="B88" s="57"/>
      <c r="C88" s="58"/>
      <c r="D88" s="59"/>
      <c r="E88" s="59"/>
    </row>
    <row r="89" ht="13.55" customHeight="1">
      <c r="A89" s="23"/>
      <c r="B89" s="62"/>
      <c r="C89" s="63"/>
      <c r="D89" s="64"/>
      <c r="E89" s="64"/>
    </row>
    <row r="90" ht="15" customHeight="1">
      <c r="A90" s="52">
        <v>9</v>
      </c>
      <c r="B90" t="s" s="53">
        <v>24</v>
      </c>
      <c r="C90" t="s" s="54">
        <v>25</v>
      </c>
      <c r="D90" t="s" s="83">
        <v>26</v>
      </c>
      <c r="E90" t="s" s="82">
        <v>27</v>
      </c>
    </row>
    <row r="91" ht="15" customHeight="1">
      <c r="A91" s="56"/>
      <c r="B91" s="57"/>
      <c r="C91" s="58"/>
      <c r="D91" s="59"/>
      <c r="E91" s="59"/>
    </row>
    <row r="92" ht="15" customHeight="1">
      <c r="A92" s="56"/>
      <c r="B92" s="57"/>
      <c r="C92" s="58"/>
      <c r="D92" s="59"/>
      <c r="E92" s="59"/>
    </row>
    <row r="93" ht="13.55" customHeight="1">
      <c r="A93" s="60"/>
      <c r="B93" s="57"/>
      <c r="C93" s="58"/>
      <c r="D93" s="59"/>
      <c r="E93" s="59"/>
    </row>
    <row r="94" ht="13.55" customHeight="1">
      <c r="A94" s="60"/>
      <c r="B94" s="57"/>
      <c r="C94" s="58"/>
      <c r="D94" s="59"/>
      <c r="E94" s="59"/>
    </row>
    <row r="95" ht="13.55" customHeight="1">
      <c r="A95" s="60"/>
      <c r="B95" s="57"/>
      <c r="C95" s="58"/>
      <c r="D95" s="59"/>
      <c r="E95" s="59"/>
    </row>
    <row r="96" ht="13.55" customHeight="1">
      <c r="A96" s="60"/>
      <c r="B96" s="57"/>
      <c r="C96" s="58"/>
      <c r="D96" s="59"/>
      <c r="E96" s="59"/>
    </row>
    <row r="97" ht="13.55" customHeight="1">
      <c r="A97" s="60"/>
      <c r="B97" s="57"/>
      <c r="C97" s="58"/>
      <c r="D97" s="59"/>
      <c r="E97" s="59"/>
    </row>
    <row r="98" ht="13.55" customHeight="1">
      <c r="A98" s="60"/>
      <c r="B98" s="57"/>
      <c r="C98" s="58"/>
      <c r="D98" s="59"/>
      <c r="E98" s="59"/>
    </row>
    <row r="99" ht="13.55" customHeight="1">
      <c r="A99" s="60"/>
      <c r="B99" s="57"/>
      <c r="C99" s="58"/>
      <c r="D99" s="59"/>
      <c r="E99" s="59"/>
    </row>
    <row r="100" ht="13.55" customHeight="1">
      <c r="A100" s="60"/>
      <c r="B100" s="57"/>
      <c r="C100" s="58"/>
      <c r="D100" s="59"/>
      <c r="E100" s="59"/>
    </row>
    <row r="101" ht="13.55" customHeight="1">
      <c r="A101" s="61"/>
      <c r="B101" s="62"/>
      <c r="C101" s="63"/>
      <c r="D101" s="64"/>
      <c r="E101" s="64"/>
    </row>
    <row r="102" ht="26.1" customHeight="1">
      <c r="A102" s="84">
        <v>10</v>
      </c>
      <c r="B102" t="s" s="85">
        <v>28</v>
      </c>
      <c r="C102" t="s" s="86">
        <v>29</v>
      </c>
      <c r="D102" s="87">
        <v>42982</v>
      </c>
      <c r="E102" s="87">
        <v>43002</v>
      </c>
    </row>
    <row r="103" ht="15" customHeight="1">
      <c r="A103" s="88"/>
      <c r="B103" s="89"/>
      <c r="C103" s="90"/>
      <c r="D103" s="91"/>
      <c r="E103" s="91"/>
    </row>
    <row r="104" ht="15" customHeight="1">
      <c r="A104" s="88"/>
      <c r="B104" s="89"/>
      <c r="C104" s="90"/>
      <c r="D104" s="91"/>
      <c r="E104" s="91"/>
    </row>
    <row r="105" ht="15" customHeight="1">
      <c r="A105" s="88"/>
      <c r="B105" s="89"/>
      <c r="C105" s="90"/>
      <c r="D105" s="91"/>
      <c r="E105" s="91"/>
    </row>
    <row r="106" ht="15" customHeight="1">
      <c r="A106" s="92"/>
      <c r="B106" s="89"/>
      <c r="C106" s="90"/>
      <c r="D106" s="91"/>
      <c r="E106" s="91"/>
    </row>
    <row r="107" ht="15" customHeight="1">
      <c r="A107" s="92"/>
      <c r="B107" s="89"/>
      <c r="C107" s="90"/>
      <c r="D107" s="91"/>
      <c r="E107" s="91"/>
    </row>
    <row r="108" ht="15" customHeight="1">
      <c r="A108" s="92"/>
      <c r="B108" s="89"/>
      <c r="C108" s="90"/>
      <c r="D108" s="91"/>
      <c r="E108" s="91"/>
    </row>
    <row r="109" ht="15" customHeight="1">
      <c r="A109" s="93"/>
      <c r="B109" s="94"/>
      <c r="C109" s="95"/>
      <c r="D109" s="96"/>
      <c r="E109" s="96"/>
    </row>
    <row r="110" ht="15" customHeight="1">
      <c r="A110" s="15">
        <v>11</v>
      </c>
      <c r="B110" t="s" s="97">
        <v>30</v>
      </c>
      <c r="C110" t="s" s="98">
        <v>31</v>
      </c>
      <c r="D110" s="99">
        <v>42917</v>
      </c>
      <c r="E110" s="99">
        <v>42936</v>
      </c>
    </row>
    <row r="111" ht="15" customHeight="1">
      <c r="A111" s="19"/>
      <c r="B111" s="100"/>
      <c r="C111" s="21"/>
      <c r="D111" s="22"/>
      <c r="E111" s="22"/>
    </row>
    <row r="112" ht="15" customHeight="1">
      <c r="A112" s="19"/>
      <c r="B112" s="100"/>
      <c r="C112" s="21"/>
      <c r="D112" s="22"/>
      <c r="E112" s="22"/>
    </row>
    <row r="113" ht="15" customHeight="1">
      <c r="A113" s="19"/>
      <c r="B113" s="100"/>
      <c r="C113" s="21"/>
      <c r="D113" s="22"/>
      <c r="E113" s="22"/>
    </row>
    <row r="114" ht="15" customHeight="1">
      <c r="A114" s="19"/>
      <c r="B114" s="100"/>
      <c r="C114" s="21"/>
      <c r="D114" s="22"/>
      <c r="E114" s="22"/>
    </row>
    <row r="115" ht="15" customHeight="1">
      <c r="A115" s="19"/>
      <c r="B115" s="100"/>
      <c r="C115" s="21"/>
      <c r="D115" s="22"/>
      <c r="E115" s="22"/>
    </row>
    <row r="116" ht="15" customHeight="1">
      <c r="A116" s="19"/>
      <c r="B116" s="100"/>
      <c r="C116" s="21"/>
      <c r="D116" s="22"/>
      <c r="E116" s="22"/>
    </row>
    <row r="117" ht="15" customHeight="1">
      <c r="A117" s="19"/>
      <c r="B117" s="100"/>
      <c r="C117" s="21"/>
      <c r="D117" s="22"/>
      <c r="E117" s="22"/>
    </row>
    <row r="118" ht="15" customHeight="1">
      <c r="A118" s="23"/>
      <c r="B118" s="101"/>
      <c r="C118" s="25"/>
      <c r="D118" s="26"/>
      <c r="E118" s="26"/>
    </row>
    <row r="119" ht="15" customHeight="1">
      <c r="A119" s="15">
        <v>12</v>
      </c>
      <c r="B119" t="s" s="102">
        <v>32</v>
      </c>
      <c r="C119" t="s" s="103">
        <v>33</v>
      </c>
      <c r="D119" s="104">
        <v>42896</v>
      </c>
      <c r="E119" s="104">
        <v>42921</v>
      </c>
    </row>
    <row r="120" ht="15" customHeight="1">
      <c r="A120" s="19"/>
      <c r="B120" s="105"/>
      <c r="C120" s="106"/>
      <c r="D120" s="107"/>
      <c r="E120" s="107"/>
    </row>
    <row r="121" ht="15" customHeight="1">
      <c r="A121" s="19"/>
      <c r="B121" s="105"/>
      <c r="C121" s="106"/>
      <c r="D121" s="107"/>
      <c r="E121" s="107"/>
    </row>
    <row r="122" ht="15" customHeight="1">
      <c r="A122" s="19"/>
      <c r="B122" s="105"/>
      <c r="C122" s="106"/>
      <c r="D122" s="107"/>
      <c r="E122" s="107"/>
    </row>
    <row r="123" ht="15" customHeight="1">
      <c r="A123" s="19"/>
      <c r="B123" s="105"/>
      <c r="C123" s="106"/>
      <c r="D123" s="107"/>
      <c r="E123" s="107"/>
    </row>
    <row r="124" ht="15" customHeight="1">
      <c r="A124" s="19"/>
      <c r="B124" s="105"/>
      <c r="C124" s="106"/>
      <c r="D124" s="107"/>
      <c r="E124" s="107"/>
    </row>
    <row r="125" ht="15" customHeight="1">
      <c r="A125" s="23"/>
      <c r="B125" s="108"/>
      <c r="C125" s="109"/>
      <c r="D125" s="110"/>
      <c r="E125" s="110"/>
    </row>
    <row r="126" ht="15" customHeight="1">
      <c r="A126" s="15">
        <v>13</v>
      </c>
      <c r="B126" t="s" s="111">
        <v>34</v>
      </c>
      <c r="C126" t="s" s="54">
        <v>35</v>
      </c>
      <c r="D126" t="s" s="112">
        <v>36</v>
      </c>
      <c r="E126" t="s" s="112">
        <v>37</v>
      </c>
    </row>
    <row r="127" ht="15" customHeight="1">
      <c r="A127" s="19"/>
      <c r="B127" s="113"/>
      <c r="C127" s="58"/>
      <c r="D127" s="59"/>
      <c r="E127" s="59"/>
    </row>
    <row r="128" ht="15" customHeight="1">
      <c r="A128" s="19"/>
      <c r="B128" s="113"/>
      <c r="C128" s="58"/>
      <c r="D128" s="59"/>
      <c r="E128" s="59"/>
    </row>
    <row r="129" ht="15" customHeight="1">
      <c r="A129" s="19"/>
      <c r="B129" s="113"/>
      <c r="C129" s="58"/>
      <c r="D129" s="59"/>
      <c r="E129" s="59"/>
    </row>
    <row r="130" ht="15" customHeight="1">
      <c r="A130" s="19"/>
      <c r="B130" s="113"/>
      <c r="C130" s="58"/>
      <c r="D130" s="59"/>
      <c r="E130" s="59"/>
    </row>
    <row r="131" ht="15" customHeight="1">
      <c r="A131" s="19"/>
      <c r="B131" s="113"/>
      <c r="C131" s="58"/>
      <c r="D131" s="59"/>
      <c r="E131" s="59"/>
    </row>
    <row r="132" ht="15" customHeight="1">
      <c r="A132" s="19"/>
      <c r="B132" s="113"/>
      <c r="C132" s="58"/>
      <c r="D132" s="59"/>
      <c r="E132" s="59"/>
    </row>
    <row r="133" ht="15" customHeight="1">
      <c r="A133" s="19"/>
      <c r="B133" s="113"/>
      <c r="C133" s="58"/>
      <c r="D133" s="59"/>
      <c r="E133" s="59"/>
    </row>
    <row r="134" ht="15" customHeight="1">
      <c r="A134" s="19"/>
      <c r="B134" s="113"/>
      <c r="C134" s="58"/>
      <c r="D134" s="59"/>
      <c r="E134" s="59"/>
    </row>
    <row r="135" ht="15" customHeight="1">
      <c r="A135" s="19"/>
      <c r="B135" s="113"/>
      <c r="C135" s="58"/>
      <c r="D135" s="59"/>
      <c r="E135" s="59"/>
    </row>
    <row r="136" ht="15" customHeight="1">
      <c r="A136" s="23"/>
      <c r="B136" s="114"/>
      <c r="C136" s="63"/>
      <c r="D136" s="64"/>
      <c r="E136" s="64"/>
    </row>
    <row r="137" ht="15" customHeight="1">
      <c r="A137" s="15">
        <v>14</v>
      </c>
      <c r="B137" t="s" s="115">
        <v>38</v>
      </c>
      <c r="C137" t="s" s="17">
        <v>39</v>
      </c>
      <c r="D137" s="43">
        <v>42926</v>
      </c>
      <c r="E137" s="43">
        <v>42948</v>
      </c>
    </row>
    <row r="138" ht="15" customHeight="1">
      <c r="A138" s="19"/>
      <c r="B138" s="116"/>
      <c r="C138" s="21"/>
      <c r="D138" s="22"/>
      <c r="E138" s="22"/>
    </row>
    <row r="139" ht="15" customHeight="1">
      <c r="A139" s="19"/>
      <c r="B139" s="116"/>
      <c r="C139" s="21"/>
      <c r="D139" s="22"/>
      <c r="E139" s="22"/>
    </row>
    <row r="140" ht="15" customHeight="1">
      <c r="A140" s="19"/>
      <c r="B140" s="116"/>
      <c r="C140" s="21"/>
      <c r="D140" s="22"/>
      <c r="E140" s="22"/>
    </row>
    <row r="141" ht="15" customHeight="1">
      <c r="A141" s="19"/>
      <c r="B141" s="116"/>
      <c r="C141" s="21"/>
      <c r="D141" s="22"/>
      <c r="E141" s="22"/>
    </row>
    <row r="142" ht="15" customHeight="1">
      <c r="A142" s="23"/>
      <c r="B142" s="117"/>
      <c r="C142" s="25"/>
      <c r="D142" s="26"/>
      <c r="E142" s="26"/>
    </row>
    <row r="143" ht="26.1" customHeight="1">
      <c r="A143" s="52">
        <v>15</v>
      </c>
      <c r="B143" t="s" s="111">
        <v>40</v>
      </c>
      <c r="C143" t="s" s="54">
        <v>41</v>
      </c>
      <c r="D143" s="118">
        <v>42861</v>
      </c>
      <c r="E143" t="s" s="82">
        <v>42</v>
      </c>
    </row>
    <row r="144" ht="26.1" customHeight="1">
      <c r="A144" s="56"/>
      <c r="B144" s="113"/>
      <c r="C144" s="58"/>
      <c r="D144" s="59"/>
      <c r="E144" s="59"/>
    </row>
    <row r="145" ht="26.1" customHeight="1">
      <c r="A145" s="56"/>
      <c r="B145" s="113"/>
      <c r="C145" s="58"/>
      <c r="D145" s="59"/>
      <c r="E145" s="59"/>
    </row>
    <row r="146" ht="26.1" customHeight="1">
      <c r="A146" s="56"/>
      <c r="B146" s="113"/>
      <c r="C146" s="58"/>
      <c r="D146" s="59"/>
      <c r="E146" s="59"/>
    </row>
    <row r="147" ht="26.1" customHeight="1">
      <c r="A147" s="56"/>
      <c r="B147" s="113"/>
      <c r="C147" s="58"/>
      <c r="D147" s="59"/>
      <c r="E147" s="59"/>
    </row>
    <row r="148" ht="26.1" customHeight="1">
      <c r="A148" s="56"/>
      <c r="B148" s="113"/>
      <c r="C148" s="58"/>
      <c r="D148" s="59"/>
      <c r="E148" s="59"/>
    </row>
    <row r="149" ht="26.1" customHeight="1">
      <c r="A149" s="119"/>
      <c r="B149" s="114"/>
      <c r="C149" s="63"/>
      <c r="D149" s="64"/>
      <c r="E149" s="64"/>
    </row>
    <row r="150" ht="15" customHeight="1">
      <c r="A150" s="15">
        <v>16</v>
      </c>
      <c r="B150" t="s" s="115">
        <v>43</v>
      </c>
      <c r="C150" t="s" s="17">
        <v>44</v>
      </c>
      <c r="D150" t="s" s="18">
        <v>45</v>
      </c>
      <c r="E150" t="s" s="18">
        <v>46</v>
      </c>
    </row>
    <row r="151" ht="15" customHeight="1">
      <c r="A151" s="19"/>
      <c r="B151" s="120"/>
      <c r="C151" s="21"/>
      <c r="D151" s="22"/>
      <c r="E151" s="22"/>
    </row>
    <row r="152" ht="15" customHeight="1">
      <c r="A152" s="19"/>
      <c r="B152" s="120"/>
      <c r="C152" s="21"/>
      <c r="D152" s="22"/>
      <c r="E152" s="22"/>
    </row>
    <row r="153" ht="15" customHeight="1">
      <c r="A153" s="19"/>
      <c r="B153" s="120"/>
      <c r="C153" s="21"/>
      <c r="D153" s="22"/>
      <c r="E153" s="22"/>
    </row>
    <row r="154" ht="15" customHeight="1">
      <c r="A154" s="19"/>
      <c r="B154" s="120"/>
      <c r="C154" s="21"/>
      <c r="D154" s="22"/>
      <c r="E154" s="22"/>
    </row>
    <row r="155" ht="15" customHeight="1">
      <c r="A155" s="19"/>
      <c r="B155" s="120"/>
      <c r="C155" s="21"/>
      <c r="D155" s="22"/>
      <c r="E155" s="22"/>
    </row>
    <row r="156" ht="13.75" customHeight="1">
      <c r="A156" s="19"/>
      <c r="B156" s="120"/>
      <c r="C156" s="21"/>
      <c r="D156" s="22"/>
      <c r="E156" s="22"/>
    </row>
    <row r="157" ht="13.75" customHeight="1">
      <c r="A157" s="19"/>
      <c r="B157" s="120"/>
      <c r="C157" s="21"/>
      <c r="D157" s="22"/>
      <c r="E157" s="22"/>
    </row>
    <row r="158" ht="13.75" customHeight="1">
      <c r="A158" s="19"/>
      <c r="B158" s="120"/>
      <c r="C158" s="21"/>
      <c r="D158" s="22"/>
      <c r="E158" s="22"/>
    </row>
    <row r="159" ht="13.75" customHeight="1">
      <c r="A159" s="19"/>
      <c r="B159" s="120"/>
      <c r="C159" s="21"/>
      <c r="D159" s="22"/>
      <c r="E159" s="22"/>
    </row>
    <row r="160" ht="13.75" customHeight="1">
      <c r="A160" s="19"/>
      <c r="B160" s="120"/>
      <c r="C160" s="21"/>
      <c r="D160" s="22"/>
      <c r="E160" s="22"/>
    </row>
    <row r="161" ht="13.55" customHeight="1">
      <c r="A161" s="23"/>
      <c r="B161" s="114"/>
      <c r="C161" s="63"/>
      <c r="D161" s="64"/>
      <c r="E161" s="64"/>
    </row>
    <row r="162" ht="13.55" customHeight="1">
      <c r="A162" s="121"/>
      <c r="B162" s="122"/>
      <c r="C162" s="123"/>
      <c r="D162" s="123"/>
      <c r="E162" s="123"/>
    </row>
    <row r="163" ht="13.55" customHeight="1">
      <c r="A163" s="124"/>
      <c r="B163" s="125"/>
      <c r="C163" s="59"/>
      <c r="D163" s="59"/>
      <c r="E163" s="59"/>
    </row>
    <row r="164" ht="13.55" customHeight="1">
      <c r="A164" s="124"/>
      <c r="B164" s="125"/>
      <c r="C164" s="59"/>
      <c r="D164" s="59"/>
      <c r="E164" s="59"/>
    </row>
    <row r="165" ht="13.55" customHeight="1">
      <c r="A165" s="124"/>
      <c r="B165" s="125"/>
      <c r="C165" s="59"/>
      <c r="D165" s="59"/>
      <c r="E165" s="59"/>
    </row>
    <row r="166" ht="13.55" customHeight="1">
      <c r="A166" s="124"/>
      <c r="B166" s="125"/>
      <c r="C166" s="59"/>
      <c r="D166" s="59"/>
      <c r="E166" s="59"/>
    </row>
    <row r="167" ht="13.55" customHeight="1">
      <c r="A167" s="124"/>
      <c r="B167" s="125"/>
      <c r="C167" s="59"/>
      <c r="D167" s="59"/>
      <c r="E167" s="59"/>
    </row>
    <row r="168" ht="13.55" customHeight="1">
      <c r="A168" s="124"/>
      <c r="B168" s="125"/>
      <c r="C168" s="59"/>
      <c r="D168" s="59"/>
      <c r="E168" s="59"/>
    </row>
    <row r="169" ht="13.55" customHeight="1">
      <c r="A169" s="124"/>
      <c r="B169" s="125"/>
      <c r="C169" s="59"/>
      <c r="D169" s="59"/>
      <c r="E169" s="59"/>
    </row>
    <row r="170" ht="13.55" customHeight="1">
      <c r="A170" s="124"/>
      <c r="B170" s="125"/>
      <c r="C170" s="59"/>
      <c r="D170" s="59"/>
      <c r="E170" s="59"/>
    </row>
    <row r="171" ht="13.55" customHeight="1">
      <c r="A171" s="124"/>
      <c r="B171" s="125"/>
      <c r="C171" s="59"/>
      <c r="D171" s="59"/>
      <c r="E171" s="59"/>
    </row>
    <row r="172" ht="13.55" customHeight="1">
      <c r="A172" s="124"/>
      <c r="B172" s="125"/>
      <c r="C172" s="59"/>
      <c r="D172" s="59"/>
      <c r="E172" s="59"/>
    </row>
    <row r="173" ht="13.55" customHeight="1">
      <c r="A173" s="124"/>
      <c r="B173" s="125"/>
      <c r="C173" s="59"/>
      <c r="D173" s="59"/>
      <c r="E173" s="59"/>
    </row>
    <row r="174" ht="13.55" customHeight="1">
      <c r="A174" s="124"/>
      <c r="B174" s="125"/>
      <c r="C174" s="59"/>
      <c r="D174" s="59"/>
      <c r="E174" s="59"/>
    </row>
    <row r="175" ht="13.55" customHeight="1">
      <c r="A175" s="124"/>
      <c r="B175" s="125"/>
      <c r="C175" s="59"/>
      <c r="D175" s="59"/>
      <c r="E175" s="59"/>
    </row>
    <row r="176" ht="13.55" customHeight="1">
      <c r="A176" s="124"/>
      <c r="B176" s="125"/>
      <c r="C176" s="59"/>
      <c r="D176" s="59"/>
      <c r="E176" s="59"/>
    </row>
    <row r="177" ht="13.55" customHeight="1">
      <c r="A177" s="124"/>
      <c r="B177" s="125"/>
      <c r="C177" s="59"/>
      <c r="D177" s="59"/>
      <c r="E177" s="59"/>
    </row>
    <row r="178" ht="13.55" customHeight="1">
      <c r="A178" s="124"/>
      <c r="B178" s="125"/>
      <c r="C178" s="59"/>
      <c r="D178" s="59"/>
      <c r="E178" s="59"/>
    </row>
  </sheetData>
  <mergeCells count="19">
    <mergeCell ref="D2:D4"/>
    <mergeCell ref="A56:A58"/>
    <mergeCell ref="A70:A80"/>
    <mergeCell ref="A81:A82"/>
    <mergeCell ref="A90:A92"/>
    <mergeCell ref="B2:B4"/>
    <mergeCell ref="A5:A12"/>
    <mergeCell ref="A13:A18"/>
    <mergeCell ref="A19:A42"/>
    <mergeCell ref="A43:A47"/>
    <mergeCell ref="A48:A55"/>
    <mergeCell ref="B119:B125"/>
    <mergeCell ref="A126:A136"/>
    <mergeCell ref="A137:A142"/>
    <mergeCell ref="A150:A155"/>
    <mergeCell ref="C2:C4"/>
    <mergeCell ref="A110:A118"/>
    <mergeCell ref="A119:A125"/>
    <mergeCell ref="E2:E4"/>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CL180"/>
  <sheetViews>
    <sheetView workbookViewId="0" showGridLines="0" defaultGridColor="1"/>
  </sheetViews>
  <sheetFormatPr defaultColWidth="8.83333" defaultRowHeight="28.5" customHeight="1" outlineLevelRow="0" outlineLevelCol="0"/>
  <cols>
    <col min="1" max="1" width="6.35156" style="126" customWidth="1"/>
    <col min="2" max="2" width="13.5" style="126" customWidth="1"/>
    <col min="3" max="6" width="8.85156" style="126" customWidth="1"/>
    <col min="7" max="7" width="13.8516" style="126" customWidth="1"/>
    <col min="8" max="15" width="8.85156" style="126" customWidth="1"/>
    <col min="16" max="16" width="12.8516" style="126" customWidth="1"/>
    <col min="17" max="28" width="8.85156" style="126" customWidth="1"/>
    <col min="29" max="29" width="11.6719" style="126" customWidth="1"/>
    <col min="30" max="31" width="8.85156" style="126" customWidth="1"/>
    <col min="32" max="32" width="11.6719" style="126" customWidth="1"/>
    <col min="33" max="33" width="15.6719" style="126" customWidth="1"/>
    <col min="34" max="34" width="14.1719" style="126" customWidth="1"/>
    <col min="35" max="35" width="10.1719" style="126" customWidth="1"/>
    <col min="36" max="36" width="20.3516" style="126" customWidth="1"/>
    <col min="37" max="37" width="8.35156" style="126" customWidth="1"/>
    <col min="38" max="38" width="11.1719" style="126" customWidth="1"/>
    <col min="39" max="39" width="11.8516" style="126" customWidth="1"/>
    <col min="40" max="40" width="12.6719" style="126" customWidth="1"/>
    <col min="41" max="41" width="8.85156" style="126" customWidth="1"/>
    <col min="42" max="42" width="19.5" style="126" customWidth="1"/>
    <col min="43" max="43" width="13.5" style="126" customWidth="1"/>
    <col min="44" max="44" width="9.67188" style="126" customWidth="1"/>
    <col min="45" max="45" width="19" style="126" customWidth="1"/>
    <col min="46" max="46" width="8.17188" style="126" customWidth="1"/>
    <col min="47" max="47" width="11.6719" style="126" customWidth="1"/>
    <col min="48" max="48" width="14.6719" style="126" customWidth="1"/>
    <col min="49" max="50" width="8.85156" style="126" customWidth="1"/>
    <col min="51" max="51" width="14.5" style="126" customWidth="1"/>
    <col min="52" max="53" width="8.85156" style="126" customWidth="1"/>
    <col min="54" max="54" width="29.6719" style="126" customWidth="1"/>
    <col min="55" max="55" width="8.85156" style="126" customWidth="1"/>
    <col min="56" max="56" width="11.8516" style="126" customWidth="1"/>
    <col min="57" max="57" width="8.85156" style="126" customWidth="1"/>
    <col min="58" max="58" width="10.5" style="126" customWidth="1"/>
    <col min="59" max="59" width="26" style="126" customWidth="1"/>
    <col min="60" max="60" width="8.85156" style="126" customWidth="1"/>
    <col min="61" max="61" width="15.5" style="126" customWidth="1"/>
    <col min="62" max="62" width="23.5" style="126" customWidth="1"/>
    <col min="63" max="63" width="8.85156" style="126" customWidth="1"/>
    <col min="64" max="64" width="19.3516" style="126" customWidth="1"/>
    <col min="65" max="65" width="15.5" style="126" customWidth="1"/>
    <col min="66" max="66" width="16.5" style="126" customWidth="1"/>
    <col min="67" max="67" width="8.85156" style="126" customWidth="1"/>
    <col min="68" max="68" width="15.6719" style="126" customWidth="1"/>
    <col min="69" max="69" width="11.3516" style="126" customWidth="1"/>
    <col min="70" max="70" width="15.8516" style="126" customWidth="1"/>
    <col min="71" max="71" width="12.3516" style="126" customWidth="1"/>
    <col min="72" max="72" width="8.85156" style="126" customWidth="1"/>
    <col min="73" max="73" width="15.1719" style="126" customWidth="1"/>
    <col min="74" max="74" width="25.5" style="126" customWidth="1"/>
    <col min="75" max="75" width="25.8516" style="126" customWidth="1"/>
    <col min="76" max="76" width="10.8516" style="126" customWidth="1"/>
    <col min="77" max="77" width="8.85156" style="126" customWidth="1"/>
    <col min="78" max="79" width="13.1719" style="126" customWidth="1"/>
    <col min="80" max="81" width="13.8516" style="126" customWidth="1"/>
    <col min="82" max="83" width="8.85156" style="126" customWidth="1"/>
    <col min="84" max="84" width="41.1719" style="126" customWidth="1"/>
    <col min="85" max="86" width="8.85156" style="126" customWidth="1"/>
    <col min="87" max="87" width="17.3516" style="126" customWidth="1"/>
    <col min="88" max="90" width="8.85156" style="126" customWidth="1"/>
    <col min="91" max="16384" width="8.85156" style="126" customWidth="1"/>
  </cols>
  <sheetData>
    <row r="1" ht="27" customHeight="1">
      <c r="A1" s="2"/>
      <c r="B1" s="127"/>
      <c r="C1" t="s" s="128">
        <v>47</v>
      </c>
      <c r="D1" t="s" s="128">
        <v>48</v>
      </c>
      <c r="E1" t="s" s="129">
        <v>49</v>
      </c>
      <c r="F1" s="130"/>
      <c r="G1" s="131"/>
      <c r="H1" t="s" s="132">
        <v>50</v>
      </c>
      <c r="I1" s="133"/>
      <c r="J1" s="134"/>
      <c r="K1" t="s" s="132">
        <v>51</v>
      </c>
      <c r="L1" s="133"/>
      <c r="M1" s="134"/>
      <c r="N1" t="s" s="132">
        <v>52</v>
      </c>
      <c r="O1" s="133"/>
      <c r="P1" s="134"/>
      <c r="Q1" t="s" s="129">
        <v>53</v>
      </c>
      <c r="R1" s="130"/>
      <c r="S1" s="131"/>
      <c r="T1" t="s" s="129">
        <v>54</v>
      </c>
      <c r="U1" s="130"/>
      <c r="V1" s="131"/>
      <c r="W1" t="s" s="129">
        <v>55</v>
      </c>
      <c r="X1" s="130"/>
      <c r="Y1" s="131"/>
      <c r="Z1" t="s" s="129">
        <v>56</v>
      </c>
      <c r="AA1" s="130"/>
      <c r="AB1" s="131"/>
      <c r="AC1" t="s" s="129">
        <v>57</v>
      </c>
      <c r="AD1" s="131"/>
      <c r="AE1" t="s" s="129">
        <v>58</v>
      </c>
      <c r="AF1" s="131"/>
      <c r="AG1" t="s" s="135">
        <v>59</v>
      </c>
      <c r="AH1" t="s" s="135">
        <v>60</v>
      </c>
      <c r="AI1" t="s" s="135">
        <v>61</v>
      </c>
      <c r="AJ1" t="s" s="136">
        <v>62</v>
      </c>
      <c r="AK1" s="137"/>
      <c r="AL1" s="138"/>
      <c r="AM1" t="s" s="136">
        <v>63</v>
      </c>
      <c r="AN1" t="s" s="136">
        <v>64</v>
      </c>
      <c r="AO1" t="s" s="136">
        <v>65</v>
      </c>
      <c r="AP1" t="s" s="136">
        <v>66</v>
      </c>
      <c r="AQ1" t="s" s="129">
        <v>67</v>
      </c>
      <c r="AR1" t="s" s="139">
        <v>68</v>
      </c>
      <c r="AS1" t="s" s="139">
        <v>69</v>
      </c>
      <c r="AT1" s="130"/>
      <c r="AU1" s="140"/>
      <c r="AV1" t="s" s="139">
        <v>70</v>
      </c>
      <c r="AW1" t="s" s="139">
        <v>71</v>
      </c>
      <c r="AX1" t="s" s="139">
        <v>72</v>
      </c>
      <c r="AY1" t="s" s="139">
        <v>73</v>
      </c>
      <c r="AZ1" t="s" s="139">
        <v>74</v>
      </c>
      <c r="BA1" t="s" s="139">
        <v>75</v>
      </c>
      <c r="BB1" t="s" s="139">
        <v>76</v>
      </c>
      <c r="BC1" t="s" s="139">
        <v>77</v>
      </c>
      <c r="BD1" t="s" s="139">
        <v>78</v>
      </c>
      <c r="BE1" t="s" s="139">
        <v>79</v>
      </c>
      <c r="BF1" t="s" s="139">
        <v>80</v>
      </c>
      <c r="BG1" t="s" s="139">
        <v>81</v>
      </c>
      <c r="BH1" t="s" s="139">
        <v>82</v>
      </c>
      <c r="BI1" t="s" s="139">
        <v>83</v>
      </c>
      <c r="BJ1" t="s" s="139">
        <v>84</v>
      </c>
      <c r="BK1" t="s" s="139">
        <v>85</v>
      </c>
      <c r="BL1" t="s" s="139">
        <v>86</v>
      </c>
      <c r="BM1" t="s" s="139">
        <v>87</v>
      </c>
      <c r="BN1" t="s" s="139">
        <v>88</v>
      </c>
      <c r="BO1" t="s" s="139">
        <v>89</v>
      </c>
      <c r="BP1" t="s" s="139">
        <v>90</v>
      </c>
      <c r="BQ1" t="s" s="139">
        <v>91</v>
      </c>
      <c r="BR1" t="s" s="139">
        <v>92</v>
      </c>
      <c r="BS1" t="s" s="139">
        <v>93</v>
      </c>
      <c r="BT1" t="s" s="139">
        <v>94</v>
      </c>
      <c r="BU1" t="s" s="139">
        <v>95</v>
      </c>
      <c r="BV1" t="s" s="139">
        <v>96</v>
      </c>
      <c r="BW1" t="s" s="139">
        <v>97</v>
      </c>
      <c r="BX1" t="s" s="139">
        <v>98</v>
      </c>
      <c r="BY1" t="s" s="139">
        <v>99</v>
      </c>
      <c r="BZ1" t="s" s="139">
        <v>100</v>
      </c>
      <c r="CA1" s="141"/>
      <c r="CB1" t="s" s="139">
        <v>101</v>
      </c>
      <c r="CC1" s="141"/>
      <c r="CD1" t="s" s="139">
        <v>102</v>
      </c>
      <c r="CE1" t="s" s="139">
        <v>103</v>
      </c>
      <c r="CF1" t="s" s="139">
        <v>104</v>
      </c>
      <c r="CG1" t="s" s="139">
        <v>105</v>
      </c>
      <c r="CH1" t="s" s="139">
        <v>106</v>
      </c>
      <c r="CI1" t="s" s="139">
        <v>107</v>
      </c>
      <c r="CJ1" t="s" s="139">
        <v>108</v>
      </c>
      <c r="CK1" t="s" s="139">
        <v>109</v>
      </c>
      <c r="CL1" t="s" s="139">
        <v>110</v>
      </c>
    </row>
    <row r="2" ht="36" customHeight="1">
      <c r="A2" s="6"/>
      <c r="B2" t="s" s="7">
        <v>2</v>
      </c>
      <c r="C2" t="s" s="142">
        <v>111</v>
      </c>
      <c r="D2" s="143"/>
      <c r="E2" s="143"/>
      <c r="F2" s="143"/>
      <c r="G2" s="143"/>
      <c r="H2" s="143"/>
      <c r="I2" s="143"/>
      <c r="J2" s="143"/>
      <c r="K2" s="143"/>
      <c r="L2" s="143"/>
      <c r="M2" s="144"/>
      <c r="N2" t="s" s="145">
        <v>112</v>
      </c>
      <c r="O2" s="146"/>
      <c r="P2" s="146"/>
      <c r="Q2" s="146"/>
      <c r="R2" s="146"/>
      <c r="S2" s="146"/>
      <c r="T2" s="146"/>
      <c r="U2" s="146"/>
      <c r="V2" s="146"/>
      <c r="W2" s="146"/>
      <c r="X2" s="146"/>
      <c r="Y2" s="146"/>
      <c r="Z2" s="146"/>
      <c r="AA2" s="146"/>
      <c r="AB2" s="146"/>
      <c r="AC2" s="146"/>
      <c r="AD2" s="146"/>
      <c r="AE2" s="146"/>
      <c r="AF2" s="146"/>
      <c r="AG2" s="146"/>
      <c r="AH2" t="s" s="142">
        <v>113</v>
      </c>
      <c r="AI2" s="143"/>
      <c r="AJ2" s="143"/>
      <c r="AK2" s="143"/>
      <c r="AL2" s="143"/>
      <c r="AM2" s="143"/>
      <c r="AN2" s="144"/>
      <c r="AO2" t="s" s="7">
        <v>114</v>
      </c>
      <c r="AP2" s="10"/>
      <c r="AQ2" t="s" s="147">
        <v>115</v>
      </c>
      <c r="AR2" s="148"/>
      <c r="AS2" s="148"/>
      <c r="AT2" s="148"/>
      <c r="AU2" s="148"/>
      <c r="AV2" s="148"/>
      <c r="AW2" s="149"/>
      <c r="AX2" t="s" s="150">
        <v>116</v>
      </c>
      <c r="AY2" s="151"/>
      <c r="AZ2" t="s" s="7">
        <v>117</v>
      </c>
      <c r="BA2" s="10"/>
      <c r="BB2" s="10"/>
      <c r="BC2" s="10"/>
      <c r="BD2" s="10"/>
      <c r="BE2" s="10"/>
      <c r="BF2" t="s" s="7">
        <v>118</v>
      </c>
      <c r="BG2" s="10"/>
      <c r="BH2" s="10"/>
      <c r="BI2" t="s" s="7">
        <v>119</v>
      </c>
      <c r="BJ2" s="10"/>
      <c r="BK2" t="s" s="7">
        <v>120</v>
      </c>
      <c r="BL2" s="10"/>
      <c r="BM2" t="s" s="150">
        <v>121</v>
      </c>
      <c r="BN2" s="151"/>
      <c r="BO2" t="s" s="150">
        <v>122</v>
      </c>
      <c r="BP2" s="151"/>
      <c r="BQ2" t="s" s="7">
        <v>123</v>
      </c>
      <c r="BR2" s="10"/>
      <c r="BS2" s="10"/>
      <c r="BT2" t="s" s="7">
        <v>124</v>
      </c>
      <c r="BU2" s="10"/>
      <c r="BV2" t="s" s="7">
        <v>125</v>
      </c>
      <c r="BW2" s="10"/>
      <c r="BX2" t="s" s="150">
        <v>126</v>
      </c>
      <c r="BY2" s="151"/>
      <c r="BZ2" s="151"/>
      <c r="CA2" s="151"/>
      <c r="CB2" s="151"/>
      <c r="CC2" s="151"/>
      <c r="CD2" s="151"/>
      <c r="CE2" s="151"/>
      <c r="CF2" s="151"/>
      <c r="CG2" s="151"/>
      <c r="CH2" t="s" s="150">
        <v>127</v>
      </c>
      <c r="CI2" s="151"/>
      <c r="CJ2" t="s" s="150">
        <v>128</v>
      </c>
      <c r="CK2" s="151"/>
      <c r="CL2" t="s" s="150">
        <v>129</v>
      </c>
    </row>
    <row r="3" ht="27" customHeight="1">
      <c r="A3" s="6"/>
      <c r="B3" s="10"/>
      <c r="C3" t="s" s="152">
        <v>130</v>
      </c>
      <c r="D3" t="s" s="152">
        <v>131</v>
      </c>
      <c r="E3" t="s" s="153">
        <v>132</v>
      </c>
      <c r="F3" s="154"/>
      <c r="G3" s="155"/>
      <c r="H3" t="s" s="142">
        <v>133</v>
      </c>
      <c r="I3" s="143"/>
      <c r="J3" s="144"/>
      <c r="K3" t="s" s="142">
        <v>134</v>
      </c>
      <c r="L3" s="143"/>
      <c r="M3" s="144"/>
      <c r="N3" t="s" s="7">
        <v>135</v>
      </c>
      <c r="O3" s="10"/>
      <c r="P3" s="10"/>
      <c r="Q3" t="s" s="7">
        <v>136</v>
      </c>
      <c r="R3" s="10"/>
      <c r="S3" s="10"/>
      <c r="T3" t="s" s="7">
        <v>137</v>
      </c>
      <c r="U3" s="10"/>
      <c r="V3" s="10"/>
      <c r="W3" t="s" s="7">
        <v>138</v>
      </c>
      <c r="X3" s="10"/>
      <c r="Y3" s="10"/>
      <c r="Z3" t="s" s="7">
        <v>139</v>
      </c>
      <c r="AA3" s="10"/>
      <c r="AB3" s="10"/>
      <c r="AC3" t="s" s="7">
        <v>140</v>
      </c>
      <c r="AD3" s="10"/>
      <c r="AE3" s="10"/>
      <c r="AF3" s="10"/>
      <c r="AG3" t="s" s="7">
        <v>141</v>
      </c>
      <c r="AH3" t="s" s="152">
        <v>142</v>
      </c>
      <c r="AI3" t="s" s="152">
        <v>143</v>
      </c>
      <c r="AJ3" t="s" s="156">
        <v>144</v>
      </c>
      <c r="AK3" s="157"/>
      <c r="AL3" t="s" s="156">
        <v>145</v>
      </c>
      <c r="AM3" t="s" s="152">
        <v>146</v>
      </c>
      <c r="AN3" t="s" s="152">
        <v>147</v>
      </c>
      <c r="AO3" t="s" s="152">
        <v>148</v>
      </c>
      <c r="AP3" t="s" s="7">
        <v>149</v>
      </c>
      <c r="AQ3" t="s" s="152">
        <v>150</v>
      </c>
      <c r="AR3" t="s" s="152">
        <v>151</v>
      </c>
      <c r="AS3" t="s" s="156">
        <v>144</v>
      </c>
      <c r="AT3" s="157"/>
      <c r="AU3" t="s" s="156">
        <v>145</v>
      </c>
      <c r="AV3" t="s" s="152">
        <v>146</v>
      </c>
      <c r="AW3" t="s" s="152">
        <v>147</v>
      </c>
      <c r="AX3" t="s" s="7">
        <v>148</v>
      </c>
      <c r="AY3" t="s" s="7">
        <v>149</v>
      </c>
      <c r="AZ3" t="s" s="152">
        <v>152</v>
      </c>
      <c r="BA3" t="s" s="152">
        <v>153</v>
      </c>
      <c r="BB3" t="s" s="7">
        <v>154</v>
      </c>
      <c r="BC3" t="s" s="7">
        <v>155</v>
      </c>
      <c r="BD3" t="s" s="7">
        <v>156</v>
      </c>
      <c r="BE3" t="s" s="7">
        <v>157</v>
      </c>
      <c r="BF3" t="s" s="7">
        <v>158</v>
      </c>
      <c r="BG3" t="s" s="7">
        <v>159</v>
      </c>
      <c r="BH3" t="s" s="7">
        <v>160</v>
      </c>
      <c r="BI3" t="s" s="7">
        <v>161</v>
      </c>
      <c r="BJ3" t="s" s="7">
        <v>162</v>
      </c>
      <c r="BK3" t="s" s="7">
        <v>163</v>
      </c>
      <c r="BL3" t="s" s="7">
        <v>164</v>
      </c>
      <c r="BM3" t="s" s="7">
        <v>165</v>
      </c>
      <c r="BN3" t="s" s="7">
        <v>166</v>
      </c>
      <c r="BO3" t="s" s="152">
        <v>148</v>
      </c>
      <c r="BP3" t="s" s="7">
        <v>149</v>
      </c>
      <c r="BQ3" t="s" s="7">
        <v>167</v>
      </c>
      <c r="BR3" t="s" s="7">
        <v>168</v>
      </c>
      <c r="BS3" t="s" s="158">
        <v>169</v>
      </c>
      <c r="BT3" t="s" s="152">
        <v>148</v>
      </c>
      <c r="BU3" t="s" s="7">
        <v>149</v>
      </c>
      <c r="BV3" t="s" s="7">
        <v>170</v>
      </c>
      <c r="BW3" t="s" s="7">
        <v>171</v>
      </c>
      <c r="BX3" t="s" s="7">
        <v>172</v>
      </c>
      <c r="BY3" t="s" s="7">
        <v>168</v>
      </c>
      <c r="BZ3" t="s" s="158">
        <v>173</v>
      </c>
      <c r="CA3" t="s" s="156">
        <v>174</v>
      </c>
      <c r="CB3" t="s" s="158">
        <v>175</v>
      </c>
      <c r="CC3" t="s" s="156">
        <v>174</v>
      </c>
      <c r="CD3" t="s" s="7">
        <v>176</v>
      </c>
      <c r="CE3" t="s" s="7">
        <v>177</v>
      </c>
      <c r="CF3" t="s" s="7">
        <v>178</v>
      </c>
      <c r="CG3" t="s" s="7">
        <v>179</v>
      </c>
      <c r="CH3" t="s" s="7">
        <v>148</v>
      </c>
      <c r="CI3" t="s" s="7">
        <v>149</v>
      </c>
      <c r="CJ3" t="s" s="7">
        <v>180</v>
      </c>
      <c r="CK3" t="s" s="7">
        <v>181</v>
      </c>
      <c r="CL3" t="s" s="7">
        <v>182</v>
      </c>
    </row>
    <row r="4" ht="48" customHeight="1">
      <c r="A4" s="13"/>
      <c r="B4" s="10"/>
      <c r="C4" s="159"/>
      <c r="D4" s="159"/>
      <c r="E4" t="s" s="7">
        <v>183</v>
      </c>
      <c r="F4" t="s" s="7">
        <v>184</v>
      </c>
      <c r="G4" t="s" s="7">
        <v>185</v>
      </c>
      <c r="H4" t="s" s="7">
        <v>133</v>
      </c>
      <c r="I4" t="s" s="7">
        <v>184</v>
      </c>
      <c r="J4" t="s" s="7">
        <v>185</v>
      </c>
      <c r="K4" t="s" s="7">
        <v>183</v>
      </c>
      <c r="L4" t="s" s="7">
        <v>184</v>
      </c>
      <c r="M4" t="s" s="7">
        <v>185</v>
      </c>
      <c r="N4" t="s" s="7">
        <v>186</v>
      </c>
      <c r="O4" t="s" s="7">
        <v>184</v>
      </c>
      <c r="P4" t="s" s="7">
        <v>185</v>
      </c>
      <c r="Q4" t="s" s="7">
        <v>186</v>
      </c>
      <c r="R4" t="s" s="7">
        <v>184</v>
      </c>
      <c r="S4" t="s" s="7">
        <v>185</v>
      </c>
      <c r="T4" t="s" s="7">
        <v>186</v>
      </c>
      <c r="U4" t="s" s="7">
        <v>184</v>
      </c>
      <c r="V4" t="s" s="7">
        <v>185</v>
      </c>
      <c r="W4" t="s" s="7">
        <v>186</v>
      </c>
      <c r="X4" t="s" s="7">
        <v>184</v>
      </c>
      <c r="Y4" t="s" s="7">
        <v>185</v>
      </c>
      <c r="Z4" t="s" s="7">
        <v>186</v>
      </c>
      <c r="AA4" t="s" s="7">
        <v>184</v>
      </c>
      <c r="AB4" t="s" s="7">
        <v>185</v>
      </c>
      <c r="AC4" t="s" s="158">
        <v>187</v>
      </c>
      <c r="AD4" t="s" s="158">
        <v>188</v>
      </c>
      <c r="AE4" t="s" s="158">
        <v>189</v>
      </c>
      <c r="AF4" t="s" s="158">
        <v>190</v>
      </c>
      <c r="AG4" s="10"/>
      <c r="AH4" s="160"/>
      <c r="AI4" s="160"/>
      <c r="AJ4" s="161"/>
      <c r="AK4" s="161"/>
      <c r="AL4" s="162"/>
      <c r="AM4" s="160"/>
      <c r="AN4" s="160"/>
      <c r="AO4" s="160"/>
      <c r="AP4" s="10"/>
      <c r="AQ4" s="160"/>
      <c r="AR4" s="160"/>
      <c r="AS4" s="161"/>
      <c r="AT4" s="161"/>
      <c r="AU4" s="162"/>
      <c r="AV4" s="160"/>
      <c r="AW4" s="160"/>
      <c r="AX4" s="10"/>
      <c r="AY4" s="10"/>
      <c r="AZ4" s="160"/>
      <c r="BA4" s="160"/>
      <c r="BB4" s="10"/>
      <c r="BC4" s="10"/>
      <c r="BD4" s="10"/>
      <c r="BE4" s="10"/>
      <c r="BF4" s="10"/>
      <c r="BG4" s="10"/>
      <c r="BH4" s="10"/>
      <c r="BI4" s="10"/>
      <c r="BJ4" s="10"/>
      <c r="BK4" s="10"/>
      <c r="BL4" s="10"/>
      <c r="BM4" s="10"/>
      <c r="BN4" s="10"/>
      <c r="BO4" s="160"/>
      <c r="BP4" s="10"/>
      <c r="BQ4" s="10"/>
      <c r="BR4" s="10"/>
      <c r="BS4" s="163"/>
      <c r="BT4" s="160"/>
      <c r="BU4" s="10"/>
      <c r="BV4" s="10"/>
      <c r="BW4" s="10"/>
      <c r="BX4" s="10"/>
      <c r="BY4" s="10"/>
      <c r="BZ4" s="163"/>
      <c r="CA4" s="164"/>
      <c r="CB4" s="163"/>
      <c r="CC4" s="164"/>
      <c r="CD4" s="10"/>
      <c r="CE4" s="10"/>
      <c r="CF4" s="10"/>
      <c r="CG4" s="10"/>
      <c r="CH4" s="10"/>
      <c r="CI4" s="10"/>
      <c r="CJ4" s="10"/>
      <c r="CK4" s="10"/>
      <c r="CL4" s="10"/>
    </row>
    <row r="5" ht="15" customHeight="1">
      <c r="A5" s="15">
        <v>1</v>
      </c>
      <c r="B5" t="s" s="16">
        <v>6</v>
      </c>
      <c r="C5" t="s" s="17">
        <v>191</v>
      </c>
      <c r="D5" s="165">
        <v>5</v>
      </c>
      <c r="E5" s="165">
        <v>3500</v>
      </c>
      <c r="F5" s="166">
        <v>2017</v>
      </c>
      <c r="G5" t="s" s="18">
        <v>192</v>
      </c>
      <c r="H5" s="165">
        <v>1200</v>
      </c>
      <c r="I5" s="166">
        <v>2017</v>
      </c>
      <c r="J5" t="s" s="18">
        <v>193</v>
      </c>
      <c r="K5" t="s" s="18">
        <v>194</v>
      </c>
      <c r="L5" s="167">
        <v>2017</v>
      </c>
      <c r="M5" t="s" s="18">
        <v>195</v>
      </c>
      <c r="N5" t="s" s="18">
        <v>196</v>
      </c>
      <c r="O5" s="168"/>
      <c r="P5" s="169"/>
      <c r="Q5" t="s" s="18">
        <v>197</v>
      </c>
      <c r="R5" s="168"/>
      <c r="S5" s="169"/>
      <c r="T5" t="s" s="18">
        <v>197</v>
      </c>
      <c r="U5" s="168"/>
      <c r="V5" s="169"/>
      <c r="W5" t="s" s="18">
        <v>197</v>
      </c>
      <c r="X5" s="168"/>
      <c r="Y5" s="169"/>
      <c r="Z5" t="s" s="18">
        <v>197</v>
      </c>
      <c r="AA5" s="169"/>
      <c r="AB5" s="168"/>
      <c r="AC5" t="s" s="170">
        <v>198</v>
      </c>
      <c r="AD5" t="s" s="170">
        <v>198</v>
      </c>
      <c r="AE5" t="s" s="170">
        <v>199</v>
      </c>
      <c r="AF5" t="s" s="170">
        <v>199</v>
      </c>
      <c r="AG5" t="s" s="18">
        <v>197</v>
      </c>
      <c r="AH5" t="s" s="171">
        <v>200</v>
      </c>
      <c r="AI5" s="167">
        <v>100</v>
      </c>
      <c r="AJ5" s="172">
        <v>0</v>
      </c>
      <c r="AK5" s="168"/>
      <c r="AL5" t="s" s="171">
        <v>201</v>
      </c>
      <c r="AM5" s="166">
        <v>3</v>
      </c>
      <c r="AN5" s="167">
        <v>4</v>
      </c>
      <c r="AO5" s="169"/>
      <c r="AP5" t="s" s="173">
        <v>202</v>
      </c>
      <c r="AQ5" t="s" s="171">
        <v>200</v>
      </c>
      <c r="AR5" s="167">
        <v>100</v>
      </c>
      <c r="AS5" t="s" s="171">
        <v>203</v>
      </c>
      <c r="AT5" s="168"/>
      <c r="AU5" t="s" s="171">
        <v>201</v>
      </c>
      <c r="AV5" s="167">
        <v>3</v>
      </c>
      <c r="AW5" s="167">
        <v>4</v>
      </c>
      <c r="AX5" t="s" s="18">
        <v>204</v>
      </c>
      <c r="AY5" t="s" s="18">
        <v>202</v>
      </c>
      <c r="AZ5" s="167">
        <v>1</v>
      </c>
      <c r="BA5" s="167">
        <v>2</v>
      </c>
      <c r="BB5" t="s" s="18">
        <v>197</v>
      </c>
      <c r="BC5" s="167">
        <v>2</v>
      </c>
      <c r="BD5" t="s" s="171">
        <v>197</v>
      </c>
      <c r="BE5" t="s" s="171">
        <v>197</v>
      </c>
      <c r="BF5" s="167">
        <v>2</v>
      </c>
      <c r="BG5" t="s" s="18">
        <v>197</v>
      </c>
      <c r="BH5" t="s" s="171">
        <v>197</v>
      </c>
      <c r="BI5" s="167">
        <v>2</v>
      </c>
      <c r="BJ5" t="s" s="18">
        <v>197</v>
      </c>
      <c r="BK5" s="167">
        <v>1</v>
      </c>
      <c r="BL5" t="s" s="171">
        <v>205</v>
      </c>
      <c r="BM5" t="s" s="171">
        <v>200</v>
      </c>
      <c r="BN5" s="167">
        <v>90</v>
      </c>
      <c r="BO5" s="169"/>
      <c r="BP5" t="s" s="18">
        <v>206</v>
      </c>
      <c r="BQ5" t="s" s="171">
        <v>200</v>
      </c>
      <c r="BR5" s="167">
        <v>100</v>
      </c>
      <c r="BS5" t="s" s="171">
        <v>197</v>
      </c>
      <c r="BT5" s="169"/>
      <c r="BU5" t="s" s="18">
        <v>202</v>
      </c>
      <c r="BV5" t="s" s="18">
        <v>197</v>
      </c>
      <c r="BW5" t="s" s="18">
        <v>197</v>
      </c>
      <c r="BX5" t="s" s="174">
        <v>200</v>
      </c>
      <c r="BY5" s="175">
        <v>100</v>
      </c>
      <c r="BZ5" t="s" s="171">
        <v>207</v>
      </c>
      <c r="CA5" s="176"/>
      <c r="CB5" s="167">
        <v>0</v>
      </c>
      <c r="CC5" s="176"/>
      <c r="CD5" t="s" s="171">
        <v>197</v>
      </c>
      <c r="CE5" s="167">
        <v>2</v>
      </c>
      <c r="CF5" s="168"/>
      <c r="CG5" s="167">
        <v>1</v>
      </c>
      <c r="CH5" t="s" s="18">
        <v>208</v>
      </c>
      <c r="CI5" t="s" s="18">
        <v>209</v>
      </c>
      <c r="CJ5" t="s" s="171">
        <v>197</v>
      </c>
      <c r="CK5" t="s" s="171">
        <v>197</v>
      </c>
      <c r="CL5" t="s" s="171">
        <v>197</v>
      </c>
    </row>
    <row r="6" ht="15" customHeight="1">
      <c r="A6" s="19"/>
      <c r="B6" s="20"/>
      <c r="C6" s="177"/>
      <c r="D6" s="178"/>
      <c r="E6" s="178"/>
      <c r="F6" s="178"/>
      <c r="G6" s="178"/>
      <c r="H6" s="179"/>
      <c r="I6" s="179"/>
      <c r="J6" s="179"/>
      <c r="K6" s="180"/>
      <c r="L6" s="180"/>
      <c r="M6" s="180"/>
      <c r="N6" s="34"/>
      <c r="O6" s="34"/>
      <c r="P6" s="34"/>
      <c r="Q6" s="34"/>
      <c r="R6" s="34"/>
      <c r="S6" s="34"/>
      <c r="T6" s="34"/>
      <c r="U6" s="34"/>
      <c r="V6" s="34"/>
      <c r="W6" s="34"/>
      <c r="X6" s="34"/>
      <c r="Y6" s="34"/>
      <c r="Z6" s="34"/>
      <c r="AA6" s="34"/>
      <c r="AB6" s="34"/>
      <c r="AC6" s="34"/>
      <c r="AD6" s="34"/>
      <c r="AE6" s="34"/>
      <c r="AF6" s="34"/>
      <c r="AG6" s="34"/>
      <c r="AH6" s="34"/>
      <c r="AI6" s="34"/>
      <c r="AJ6" s="34"/>
      <c r="AK6" s="34"/>
      <c r="AL6" s="181"/>
      <c r="AM6" s="34"/>
      <c r="AN6" s="34"/>
      <c r="AO6" s="34"/>
      <c r="AP6" s="34"/>
      <c r="AQ6" s="34"/>
      <c r="AR6" s="34"/>
      <c r="AS6" s="34"/>
      <c r="AT6" s="34"/>
      <c r="AU6" s="181"/>
      <c r="AV6" s="22"/>
      <c r="AW6" s="22"/>
      <c r="AX6" s="34"/>
      <c r="AY6" s="34"/>
      <c r="AZ6" s="34"/>
      <c r="BA6" s="34"/>
      <c r="BB6" s="34"/>
      <c r="BC6" s="34"/>
      <c r="BD6" s="34"/>
      <c r="BE6" s="34"/>
      <c r="BF6" s="34"/>
      <c r="BG6" s="34"/>
      <c r="BH6" s="34"/>
      <c r="BI6" s="34"/>
      <c r="BJ6" s="34"/>
      <c r="BK6" s="34"/>
      <c r="BL6" s="34"/>
      <c r="BM6" t="s" s="182">
        <v>210</v>
      </c>
      <c r="BN6" s="183">
        <v>10</v>
      </c>
      <c r="BO6" s="34"/>
      <c r="BP6" s="34"/>
      <c r="BQ6" s="34"/>
      <c r="BR6" s="34"/>
      <c r="BS6" s="34"/>
      <c r="BT6" s="34"/>
      <c r="BU6" s="34"/>
      <c r="BV6" s="34"/>
      <c r="BW6" s="184"/>
      <c r="BX6" t="s" s="185">
        <v>211</v>
      </c>
      <c r="BY6" s="186">
        <v>0</v>
      </c>
      <c r="BZ6" s="33"/>
      <c r="CA6" s="187"/>
      <c r="CB6" s="34"/>
      <c r="CC6" s="187"/>
      <c r="CD6" s="34"/>
      <c r="CE6" s="34"/>
      <c r="CF6" s="34"/>
      <c r="CG6" s="34"/>
      <c r="CH6" s="34"/>
      <c r="CI6" s="34"/>
      <c r="CJ6" s="34"/>
      <c r="CK6" s="34"/>
      <c r="CL6" s="34"/>
    </row>
    <row r="7" ht="15" customHeight="1">
      <c r="A7" s="19"/>
      <c r="B7" s="20"/>
      <c r="C7" s="177"/>
      <c r="D7" s="178"/>
      <c r="E7" s="178"/>
      <c r="F7" s="178"/>
      <c r="G7" s="178"/>
      <c r="H7" s="179"/>
      <c r="I7" s="179"/>
      <c r="J7" s="179"/>
      <c r="K7" s="180"/>
      <c r="L7" s="180"/>
      <c r="M7" s="180"/>
      <c r="N7" s="34"/>
      <c r="O7" s="34"/>
      <c r="P7" s="34"/>
      <c r="Q7" s="34"/>
      <c r="R7" s="34"/>
      <c r="S7" s="34"/>
      <c r="T7" s="34"/>
      <c r="U7" s="34"/>
      <c r="V7" s="34"/>
      <c r="W7" s="34"/>
      <c r="X7" s="34"/>
      <c r="Y7" s="34"/>
      <c r="Z7" s="34"/>
      <c r="AA7" s="34"/>
      <c r="AB7" s="34"/>
      <c r="AC7" s="34"/>
      <c r="AD7" s="34"/>
      <c r="AE7" s="34"/>
      <c r="AF7" s="34"/>
      <c r="AG7" s="34"/>
      <c r="AH7" s="34"/>
      <c r="AI7" s="34"/>
      <c r="AJ7" s="22"/>
      <c r="AK7" s="22"/>
      <c r="AL7" s="188"/>
      <c r="AM7" s="34"/>
      <c r="AN7" s="34"/>
      <c r="AO7" s="34"/>
      <c r="AP7" s="34"/>
      <c r="AQ7" s="34"/>
      <c r="AR7" s="34"/>
      <c r="AS7" s="34"/>
      <c r="AT7" s="34"/>
      <c r="AU7" s="181"/>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189"/>
      <c r="BY7" s="189"/>
      <c r="BZ7" s="34"/>
      <c r="CA7" s="187"/>
      <c r="CB7" s="34"/>
      <c r="CC7" s="187"/>
      <c r="CD7" s="34"/>
      <c r="CE7" s="34"/>
      <c r="CF7" s="34"/>
      <c r="CG7" s="34"/>
      <c r="CH7" s="34"/>
      <c r="CI7" s="34"/>
      <c r="CJ7" s="34"/>
      <c r="CK7" s="34"/>
      <c r="CL7" s="34"/>
    </row>
    <row r="8" ht="15" customHeight="1">
      <c r="A8" s="19"/>
      <c r="B8" s="20"/>
      <c r="C8" s="177"/>
      <c r="D8" s="178"/>
      <c r="E8" s="178"/>
      <c r="F8" s="178"/>
      <c r="G8" s="178"/>
      <c r="H8" s="179"/>
      <c r="I8" s="179"/>
      <c r="J8" s="179"/>
      <c r="K8" s="180"/>
      <c r="L8" s="180"/>
      <c r="M8" s="180"/>
      <c r="N8" s="34"/>
      <c r="O8" s="34"/>
      <c r="P8" s="34"/>
      <c r="Q8" s="34"/>
      <c r="R8" s="34"/>
      <c r="S8" s="34"/>
      <c r="T8" s="34"/>
      <c r="U8" s="34"/>
      <c r="V8" s="34"/>
      <c r="W8" s="34"/>
      <c r="X8" s="34"/>
      <c r="Y8" s="34"/>
      <c r="Z8" s="34"/>
      <c r="AA8" s="34"/>
      <c r="AB8" s="34"/>
      <c r="AC8" s="34"/>
      <c r="AD8" s="34"/>
      <c r="AE8" s="34"/>
      <c r="AF8" s="34"/>
      <c r="AG8" s="34"/>
      <c r="AH8" s="34"/>
      <c r="AI8" s="34"/>
      <c r="AJ8" s="22"/>
      <c r="AK8" s="22"/>
      <c r="AL8" s="188"/>
      <c r="AM8" s="22"/>
      <c r="AN8" s="22"/>
      <c r="AO8" s="34"/>
      <c r="AP8" s="34"/>
      <c r="AQ8" s="34"/>
      <c r="AR8" s="34"/>
      <c r="AS8" s="34"/>
      <c r="AT8" s="34"/>
      <c r="AU8" s="181"/>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187"/>
      <c r="CB8" s="34"/>
      <c r="CC8" s="187"/>
      <c r="CD8" s="34"/>
      <c r="CE8" s="34"/>
      <c r="CF8" s="34"/>
      <c r="CG8" s="34"/>
      <c r="CH8" s="34"/>
      <c r="CI8" s="34"/>
      <c r="CJ8" s="34"/>
      <c r="CK8" s="34"/>
      <c r="CL8" s="34"/>
    </row>
    <row r="9" ht="15" customHeight="1">
      <c r="A9" s="19"/>
      <c r="B9" s="20"/>
      <c r="C9" s="177"/>
      <c r="D9" s="178"/>
      <c r="E9" s="178"/>
      <c r="F9" s="178"/>
      <c r="G9" s="178"/>
      <c r="H9" s="179"/>
      <c r="I9" s="179"/>
      <c r="J9" s="179"/>
      <c r="K9" s="180"/>
      <c r="L9" s="180"/>
      <c r="M9" s="180"/>
      <c r="N9" s="34"/>
      <c r="O9" s="34"/>
      <c r="P9" s="34"/>
      <c r="Q9" s="34"/>
      <c r="R9" s="34"/>
      <c r="S9" s="34"/>
      <c r="T9" s="34"/>
      <c r="U9" s="34"/>
      <c r="V9" s="34"/>
      <c r="W9" s="34"/>
      <c r="X9" s="34"/>
      <c r="Y9" s="34"/>
      <c r="Z9" s="34"/>
      <c r="AA9" s="34"/>
      <c r="AB9" s="34"/>
      <c r="AC9" s="34"/>
      <c r="AD9" s="34"/>
      <c r="AE9" s="34"/>
      <c r="AF9" s="34"/>
      <c r="AG9" s="34"/>
      <c r="AH9" s="34"/>
      <c r="AI9" s="34"/>
      <c r="AJ9" s="34"/>
      <c r="AK9" s="34"/>
      <c r="AL9" s="181"/>
      <c r="AM9" s="34"/>
      <c r="AN9" s="34"/>
      <c r="AO9" s="34"/>
      <c r="AP9" s="34"/>
      <c r="AQ9" s="34"/>
      <c r="AR9" s="34"/>
      <c r="AS9" s="34"/>
      <c r="AT9" s="34"/>
      <c r="AU9" s="181"/>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187"/>
      <c r="CB9" s="34"/>
      <c r="CC9" s="187"/>
      <c r="CD9" s="34"/>
      <c r="CE9" s="34"/>
      <c r="CF9" s="34"/>
      <c r="CG9" s="34"/>
      <c r="CH9" s="34"/>
      <c r="CI9" s="34"/>
      <c r="CJ9" s="34"/>
      <c r="CK9" s="34"/>
      <c r="CL9" s="34"/>
    </row>
    <row r="10" ht="15" customHeight="1">
      <c r="A10" s="19"/>
      <c r="B10" s="20"/>
      <c r="C10" s="177"/>
      <c r="D10" s="178"/>
      <c r="E10" s="178"/>
      <c r="F10" s="178"/>
      <c r="G10" s="178"/>
      <c r="H10" s="179"/>
      <c r="I10" s="179"/>
      <c r="J10" s="179"/>
      <c r="K10" s="180"/>
      <c r="L10" s="180"/>
      <c r="M10" s="180"/>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181"/>
      <c r="AM10" s="34"/>
      <c r="AN10" s="34"/>
      <c r="AO10" s="34"/>
      <c r="AP10" s="34"/>
      <c r="AQ10" s="34"/>
      <c r="AR10" s="34"/>
      <c r="AS10" s="34"/>
      <c r="AT10" s="34"/>
      <c r="AU10" s="181"/>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187"/>
      <c r="CB10" s="34"/>
      <c r="CC10" s="187"/>
      <c r="CD10" s="34"/>
      <c r="CE10" s="34"/>
      <c r="CF10" s="34"/>
      <c r="CG10" s="34"/>
      <c r="CH10" s="34"/>
      <c r="CI10" s="34"/>
      <c r="CJ10" s="34"/>
      <c r="CK10" s="34"/>
      <c r="CL10" s="34"/>
    </row>
    <row r="11" ht="15" customHeight="1">
      <c r="A11" s="19"/>
      <c r="B11" s="20"/>
      <c r="C11" s="190"/>
      <c r="D11" s="179"/>
      <c r="E11" s="179"/>
      <c r="F11" s="179"/>
      <c r="G11" s="179"/>
      <c r="H11" s="179"/>
      <c r="I11" s="179"/>
      <c r="J11" s="179"/>
      <c r="K11" s="180"/>
      <c r="L11" s="180"/>
      <c r="M11" s="180"/>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181"/>
      <c r="AM11" s="34"/>
      <c r="AN11" s="34"/>
      <c r="AO11" s="34"/>
      <c r="AP11" s="34"/>
      <c r="AQ11" s="34"/>
      <c r="AR11" s="34"/>
      <c r="AS11" s="34"/>
      <c r="AT11" s="34"/>
      <c r="AU11" s="181"/>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187"/>
      <c r="CB11" s="34"/>
      <c r="CC11" s="187"/>
      <c r="CD11" s="34"/>
      <c r="CE11" s="34"/>
      <c r="CF11" s="34"/>
      <c r="CG11" s="34"/>
      <c r="CH11" s="34"/>
      <c r="CI11" s="34"/>
      <c r="CJ11" s="34"/>
      <c r="CK11" s="34"/>
      <c r="CL11" s="34"/>
    </row>
    <row r="12" ht="15" customHeight="1">
      <c r="A12" s="23"/>
      <c r="B12" s="24"/>
      <c r="C12" s="191"/>
      <c r="D12" s="192"/>
      <c r="E12" s="192"/>
      <c r="F12" s="192"/>
      <c r="G12" s="192"/>
      <c r="H12" s="192"/>
      <c r="I12" s="192"/>
      <c r="J12" s="192"/>
      <c r="K12" s="193"/>
      <c r="L12" s="193"/>
      <c r="M12" s="193"/>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194"/>
      <c r="AM12" s="70"/>
      <c r="AN12" s="70"/>
      <c r="AO12" s="70"/>
      <c r="AP12" s="70"/>
      <c r="AQ12" s="70"/>
      <c r="AR12" s="70"/>
      <c r="AS12" s="70"/>
      <c r="AT12" s="70"/>
      <c r="AU12" s="194"/>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195"/>
      <c r="CB12" s="70"/>
      <c r="CC12" s="195"/>
      <c r="CD12" s="70"/>
      <c r="CE12" s="70"/>
      <c r="CF12" s="70"/>
      <c r="CG12" s="70"/>
      <c r="CH12" s="70"/>
      <c r="CI12" s="70"/>
      <c r="CJ12" s="70"/>
      <c r="CK12" s="70"/>
      <c r="CL12" s="70"/>
    </row>
    <row r="13" ht="15" customHeight="1">
      <c r="A13" s="27">
        <v>2</v>
      </c>
      <c r="B13" t="s" s="28">
        <v>10</v>
      </c>
      <c r="C13" t="s" s="29">
        <v>212</v>
      </c>
      <c r="D13" s="196">
        <v>4</v>
      </c>
      <c r="E13" s="196">
        <v>1705</v>
      </c>
      <c r="F13" s="167">
        <v>2017</v>
      </c>
      <c r="G13" t="s" s="18">
        <v>213</v>
      </c>
      <c r="H13" s="196">
        <v>341</v>
      </c>
      <c r="I13" s="167">
        <v>2017</v>
      </c>
      <c r="J13" t="s" s="18">
        <v>213</v>
      </c>
      <c r="K13" s="167">
        <v>6</v>
      </c>
      <c r="L13" s="167">
        <v>2017</v>
      </c>
      <c r="M13" t="s" s="18">
        <v>213</v>
      </c>
      <c r="N13" s="167">
        <v>70</v>
      </c>
      <c r="O13" s="167">
        <v>2017</v>
      </c>
      <c r="P13" t="s" s="18">
        <v>214</v>
      </c>
      <c r="Q13" s="166">
        <v>100</v>
      </c>
      <c r="R13" s="166">
        <v>2017</v>
      </c>
      <c r="S13" t="s" s="18">
        <v>214</v>
      </c>
      <c r="T13" s="166">
        <v>95</v>
      </c>
      <c r="U13" s="166">
        <v>2017</v>
      </c>
      <c r="V13" t="s" s="18">
        <v>214</v>
      </c>
      <c r="W13" s="166">
        <v>50</v>
      </c>
      <c r="X13" s="166">
        <v>2017</v>
      </c>
      <c r="Y13" t="s" s="18">
        <v>214</v>
      </c>
      <c r="Z13" s="166">
        <v>50</v>
      </c>
      <c r="AA13" s="166">
        <v>2017</v>
      </c>
      <c r="AB13" t="s" s="18">
        <v>214</v>
      </c>
      <c r="AC13" s="172">
        <f t="shared" si="0" ref="AC13:AD13">1200/3.44</f>
        <v>348.837209302326</v>
      </c>
      <c r="AD13" s="172">
        <f t="shared" si="0"/>
        <v>348.837209302326</v>
      </c>
      <c r="AE13" s="172">
        <f t="shared" si="2" ref="AE13:CB14">1500/3.44</f>
        <v>436.046511627907</v>
      </c>
      <c r="AF13" s="172">
        <f>1000/3.44</f>
        <v>290.697674418605</v>
      </c>
      <c r="AG13" s="167">
        <v>90</v>
      </c>
      <c r="AH13" t="s" s="171">
        <v>200</v>
      </c>
      <c r="AI13" s="167">
        <v>80</v>
      </c>
      <c r="AJ13" s="172">
        <f t="shared" si="4" ref="AJ13:AS13">4/3.44</f>
        <v>1.16279069767442</v>
      </c>
      <c r="AK13" t="s" s="171">
        <v>215</v>
      </c>
      <c r="AL13" s="197">
        <v>0.5600000000000001</v>
      </c>
      <c r="AM13" s="167">
        <v>4</v>
      </c>
      <c r="AN13" s="167">
        <v>4</v>
      </c>
      <c r="AO13" s="168"/>
      <c r="AP13" t="s" s="18">
        <v>216</v>
      </c>
      <c r="AQ13" t="s" s="171">
        <v>200</v>
      </c>
      <c r="AR13" s="167">
        <v>90</v>
      </c>
      <c r="AS13" s="172">
        <f t="shared" si="4"/>
        <v>1.16279069767442</v>
      </c>
      <c r="AT13" t="s" s="171">
        <v>215</v>
      </c>
      <c r="AU13" s="197">
        <v>0.5600000000000001</v>
      </c>
      <c r="AV13" s="167">
        <v>4</v>
      </c>
      <c r="AW13" s="167">
        <v>4</v>
      </c>
      <c r="AX13" s="168"/>
      <c r="AY13" t="s" s="18">
        <v>213</v>
      </c>
      <c r="AZ13" s="167">
        <v>3</v>
      </c>
      <c r="BA13" s="167">
        <v>2</v>
      </c>
      <c r="BB13" s="168"/>
      <c r="BC13" s="167">
        <v>1</v>
      </c>
      <c r="BD13" s="167">
        <v>4</v>
      </c>
      <c r="BE13" s="167">
        <v>2</v>
      </c>
      <c r="BF13" s="167">
        <v>1</v>
      </c>
      <c r="BG13" t="s" s="171">
        <v>217</v>
      </c>
      <c r="BH13" s="167">
        <v>20</v>
      </c>
      <c r="BI13" s="167">
        <v>2</v>
      </c>
      <c r="BJ13" t="s" s="171">
        <v>218</v>
      </c>
      <c r="BK13" s="167">
        <v>1</v>
      </c>
      <c r="BL13" t="s" s="171">
        <v>219</v>
      </c>
      <c r="BM13" t="s" s="171">
        <v>200</v>
      </c>
      <c r="BN13" s="167">
        <v>95</v>
      </c>
      <c r="BO13" s="198"/>
      <c r="BP13" t="s" s="18">
        <v>213</v>
      </c>
      <c r="BQ13" t="s" s="18">
        <v>200</v>
      </c>
      <c r="BR13" s="166">
        <v>100</v>
      </c>
      <c r="BS13" s="199">
        <v>0</v>
      </c>
      <c r="BT13" s="169"/>
      <c r="BU13" t="s" s="18">
        <v>220</v>
      </c>
      <c r="BV13" t="s" s="171">
        <v>221</v>
      </c>
      <c r="BW13" t="s" s="171">
        <v>222</v>
      </c>
      <c r="BX13" t="s" s="171">
        <v>200</v>
      </c>
      <c r="BY13" s="167">
        <v>90</v>
      </c>
      <c r="BZ13" s="172">
        <f t="shared" si="6" ref="BZ13:CB13">1800/3.44</f>
        <v>523.255813953488</v>
      </c>
      <c r="CA13" s="176">
        <v>252</v>
      </c>
      <c r="CB13" s="172">
        <f t="shared" si="6"/>
        <v>523.255813953488</v>
      </c>
      <c r="CC13" s="176">
        <v>252</v>
      </c>
      <c r="CD13" t="s" s="171">
        <v>223</v>
      </c>
      <c r="CE13" s="167">
        <v>1</v>
      </c>
      <c r="CF13" t="s" s="171">
        <v>224</v>
      </c>
      <c r="CG13" s="167">
        <v>1</v>
      </c>
      <c r="CH13" t="s" s="18">
        <v>225</v>
      </c>
      <c r="CI13" t="s" s="18">
        <v>213</v>
      </c>
      <c r="CJ13" t="s" s="171">
        <v>223</v>
      </c>
      <c r="CK13" t="s" s="171">
        <v>223</v>
      </c>
      <c r="CL13" t="s" s="171">
        <v>218</v>
      </c>
    </row>
    <row r="14" ht="15" customHeight="1">
      <c r="A14" s="31"/>
      <c r="B14" s="32"/>
      <c r="C14" s="200"/>
      <c r="D14" s="201"/>
      <c r="E14" s="201"/>
      <c r="F14" s="201"/>
      <c r="G14" s="201"/>
      <c r="H14" s="201"/>
      <c r="I14" s="201"/>
      <c r="J14" s="201"/>
      <c r="K14" s="180"/>
      <c r="L14" s="180"/>
      <c r="M14" s="180"/>
      <c r="N14" s="34"/>
      <c r="O14" s="34"/>
      <c r="P14" s="34"/>
      <c r="Q14" s="34"/>
      <c r="R14" s="34"/>
      <c r="S14" s="34"/>
      <c r="T14" s="34"/>
      <c r="U14" s="34"/>
      <c r="V14" s="34"/>
      <c r="W14" s="34"/>
      <c r="X14" s="34"/>
      <c r="Y14" s="34"/>
      <c r="Z14" s="34"/>
      <c r="AA14" s="34"/>
      <c r="AB14" s="34"/>
      <c r="AC14" s="34"/>
      <c r="AD14" s="34"/>
      <c r="AE14" s="34"/>
      <c r="AF14" s="34"/>
      <c r="AG14" s="34"/>
      <c r="AH14" t="s" s="182">
        <v>226</v>
      </c>
      <c r="AI14" s="183">
        <v>20</v>
      </c>
      <c r="AJ14" s="202">
        <f>35/3.44</f>
        <v>10.1744186046512</v>
      </c>
      <c r="AK14" t="s" s="182">
        <v>215</v>
      </c>
      <c r="AL14" s="181">
        <v>4.91</v>
      </c>
      <c r="AM14" s="183">
        <v>7</v>
      </c>
      <c r="AN14" s="183">
        <v>4</v>
      </c>
      <c r="AO14" s="34"/>
      <c r="AP14" s="22"/>
      <c r="AQ14" t="s" s="182">
        <v>227</v>
      </c>
      <c r="AR14" s="183">
        <v>10</v>
      </c>
      <c r="AS14" s="202">
        <v>0</v>
      </c>
      <c r="AT14" t="s" s="182">
        <v>215</v>
      </c>
      <c r="AU14" s="181"/>
      <c r="AV14" t="s" s="182">
        <v>228</v>
      </c>
      <c r="AW14" t="s" s="182">
        <v>223</v>
      </c>
      <c r="AX14" s="34"/>
      <c r="AY14" s="203"/>
      <c r="AZ14" s="34"/>
      <c r="BA14" s="34"/>
      <c r="BB14" s="34"/>
      <c r="BC14" s="34"/>
      <c r="BD14" s="34"/>
      <c r="BE14" s="34"/>
      <c r="BF14" s="34"/>
      <c r="BG14" s="34"/>
      <c r="BH14" s="34"/>
      <c r="BI14" s="34"/>
      <c r="BJ14" s="34"/>
      <c r="BK14" s="34"/>
      <c r="BL14" s="34"/>
      <c r="BM14" t="s" s="182">
        <v>229</v>
      </c>
      <c r="BN14" s="183">
        <v>5</v>
      </c>
      <c r="BO14" s="180"/>
      <c r="BP14" s="203"/>
      <c r="BQ14" s="22"/>
      <c r="BR14" s="22"/>
      <c r="BS14" s="22"/>
      <c r="BT14" s="22"/>
      <c r="BU14" s="203"/>
      <c r="BV14" s="34"/>
      <c r="BW14" s="34"/>
      <c r="BX14" t="s" s="182">
        <v>230</v>
      </c>
      <c r="BY14" s="183">
        <v>10</v>
      </c>
      <c r="BZ14" s="202">
        <f>2000/3.44</f>
        <v>581.395348837209</v>
      </c>
      <c r="CA14" s="187">
        <v>280</v>
      </c>
      <c r="CB14" s="202">
        <f t="shared" si="2"/>
        <v>436.046511627907</v>
      </c>
      <c r="CC14" s="187">
        <v>210</v>
      </c>
      <c r="CD14" s="183">
        <v>1</v>
      </c>
      <c r="CE14" s="183">
        <v>1</v>
      </c>
      <c r="CF14" t="s" s="182">
        <v>231</v>
      </c>
      <c r="CG14" t="s" s="182">
        <v>223</v>
      </c>
      <c r="CH14" s="22"/>
      <c r="CI14" s="22"/>
      <c r="CJ14" s="34"/>
      <c r="CK14" s="34"/>
      <c r="CL14" s="34"/>
    </row>
    <row r="15" ht="15" customHeight="1">
      <c r="A15" s="31"/>
      <c r="B15" s="32"/>
      <c r="C15" s="200"/>
      <c r="D15" s="201"/>
      <c r="E15" s="201"/>
      <c r="F15" s="201"/>
      <c r="G15" s="201"/>
      <c r="H15" s="201"/>
      <c r="I15" s="201"/>
      <c r="J15" s="201"/>
      <c r="K15" s="180"/>
      <c r="L15" s="180"/>
      <c r="M15" s="180"/>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181"/>
      <c r="AM15" s="34"/>
      <c r="AN15" s="34"/>
      <c r="AO15" s="34"/>
      <c r="AP15" s="34"/>
      <c r="AQ15" s="34"/>
      <c r="AR15" s="34"/>
      <c r="AS15" s="34"/>
      <c r="AT15" s="34"/>
      <c r="AU15" s="181"/>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187"/>
      <c r="CB15" s="34"/>
      <c r="CC15" s="187"/>
      <c r="CD15" s="34"/>
      <c r="CE15" s="34"/>
      <c r="CF15" s="34"/>
      <c r="CG15" s="34"/>
      <c r="CH15" s="34"/>
      <c r="CI15" s="34"/>
      <c r="CJ15" s="34"/>
      <c r="CK15" s="34"/>
      <c r="CL15" s="34"/>
    </row>
    <row r="16" ht="15" customHeight="1">
      <c r="A16" s="31"/>
      <c r="B16" s="32"/>
      <c r="C16" s="200"/>
      <c r="D16" s="201"/>
      <c r="E16" s="201"/>
      <c r="F16" s="201"/>
      <c r="G16" s="201"/>
      <c r="H16" s="201"/>
      <c r="I16" s="201"/>
      <c r="J16" s="201"/>
      <c r="K16" s="180"/>
      <c r="L16" s="180"/>
      <c r="M16" s="180"/>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181"/>
      <c r="AM16" s="34"/>
      <c r="AN16" s="34"/>
      <c r="AO16" s="34"/>
      <c r="AP16" s="34"/>
      <c r="AQ16" s="34"/>
      <c r="AR16" s="34"/>
      <c r="AS16" s="34"/>
      <c r="AT16" s="34"/>
      <c r="AU16" s="181"/>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187"/>
      <c r="CB16" s="34"/>
      <c r="CC16" s="187"/>
      <c r="CD16" s="34"/>
      <c r="CE16" s="34"/>
      <c r="CF16" s="34"/>
      <c r="CG16" s="34"/>
      <c r="CH16" s="34"/>
      <c r="CI16" s="34"/>
      <c r="CJ16" s="34"/>
      <c r="CK16" s="34"/>
      <c r="CL16" s="34"/>
    </row>
    <row r="17" ht="15" customHeight="1">
      <c r="A17" s="31"/>
      <c r="B17" s="32"/>
      <c r="C17" s="200"/>
      <c r="D17" s="201"/>
      <c r="E17" s="201"/>
      <c r="F17" s="201"/>
      <c r="G17" s="201"/>
      <c r="H17" s="201"/>
      <c r="I17" s="201"/>
      <c r="J17" s="201"/>
      <c r="K17" s="180"/>
      <c r="L17" s="180"/>
      <c r="M17" s="180"/>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181"/>
      <c r="AM17" s="34"/>
      <c r="AN17" s="34"/>
      <c r="AO17" s="34"/>
      <c r="AP17" s="34"/>
      <c r="AQ17" s="34"/>
      <c r="AR17" s="34"/>
      <c r="AS17" s="34"/>
      <c r="AT17" s="34"/>
      <c r="AU17" s="181"/>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187"/>
      <c r="CB17" s="34"/>
      <c r="CC17" s="187"/>
      <c r="CD17" s="34"/>
      <c r="CE17" s="34"/>
      <c r="CF17" s="34"/>
      <c r="CG17" s="34"/>
      <c r="CH17" s="34"/>
      <c r="CI17" s="34"/>
      <c r="CJ17" s="34"/>
      <c r="CK17" s="34"/>
      <c r="CL17" s="34"/>
    </row>
    <row r="18" ht="15" customHeight="1">
      <c r="A18" s="35"/>
      <c r="B18" s="24"/>
      <c r="C18" s="191"/>
      <c r="D18" s="192"/>
      <c r="E18" s="192"/>
      <c r="F18" s="192"/>
      <c r="G18" s="192"/>
      <c r="H18" s="192"/>
      <c r="I18" s="192"/>
      <c r="J18" s="192"/>
      <c r="K18" s="204"/>
      <c r="L18" s="204"/>
      <c r="M18" s="204"/>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05"/>
      <c r="AM18" s="26"/>
      <c r="AN18" s="26"/>
      <c r="AO18" s="26"/>
      <c r="AP18" s="26"/>
      <c r="AQ18" s="26"/>
      <c r="AR18" s="26"/>
      <c r="AS18" s="26"/>
      <c r="AT18" s="26"/>
      <c r="AU18" s="205"/>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06"/>
      <c r="CB18" s="26"/>
      <c r="CC18" s="206"/>
      <c r="CD18" s="26"/>
      <c r="CE18" s="26"/>
      <c r="CF18" s="26"/>
      <c r="CG18" s="26"/>
      <c r="CH18" s="26"/>
      <c r="CI18" s="26"/>
      <c r="CJ18" s="26"/>
      <c r="CK18" s="26"/>
      <c r="CL18" s="26"/>
    </row>
    <row r="19" ht="15" customHeight="1">
      <c r="A19" s="15">
        <v>3</v>
      </c>
      <c r="B19" t="s" s="16">
        <v>12</v>
      </c>
      <c r="C19" t="s" s="17">
        <v>232</v>
      </c>
      <c r="D19" s="166">
        <v>4</v>
      </c>
      <c r="E19" s="165">
        <f>(69356+85000)/2</f>
        <v>77178</v>
      </c>
      <c r="F19" s="166">
        <v>2010</v>
      </c>
      <c r="G19" t="s" s="18">
        <v>233</v>
      </c>
      <c r="H19" s="165">
        <v>23399</v>
      </c>
      <c r="I19" s="166">
        <v>2010</v>
      </c>
      <c r="J19" t="s" s="18">
        <v>234</v>
      </c>
      <c r="K19" s="167">
        <v>2.9</v>
      </c>
      <c r="L19" s="167">
        <v>2010</v>
      </c>
      <c r="M19" t="s" s="18">
        <v>235</v>
      </c>
      <c r="N19" s="167">
        <v>30.93</v>
      </c>
      <c r="O19" s="167">
        <v>2010</v>
      </c>
      <c r="P19" t="s" s="18">
        <v>236</v>
      </c>
      <c r="Q19" s="167">
        <v>36.63</v>
      </c>
      <c r="R19" s="167">
        <v>2010</v>
      </c>
      <c r="S19" t="s" s="18">
        <v>237</v>
      </c>
      <c r="T19" s="167">
        <v>23.53</v>
      </c>
      <c r="U19" s="167">
        <v>2010</v>
      </c>
      <c r="V19" t="s" s="171">
        <v>234</v>
      </c>
      <c r="W19" s="167">
        <v>10.14</v>
      </c>
      <c r="X19" s="167">
        <v>2010</v>
      </c>
      <c r="Y19" t="s" s="171">
        <v>234</v>
      </c>
      <c r="Z19" t="s" s="171">
        <v>197</v>
      </c>
      <c r="AA19" s="169"/>
      <c r="AB19" s="168"/>
      <c r="AC19" t="s" s="171">
        <v>238</v>
      </c>
      <c r="AD19" t="s" s="171">
        <v>239</v>
      </c>
      <c r="AE19" t="s" s="171">
        <v>240</v>
      </c>
      <c r="AF19" t="s" s="171">
        <v>241</v>
      </c>
      <c r="AG19" s="167">
        <v>27.44</v>
      </c>
      <c r="AH19" t="s" s="171">
        <v>200</v>
      </c>
      <c r="AI19" s="167">
        <v>98.59999999999999</v>
      </c>
      <c r="AJ19" s="172">
        <v>0</v>
      </c>
      <c r="AK19" s="168"/>
      <c r="AL19" s="197"/>
      <c r="AM19" s="167">
        <v>4</v>
      </c>
      <c r="AN19" s="167">
        <v>12</v>
      </c>
      <c r="AO19" t="s" s="18">
        <v>242</v>
      </c>
      <c r="AP19" t="s" s="18">
        <v>243</v>
      </c>
      <c r="AQ19" t="s" s="171">
        <v>200</v>
      </c>
      <c r="AR19" s="167">
        <v>98.59999999999999</v>
      </c>
      <c r="AS19" s="172">
        <v>0</v>
      </c>
      <c r="AT19" s="168"/>
      <c r="AU19" s="197"/>
      <c r="AV19" s="167">
        <v>4</v>
      </c>
      <c r="AW19" s="167">
        <v>12</v>
      </c>
      <c r="AX19" t="s" s="18">
        <v>244</v>
      </c>
      <c r="AY19" t="s" s="18">
        <v>245</v>
      </c>
      <c r="AZ19" s="167">
        <v>1</v>
      </c>
      <c r="BA19" s="167">
        <v>1</v>
      </c>
      <c r="BB19" t="s" s="170">
        <v>246</v>
      </c>
      <c r="BC19" s="167">
        <v>1</v>
      </c>
      <c r="BD19" t="s" s="171">
        <v>247</v>
      </c>
      <c r="BE19" s="167">
        <v>2</v>
      </c>
      <c r="BF19" s="167">
        <v>2</v>
      </c>
      <c r="BG19" t="s" s="171">
        <v>248</v>
      </c>
      <c r="BH19" s="168"/>
      <c r="BI19" s="167">
        <v>1</v>
      </c>
      <c r="BJ19" t="s" s="170">
        <v>249</v>
      </c>
      <c r="BK19" s="167">
        <v>1</v>
      </c>
      <c r="BL19" t="s" s="170">
        <v>250</v>
      </c>
      <c r="BM19" t="s" s="18">
        <v>229</v>
      </c>
      <c r="BN19" s="166">
        <v>20</v>
      </c>
      <c r="BO19" t="s" s="171">
        <v>197</v>
      </c>
      <c r="BP19" t="s" s="171">
        <v>251</v>
      </c>
      <c r="BQ19" t="s" s="171">
        <v>200</v>
      </c>
      <c r="BR19" s="167">
        <v>96.90000000000001</v>
      </c>
      <c r="BS19" s="168"/>
      <c r="BT19" t="s" s="18">
        <v>252</v>
      </c>
      <c r="BU19" t="s" s="18">
        <v>253</v>
      </c>
      <c r="BV19" t="s" s="18">
        <v>197</v>
      </c>
      <c r="BW19" t="s" s="18">
        <v>197</v>
      </c>
      <c r="BX19" t="s" s="171">
        <v>230</v>
      </c>
      <c r="BY19" s="167">
        <v>0.4</v>
      </c>
      <c r="BZ19" t="s" s="171">
        <v>254</v>
      </c>
      <c r="CA19" s="176"/>
      <c r="CB19" s="207">
        <f>450/2.19</f>
        <v>205.479452054795</v>
      </c>
      <c r="CC19" s="176">
        <v>141</v>
      </c>
      <c r="CD19" s="167">
        <v>2</v>
      </c>
      <c r="CE19" s="167">
        <v>1</v>
      </c>
      <c r="CF19" t="s" s="171">
        <v>255</v>
      </c>
      <c r="CG19" s="168"/>
      <c r="CH19" t="s" s="18">
        <v>256</v>
      </c>
      <c r="CI19" t="s" s="18">
        <v>257</v>
      </c>
      <c r="CJ19" t="s" s="171">
        <v>258</v>
      </c>
      <c r="CK19" t="s" s="171">
        <v>259</v>
      </c>
      <c r="CL19" t="s" s="171">
        <v>259</v>
      </c>
    </row>
    <row r="20" ht="15" customHeight="1">
      <c r="A20" s="19"/>
      <c r="B20" s="32"/>
      <c r="C20" s="33"/>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t="s" s="182">
        <v>230</v>
      </c>
      <c r="AI20" s="183">
        <v>0.2</v>
      </c>
      <c r="AJ20" s="202">
        <v>0</v>
      </c>
      <c r="AK20" s="34"/>
      <c r="AL20" s="181"/>
      <c r="AM20" s="208">
        <v>4</v>
      </c>
      <c r="AN20" s="208">
        <v>12</v>
      </c>
      <c r="AO20" s="22"/>
      <c r="AP20" s="22"/>
      <c r="AQ20" t="s" s="209">
        <v>230</v>
      </c>
      <c r="AR20" s="208">
        <v>0.2</v>
      </c>
      <c r="AS20" s="210">
        <v>0</v>
      </c>
      <c r="AT20" s="22"/>
      <c r="AU20" s="188"/>
      <c r="AV20" s="208">
        <v>4</v>
      </c>
      <c r="AW20" s="208">
        <v>12</v>
      </c>
      <c r="AX20" s="22"/>
      <c r="AY20" s="22"/>
      <c r="AZ20" s="22"/>
      <c r="BA20" s="22"/>
      <c r="BB20" s="211"/>
      <c r="BC20" s="22"/>
      <c r="BD20" s="22"/>
      <c r="BE20" s="22"/>
      <c r="BF20" s="22"/>
      <c r="BG20" s="22"/>
      <c r="BH20" s="22"/>
      <c r="BI20" s="22"/>
      <c r="BJ20" s="211"/>
      <c r="BK20" s="22"/>
      <c r="BL20" s="211"/>
      <c r="BM20" t="s" s="209">
        <v>260</v>
      </c>
      <c r="BN20" s="208">
        <v>70</v>
      </c>
      <c r="BO20" s="22"/>
      <c r="BP20" s="22"/>
      <c r="BQ20" t="s" s="209">
        <v>230</v>
      </c>
      <c r="BR20" s="183">
        <v>1</v>
      </c>
      <c r="BS20" s="22"/>
      <c r="BT20" s="22"/>
      <c r="BU20" s="22"/>
      <c r="BV20" s="22"/>
      <c r="BW20" s="22"/>
      <c r="BX20" t="s" s="209">
        <v>210</v>
      </c>
      <c r="BY20" s="208">
        <v>2.3</v>
      </c>
      <c r="BZ20" t="s" s="182">
        <v>261</v>
      </c>
      <c r="CA20" s="187"/>
      <c r="CB20" s="208">
        <v>0</v>
      </c>
      <c r="CC20" s="212"/>
      <c r="CD20" s="208">
        <v>5</v>
      </c>
      <c r="CE20" s="208">
        <v>2</v>
      </c>
      <c r="CF20" s="22"/>
      <c r="CG20" s="208">
        <v>3</v>
      </c>
      <c r="CH20" s="22"/>
      <c r="CI20" s="22"/>
      <c r="CJ20" s="22"/>
      <c r="CK20" s="22"/>
      <c r="CL20" s="22"/>
    </row>
    <row r="21" ht="15" customHeight="1">
      <c r="A21" s="19"/>
      <c r="B21" s="32"/>
      <c r="C21" s="33"/>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t="s" s="182">
        <v>262</v>
      </c>
      <c r="AI21" s="183">
        <v>0.5</v>
      </c>
      <c r="AJ21" s="202">
        <v>0</v>
      </c>
      <c r="AK21" s="34"/>
      <c r="AL21" s="181"/>
      <c r="AM21" s="208">
        <v>7</v>
      </c>
      <c r="AN21" s="208">
        <v>24</v>
      </c>
      <c r="AO21" s="22"/>
      <c r="AP21" s="22"/>
      <c r="AQ21" t="s" s="209">
        <v>262</v>
      </c>
      <c r="AR21" s="208">
        <v>0.5</v>
      </c>
      <c r="AS21" s="210">
        <v>0</v>
      </c>
      <c r="AT21" s="22"/>
      <c r="AU21" s="188"/>
      <c r="AV21" s="208">
        <v>7</v>
      </c>
      <c r="AW21" s="208">
        <v>24</v>
      </c>
      <c r="AX21" s="22"/>
      <c r="AY21" s="22"/>
      <c r="AZ21" s="22"/>
      <c r="BA21" s="22"/>
      <c r="BB21" s="211"/>
      <c r="BC21" s="22"/>
      <c r="BD21" s="22"/>
      <c r="BE21" s="22"/>
      <c r="BF21" s="22"/>
      <c r="BG21" s="22"/>
      <c r="BH21" s="22"/>
      <c r="BI21" s="22"/>
      <c r="BJ21" s="22"/>
      <c r="BK21" s="22"/>
      <c r="BL21" s="211"/>
      <c r="BM21" t="s" s="209">
        <v>263</v>
      </c>
      <c r="BN21" s="208">
        <v>10</v>
      </c>
      <c r="BO21" s="22"/>
      <c r="BP21" s="22"/>
      <c r="BQ21" t="s" s="182">
        <v>264</v>
      </c>
      <c r="BR21" s="208">
        <v>0.2</v>
      </c>
      <c r="BS21" s="22"/>
      <c r="BT21" s="22"/>
      <c r="BU21" s="22"/>
      <c r="BV21" s="22"/>
      <c r="BW21" s="22"/>
      <c r="BX21" t="s" s="209">
        <v>265</v>
      </c>
      <c r="BY21" s="208">
        <v>5.8</v>
      </c>
      <c r="BZ21" s="213">
        <v>0</v>
      </c>
      <c r="CA21" s="214"/>
      <c r="CB21" s="213">
        <v>0</v>
      </c>
      <c r="CC21" s="214"/>
      <c r="CD21" t="s" s="209">
        <v>197</v>
      </c>
      <c r="CE21" t="s" s="209">
        <v>197</v>
      </c>
      <c r="CF21" s="22"/>
      <c r="CG21" t="s" s="209">
        <v>197</v>
      </c>
      <c r="CH21" s="22"/>
      <c r="CI21" s="22"/>
      <c r="CJ21" s="22"/>
      <c r="CK21" s="22"/>
      <c r="CL21" s="22"/>
    </row>
    <row r="22" ht="15" customHeight="1">
      <c r="A22" s="19"/>
      <c r="B22" s="32"/>
      <c r="C22" s="3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t="s" s="182">
        <v>266</v>
      </c>
      <c r="AI22" s="183">
        <v>0.1</v>
      </c>
      <c r="AJ22" s="34"/>
      <c r="AK22" s="34"/>
      <c r="AL22" s="181"/>
      <c r="AM22" s="22"/>
      <c r="AN22" s="22"/>
      <c r="AO22" s="22"/>
      <c r="AP22" s="22"/>
      <c r="AQ22" t="s" s="182">
        <v>266</v>
      </c>
      <c r="AR22" s="183">
        <v>0.1</v>
      </c>
      <c r="AS22" s="22"/>
      <c r="AT22" s="22"/>
      <c r="AU22" s="188"/>
      <c r="AV22" s="22"/>
      <c r="AW22" s="22"/>
      <c r="AX22" s="22"/>
      <c r="AY22" s="22"/>
      <c r="AZ22" s="22"/>
      <c r="BA22" s="22"/>
      <c r="BB22" s="211"/>
      <c r="BC22" s="22"/>
      <c r="BD22" s="22"/>
      <c r="BE22" s="22"/>
      <c r="BF22" s="22"/>
      <c r="BG22" s="22"/>
      <c r="BH22" s="22"/>
      <c r="BI22" s="22"/>
      <c r="BJ22" s="22"/>
      <c r="BK22" s="22"/>
      <c r="BL22" s="211"/>
      <c r="BM22" s="22"/>
      <c r="BN22" s="22"/>
      <c r="BO22" s="22"/>
      <c r="BP22" s="22"/>
      <c r="BQ22" t="s" s="209">
        <v>267</v>
      </c>
      <c r="BR22" s="208">
        <v>0.2</v>
      </c>
      <c r="BS22" s="22"/>
      <c r="BT22" s="22"/>
      <c r="BU22" s="22"/>
      <c r="BV22" s="22"/>
      <c r="BW22" s="22"/>
      <c r="BX22" t="s" s="209">
        <v>268</v>
      </c>
      <c r="BY22" s="215">
        <v>91.5</v>
      </c>
      <c r="BZ22" s="216">
        <f>1700/2.19</f>
        <v>776.255707762557</v>
      </c>
      <c r="CA22" s="217">
        <v>532</v>
      </c>
      <c r="CB22" s="218">
        <f>0</f>
        <v>0</v>
      </c>
      <c r="CC22" s="219"/>
      <c r="CD22" t="s" s="220">
        <v>269</v>
      </c>
      <c r="CE22" s="208">
        <v>2</v>
      </c>
      <c r="CF22" s="22"/>
      <c r="CG22" t="s" s="209">
        <v>270</v>
      </c>
      <c r="CH22" s="22"/>
      <c r="CI22" s="22"/>
      <c r="CJ22" s="22"/>
      <c r="CK22" s="22"/>
      <c r="CL22" s="22"/>
    </row>
    <row r="23" ht="15" customHeight="1">
      <c r="A23" s="19"/>
      <c r="B23" s="32"/>
      <c r="C23" s="33"/>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t="s" s="182">
        <v>271</v>
      </c>
      <c r="AI23" s="183">
        <v>0.6</v>
      </c>
      <c r="AJ23" s="34"/>
      <c r="AK23" s="34"/>
      <c r="AL23" s="181"/>
      <c r="AM23" s="22"/>
      <c r="AN23" s="22"/>
      <c r="AO23" s="22"/>
      <c r="AP23" s="22"/>
      <c r="AQ23" t="s" s="182">
        <v>271</v>
      </c>
      <c r="AR23" s="183">
        <v>0.6</v>
      </c>
      <c r="AS23" s="22"/>
      <c r="AT23" s="22"/>
      <c r="AU23" s="188"/>
      <c r="AV23" s="22"/>
      <c r="AW23" s="22"/>
      <c r="AX23" s="22"/>
      <c r="AY23" s="22"/>
      <c r="AZ23" s="22"/>
      <c r="BA23" s="22"/>
      <c r="BB23" s="211"/>
      <c r="BC23" s="22"/>
      <c r="BD23" s="22"/>
      <c r="BE23" s="22"/>
      <c r="BF23" s="22"/>
      <c r="BG23" s="22"/>
      <c r="BH23" s="22"/>
      <c r="BI23" s="22"/>
      <c r="BJ23" s="22"/>
      <c r="BK23" s="22"/>
      <c r="BL23" s="22"/>
      <c r="BM23" s="22"/>
      <c r="BN23" s="22"/>
      <c r="BO23" s="22"/>
      <c r="BP23" s="22"/>
      <c r="BQ23" t="s" s="182">
        <v>272</v>
      </c>
      <c r="BR23" s="208">
        <v>1.6</v>
      </c>
      <c r="BS23" s="22"/>
      <c r="BT23" s="22"/>
      <c r="BU23" s="22"/>
      <c r="BV23" s="22"/>
      <c r="BW23" s="22"/>
      <c r="BX23" s="22"/>
      <c r="BY23" s="22"/>
      <c r="BZ23" s="221">
        <f>1500/2.19</f>
        <v>684.931506849315</v>
      </c>
      <c r="CA23" s="222"/>
      <c r="CB23" s="223">
        <f t="shared" si="16" ref="CB23:CB43">200/2.19</f>
        <v>91.324200913242</v>
      </c>
      <c r="CC23" s="224"/>
      <c r="CD23" s="22"/>
      <c r="CE23" s="22"/>
      <c r="CF23" s="22"/>
      <c r="CG23" s="22"/>
      <c r="CH23" s="22"/>
      <c r="CI23" s="22"/>
      <c r="CJ23" s="22"/>
      <c r="CK23" s="22"/>
      <c r="CL23" s="22"/>
    </row>
    <row r="24" ht="15" customHeight="1">
      <c r="A24" s="19"/>
      <c r="B24" s="32"/>
      <c r="C24" s="33"/>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181"/>
      <c r="AM24" s="22"/>
      <c r="AN24" s="22"/>
      <c r="AO24" s="22"/>
      <c r="AP24" s="22"/>
      <c r="AQ24" s="22"/>
      <c r="AR24" s="22"/>
      <c r="AS24" s="22"/>
      <c r="AT24" s="22"/>
      <c r="AU24" s="188"/>
      <c r="AV24" s="22"/>
      <c r="AW24" s="22"/>
      <c r="AX24" s="22"/>
      <c r="AY24" s="22"/>
      <c r="AZ24" s="22"/>
      <c r="BA24" s="22"/>
      <c r="BB24" s="22"/>
      <c r="BC24" s="22"/>
      <c r="BD24" s="22"/>
      <c r="BE24" s="22"/>
      <c r="BF24" s="22"/>
      <c r="BG24" s="22"/>
      <c r="BH24" s="22"/>
      <c r="BI24" s="22"/>
      <c r="BJ24" s="22"/>
      <c r="BK24" s="22"/>
      <c r="BL24" s="22"/>
      <c r="BM24" s="22"/>
      <c r="BN24" s="22"/>
      <c r="BO24" s="22"/>
      <c r="BP24" s="22"/>
      <c r="BQ24" t="s" s="209">
        <v>210</v>
      </c>
      <c r="BR24" s="208">
        <v>0.1</v>
      </c>
      <c r="BS24" s="22"/>
      <c r="BT24" s="22"/>
      <c r="BU24" s="22"/>
      <c r="BV24" s="22"/>
      <c r="BW24" s="22"/>
      <c r="BX24" s="22"/>
      <c r="BY24" s="22"/>
      <c r="BZ24" s="22"/>
      <c r="CA24" s="212"/>
      <c r="CB24" s="22"/>
      <c r="CC24" s="212"/>
      <c r="CD24" s="22"/>
      <c r="CE24" s="22"/>
      <c r="CF24" s="22"/>
      <c r="CG24" s="22"/>
      <c r="CH24" s="22"/>
      <c r="CI24" s="22"/>
      <c r="CJ24" s="22"/>
      <c r="CK24" s="22"/>
      <c r="CL24" s="22"/>
    </row>
    <row r="25" ht="15" customHeight="1">
      <c r="A25" s="19"/>
      <c r="B25" s="32"/>
      <c r="C25" s="3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181"/>
      <c r="AM25" s="22"/>
      <c r="AN25" s="22"/>
      <c r="AO25" s="22"/>
      <c r="AP25" s="22"/>
      <c r="AQ25" s="22"/>
      <c r="AR25" s="22"/>
      <c r="AS25" s="22"/>
      <c r="AT25" s="22"/>
      <c r="AU25" s="188"/>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12"/>
      <c r="CB25" s="22"/>
      <c r="CC25" s="212"/>
      <c r="CD25" s="22"/>
      <c r="CE25" s="22"/>
      <c r="CF25" s="22"/>
      <c r="CG25" s="22"/>
      <c r="CH25" s="22"/>
      <c r="CI25" s="22"/>
      <c r="CJ25" s="22"/>
      <c r="CK25" s="22"/>
      <c r="CL25" s="22"/>
    </row>
    <row r="26" ht="15" customHeight="1">
      <c r="A26" s="19"/>
      <c r="B26" s="32"/>
      <c r="C26" s="33"/>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181"/>
      <c r="AM26" s="22"/>
      <c r="AN26" s="22"/>
      <c r="AO26" s="22"/>
      <c r="AP26" s="22"/>
      <c r="AQ26" s="22"/>
      <c r="AR26" s="22"/>
      <c r="AS26" s="22"/>
      <c r="AT26" s="22"/>
      <c r="AU26" s="188"/>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12"/>
      <c r="CB26" s="22"/>
      <c r="CC26" s="212"/>
      <c r="CD26" s="22"/>
      <c r="CE26" s="22"/>
      <c r="CF26" s="22"/>
      <c r="CG26" s="22"/>
      <c r="CH26" s="22"/>
      <c r="CI26" s="22"/>
      <c r="CJ26" s="22"/>
      <c r="CK26" s="22"/>
      <c r="CL26" s="22"/>
    </row>
    <row r="27" ht="15" customHeight="1">
      <c r="A27" s="19"/>
      <c r="B27" s="3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181"/>
      <c r="AM27" s="22"/>
      <c r="AN27" s="22"/>
      <c r="AO27" s="22"/>
      <c r="AP27" s="22"/>
      <c r="AQ27" s="22"/>
      <c r="AR27" s="22"/>
      <c r="AS27" s="22"/>
      <c r="AT27" s="22"/>
      <c r="AU27" s="188"/>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12"/>
      <c r="CB27" s="22"/>
      <c r="CC27" s="212"/>
      <c r="CD27" s="22"/>
      <c r="CE27" s="22"/>
      <c r="CF27" s="22"/>
      <c r="CG27" s="22"/>
      <c r="CH27" s="22"/>
      <c r="CI27" s="22"/>
      <c r="CJ27" s="22"/>
      <c r="CK27" s="22"/>
      <c r="CL27" s="22"/>
    </row>
    <row r="28" ht="15" customHeight="1">
      <c r="A28" s="19"/>
      <c r="B28" s="32"/>
      <c r="C28" s="33"/>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181"/>
      <c r="AM28" s="22"/>
      <c r="AN28" s="22"/>
      <c r="AO28" s="22"/>
      <c r="AP28" s="22"/>
      <c r="AQ28" s="22"/>
      <c r="AR28" s="22"/>
      <c r="AS28" s="22"/>
      <c r="AT28" s="22"/>
      <c r="AU28" s="188"/>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12"/>
      <c r="CB28" s="22"/>
      <c r="CC28" s="212"/>
      <c r="CD28" s="22"/>
      <c r="CE28" s="22"/>
      <c r="CF28" s="22"/>
      <c r="CG28" s="22"/>
      <c r="CH28" s="22"/>
      <c r="CI28" s="22"/>
      <c r="CJ28" s="22"/>
      <c r="CK28" s="22"/>
      <c r="CL28" s="22"/>
    </row>
    <row r="29" ht="15" customHeight="1">
      <c r="A29" s="19"/>
      <c r="B29" s="32"/>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181"/>
      <c r="AM29" s="22"/>
      <c r="AN29" s="22"/>
      <c r="AO29" s="22"/>
      <c r="AP29" s="22"/>
      <c r="AQ29" s="22"/>
      <c r="AR29" s="22"/>
      <c r="AS29" s="22"/>
      <c r="AT29" s="22"/>
      <c r="AU29" s="188"/>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12"/>
      <c r="CB29" s="22"/>
      <c r="CC29" s="212"/>
      <c r="CD29" s="22"/>
      <c r="CE29" s="22"/>
      <c r="CF29" s="22"/>
      <c r="CG29" s="22"/>
      <c r="CH29" s="22"/>
      <c r="CI29" s="22"/>
      <c r="CJ29" s="22"/>
      <c r="CK29" s="22"/>
      <c r="CL29" s="22"/>
    </row>
    <row r="30" ht="15" customHeight="1">
      <c r="A30" s="19"/>
      <c r="B30" s="32"/>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181"/>
      <c r="AM30" s="22"/>
      <c r="AN30" s="22"/>
      <c r="AO30" s="22"/>
      <c r="AP30" s="22"/>
      <c r="AQ30" s="22"/>
      <c r="AR30" s="22"/>
      <c r="AS30" s="22"/>
      <c r="AT30" s="22"/>
      <c r="AU30" s="188"/>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12"/>
      <c r="CB30" s="22"/>
      <c r="CC30" s="212"/>
      <c r="CD30" s="22"/>
      <c r="CE30" s="22"/>
      <c r="CF30" s="22"/>
      <c r="CG30" s="22"/>
      <c r="CH30" s="22"/>
      <c r="CI30" s="22"/>
      <c r="CJ30" s="22"/>
      <c r="CK30" s="22"/>
      <c r="CL30" s="22"/>
    </row>
    <row r="31" ht="15" customHeight="1">
      <c r="A31" s="19"/>
      <c r="B31" s="3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181"/>
      <c r="AM31" s="22"/>
      <c r="AN31" s="22"/>
      <c r="AO31" s="22"/>
      <c r="AP31" s="22"/>
      <c r="AQ31" s="22"/>
      <c r="AR31" s="22"/>
      <c r="AS31" s="22"/>
      <c r="AT31" s="22"/>
      <c r="AU31" s="188"/>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12"/>
      <c r="CB31" s="22"/>
      <c r="CC31" s="212"/>
      <c r="CD31" s="22"/>
      <c r="CE31" s="22"/>
      <c r="CF31" s="22"/>
      <c r="CG31" s="22"/>
      <c r="CH31" s="22"/>
      <c r="CI31" s="22"/>
      <c r="CJ31" s="22"/>
      <c r="CK31" s="22"/>
      <c r="CL31" s="22"/>
    </row>
    <row r="32" ht="15" customHeight="1">
      <c r="A32" s="19"/>
      <c r="B32" s="3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181"/>
      <c r="AM32" s="22"/>
      <c r="AN32" s="22"/>
      <c r="AO32" s="22"/>
      <c r="AP32" s="22"/>
      <c r="AQ32" s="22"/>
      <c r="AR32" s="22"/>
      <c r="AS32" s="22"/>
      <c r="AT32" s="22"/>
      <c r="AU32" s="188"/>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12"/>
      <c r="CB32" s="22"/>
      <c r="CC32" s="212"/>
      <c r="CD32" s="22"/>
      <c r="CE32" s="22"/>
      <c r="CF32" s="22"/>
      <c r="CG32" s="22"/>
      <c r="CH32" s="22"/>
      <c r="CI32" s="22"/>
      <c r="CJ32" s="22"/>
      <c r="CK32" s="22"/>
      <c r="CL32" s="22"/>
    </row>
    <row r="33" ht="15" customHeight="1">
      <c r="A33" s="19"/>
      <c r="B33" s="32"/>
      <c r="C33" s="33"/>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181"/>
      <c r="AM33" s="22"/>
      <c r="AN33" s="22"/>
      <c r="AO33" s="22"/>
      <c r="AP33" s="22"/>
      <c r="AQ33" s="22"/>
      <c r="AR33" s="22"/>
      <c r="AS33" s="22"/>
      <c r="AT33" s="22"/>
      <c r="AU33" s="188"/>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12"/>
      <c r="CB33" s="22"/>
      <c r="CC33" s="212"/>
      <c r="CD33" s="22"/>
      <c r="CE33" s="22"/>
      <c r="CF33" s="22"/>
      <c r="CG33" s="22"/>
      <c r="CH33" s="22"/>
      <c r="CI33" s="22"/>
      <c r="CJ33" s="22"/>
      <c r="CK33" s="22"/>
      <c r="CL33" s="22"/>
    </row>
    <row r="34" ht="15" customHeight="1">
      <c r="A34" s="19"/>
      <c r="B34" s="32"/>
      <c r="C34" s="33"/>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181"/>
      <c r="AM34" s="22"/>
      <c r="AN34" s="22"/>
      <c r="AO34" s="22"/>
      <c r="AP34" s="22"/>
      <c r="AQ34" s="22"/>
      <c r="AR34" s="22"/>
      <c r="AS34" s="22"/>
      <c r="AT34" s="22"/>
      <c r="AU34" s="188"/>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12"/>
      <c r="CB34" s="22"/>
      <c r="CC34" s="212"/>
      <c r="CD34" s="22"/>
      <c r="CE34" s="22"/>
      <c r="CF34" s="22"/>
      <c r="CG34" s="22"/>
      <c r="CH34" s="22"/>
      <c r="CI34" s="22"/>
      <c r="CJ34" s="22"/>
      <c r="CK34" s="22"/>
      <c r="CL34" s="22"/>
    </row>
    <row r="35" ht="15" customHeight="1">
      <c r="A35" s="19"/>
      <c r="B35" s="37"/>
      <c r="C35" s="38"/>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6"/>
      <c r="AM35" s="227"/>
      <c r="AN35" s="227"/>
      <c r="AO35" s="227"/>
      <c r="AP35" s="227"/>
      <c r="AQ35" s="227"/>
      <c r="AR35" s="227"/>
      <c r="AS35" s="227"/>
      <c r="AT35" s="227"/>
      <c r="AU35" s="228"/>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9"/>
      <c r="CB35" s="227"/>
      <c r="CC35" s="229"/>
      <c r="CD35" s="227"/>
      <c r="CE35" s="227"/>
      <c r="CF35" s="227"/>
      <c r="CG35" s="227"/>
      <c r="CH35" s="227"/>
      <c r="CI35" s="227"/>
      <c r="CJ35" s="227"/>
      <c r="CK35" s="227"/>
      <c r="CL35" s="227"/>
    </row>
    <row r="36" ht="15" customHeight="1">
      <c r="A36" s="19"/>
      <c r="B36" s="37"/>
      <c r="C36" s="38"/>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6"/>
      <c r="AM36" s="227"/>
      <c r="AN36" s="227"/>
      <c r="AO36" s="227"/>
      <c r="AP36" s="227"/>
      <c r="AQ36" s="227"/>
      <c r="AR36" s="227"/>
      <c r="AS36" s="227"/>
      <c r="AT36" s="227"/>
      <c r="AU36" s="228"/>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9"/>
      <c r="CB36" s="227"/>
      <c r="CC36" s="229"/>
      <c r="CD36" s="227"/>
      <c r="CE36" s="227"/>
      <c r="CF36" s="227"/>
      <c r="CG36" s="227"/>
      <c r="CH36" s="227"/>
      <c r="CI36" s="227"/>
      <c r="CJ36" s="227"/>
      <c r="CK36" s="227"/>
      <c r="CL36" s="227"/>
    </row>
    <row r="37" ht="15" customHeight="1">
      <c r="A37" s="19"/>
      <c r="B37" s="37"/>
      <c r="C37" s="38"/>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6"/>
      <c r="AM37" s="227"/>
      <c r="AN37" s="227"/>
      <c r="AO37" s="227"/>
      <c r="AP37" s="227"/>
      <c r="AQ37" s="227"/>
      <c r="AR37" s="227"/>
      <c r="AS37" s="227"/>
      <c r="AT37" s="227"/>
      <c r="AU37" s="228"/>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7"/>
      <c r="BY37" s="227"/>
      <c r="BZ37" s="227"/>
      <c r="CA37" s="229"/>
      <c r="CB37" s="227"/>
      <c r="CC37" s="229"/>
      <c r="CD37" s="227"/>
      <c r="CE37" s="227"/>
      <c r="CF37" s="227"/>
      <c r="CG37" s="227"/>
      <c r="CH37" s="227"/>
      <c r="CI37" s="227"/>
      <c r="CJ37" s="227"/>
      <c r="CK37" s="227"/>
      <c r="CL37" s="227"/>
    </row>
    <row r="38" ht="15" customHeight="1">
      <c r="A38" s="19"/>
      <c r="B38" s="37"/>
      <c r="C38" s="38"/>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6"/>
      <c r="AM38" s="227"/>
      <c r="AN38" s="227"/>
      <c r="AO38" s="227"/>
      <c r="AP38" s="227"/>
      <c r="AQ38" s="227"/>
      <c r="AR38" s="227"/>
      <c r="AS38" s="227"/>
      <c r="AT38" s="227"/>
      <c r="AU38" s="228"/>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9"/>
      <c r="CB38" s="227"/>
      <c r="CC38" s="229"/>
      <c r="CD38" s="227"/>
      <c r="CE38" s="227"/>
      <c r="CF38" s="227"/>
      <c r="CG38" s="227"/>
      <c r="CH38" s="227"/>
      <c r="CI38" s="227"/>
      <c r="CJ38" s="227"/>
      <c r="CK38" s="227"/>
      <c r="CL38" s="227"/>
    </row>
    <row r="39" ht="15" customHeight="1">
      <c r="A39" s="19"/>
      <c r="B39" s="37"/>
      <c r="C39" s="38"/>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6"/>
      <c r="AM39" s="227"/>
      <c r="AN39" s="227"/>
      <c r="AO39" s="227"/>
      <c r="AP39" s="227"/>
      <c r="AQ39" s="227"/>
      <c r="AR39" s="227"/>
      <c r="AS39" s="227"/>
      <c r="AT39" s="227"/>
      <c r="AU39" s="228"/>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9"/>
      <c r="CB39" s="227"/>
      <c r="CC39" s="229"/>
      <c r="CD39" s="227"/>
      <c r="CE39" s="227"/>
      <c r="CF39" s="227"/>
      <c r="CG39" s="227"/>
      <c r="CH39" s="227"/>
      <c r="CI39" s="227"/>
      <c r="CJ39" s="227"/>
      <c r="CK39" s="227"/>
      <c r="CL39" s="227"/>
    </row>
    <row r="40" ht="15" customHeight="1">
      <c r="A40" s="19"/>
      <c r="B40" s="37"/>
      <c r="C40" s="38"/>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6"/>
      <c r="AM40" s="227"/>
      <c r="AN40" s="227"/>
      <c r="AO40" s="227"/>
      <c r="AP40" s="227"/>
      <c r="AQ40" s="227"/>
      <c r="AR40" s="227"/>
      <c r="AS40" s="227"/>
      <c r="AT40" s="227"/>
      <c r="AU40" s="228"/>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9"/>
      <c r="CB40" s="227"/>
      <c r="CC40" s="229"/>
      <c r="CD40" s="227"/>
      <c r="CE40" s="227"/>
      <c r="CF40" s="227"/>
      <c r="CG40" s="227"/>
      <c r="CH40" s="227"/>
      <c r="CI40" s="227"/>
      <c r="CJ40" s="227"/>
      <c r="CK40" s="227"/>
      <c r="CL40" s="227"/>
    </row>
    <row r="41" ht="15" customHeight="1">
      <c r="A41" s="19"/>
      <c r="B41" s="37"/>
      <c r="C41" s="38"/>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6"/>
      <c r="AM41" s="227"/>
      <c r="AN41" s="227"/>
      <c r="AO41" s="227"/>
      <c r="AP41" s="227"/>
      <c r="AQ41" s="227"/>
      <c r="AR41" s="227"/>
      <c r="AS41" s="227"/>
      <c r="AT41" s="227"/>
      <c r="AU41" s="228"/>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9"/>
      <c r="CB41" s="227"/>
      <c r="CC41" s="229"/>
      <c r="CD41" s="227"/>
      <c r="CE41" s="227"/>
      <c r="CF41" s="227"/>
      <c r="CG41" s="227"/>
      <c r="CH41" s="227"/>
      <c r="CI41" s="227"/>
      <c r="CJ41" s="227"/>
      <c r="CK41" s="227"/>
      <c r="CL41" s="227"/>
    </row>
    <row r="42" ht="15" customHeight="1">
      <c r="A42" s="23"/>
      <c r="B42" s="40"/>
      <c r="C42" s="4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230"/>
      <c r="AM42" s="231"/>
      <c r="AN42" s="231"/>
      <c r="AO42" s="231"/>
      <c r="AP42" s="231"/>
      <c r="AQ42" s="231"/>
      <c r="AR42" s="231"/>
      <c r="AS42" s="231"/>
      <c r="AT42" s="231"/>
      <c r="AU42" s="232"/>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3"/>
      <c r="CB42" s="231"/>
      <c r="CC42" s="233"/>
      <c r="CD42" s="231"/>
      <c r="CE42" s="231"/>
      <c r="CF42" s="231"/>
      <c r="CG42" s="231"/>
      <c r="CH42" s="231"/>
      <c r="CI42" s="231"/>
      <c r="CJ42" s="231"/>
      <c r="CK42" s="231"/>
      <c r="CL42" s="231"/>
    </row>
    <row r="43" ht="15" customHeight="1">
      <c r="A43" s="234">
        <v>4</v>
      </c>
      <c r="B43" t="s" s="235">
        <v>14</v>
      </c>
      <c r="C43" t="s" s="18">
        <v>273</v>
      </c>
      <c r="D43" s="165">
        <v>4</v>
      </c>
      <c r="E43" s="236">
        <v>745.15</v>
      </c>
      <c r="F43" s="166">
        <v>2010</v>
      </c>
      <c r="G43" t="s" s="18">
        <v>274</v>
      </c>
      <c r="H43" s="165">
        <v>300</v>
      </c>
      <c r="I43" s="166">
        <v>2017</v>
      </c>
      <c r="J43" t="s" s="18">
        <v>275</v>
      </c>
      <c r="K43" s="167">
        <v>3.5</v>
      </c>
      <c r="L43" s="166">
        <v>2017</v>
      </c>
      <c r="M43" t="s" s="18">
        <v>276</v>
      </c>
      <c r="N43" s="167">
        <v>60</v>
      </c>
      <c r="O43" s="167">
        <v>2010</v>
      </c>
      <c r="P43" t="s" s="18">
        <v>277</v>
      </c>
      <c r="Q43" s="167">
        <v>40</v>
      </c>
      <c r="R43" s="167">
        <v>2010</v>
      </c>
      <c r="S43" t="s" s="18">
        <v>278</v>
      </c>
      <c r="T43" s="167">
        <v>40</v>
      </c>
      <c r="U43" s="168"/>
      <c r="V43" t="s" s="18">
        <v>279</v>
      </c>
      <c r="W43" s="167">
        <v>40</v>
      </c>
      <c r="X43" s="168"/>
      <c r="Y43" t="s" s="18">
        <v>279</v>
      </c>
      <c r="Z43" s="167">
        <v>15</v>
      </c>
      <c r="AA43" s="169"/>
      <c r="AB43" t="s" s="18">
        <v>279</v>
      </c>
      <c r="AC43" t="s" s="170">
        <v>280</v>
      </c>
      <c r="AD43" t="s" s="170">
        <v>280</v>
      </c>
      <c r="AE43" t="s" s="170">
        <v>281</v>
      </c>
      <c r="AF43" t="s" s="170">
        <v>281</v>
      </c>
      <c r="AG43" s="237">
        <v>0.24</v>
      </c>
      <c r="AH43" t="s" s="170">
        <v>200</v>
      </c>
      <c r="AI43" s="238">
        <v>0.85</v>
      </c>
      <c r="AJ43" s="172">
        <f t="shared" si="17" ref="AJ43:AS43">3.5/2.19</f>
        <v>1.59817351598174</v>
      </c>
      <c r="AK43" t="s" s="171">
        <v>215</v>
      </c>
      <c r="AL43" s="197">
        <v>1.09</v>
      </c>
      <c r="AM43" s="166">
        <v>7</v>
      </c>
      <c r="AN43" s="167">
        <v>24</v>
      </c>
      <c r="AO43" s="169"/>
      <c r="AP43" t="s" s="171">
        <v>282</v>
      </c>
      <c r="AQ43" t="s" s="171">
        <v>200</v>
      </c>
      <c r="AR43" s="238">
        <v>0.85</v>
      </c>
      <c r="AS43" s="172">
        <f t="shared" si="17"/>
        <v>1.59817351598174</v>
      </c>
      <c r="AT43" t="s" s="171">
        <v>215</v>
      </c>
      <c r="AU43" s="197">
        <v>1.09</v>
      </c>
      <c r="AV43" s="167">
        <v>7</v>
      </c>
      <c r="AW43" s="167">
        <v>24</v>
      </c>
      <c r="AX43" s="168"/>
      <c r="AY43" t="s" s="171">
        <v>282</v>
      </c>
      <c r="AZ43" s="167">
        <v>2</v>
      </c>
      <c r="BA43" s="167">
        <v>2</v>
      </c>
      <c r="BB43" s="169"/>
      <c r="BC43" s="167">
        <v>2</v>
      </c>
      <c r="BD43" t="s" s="170">
        <v>283</v>
      </c>
      <c r="BE43" s="168"/>
      <c r="BF43" s="167">
        <v>2</v>
      </c>
      <c r="BG43" s="169"/>
      <c r="BH43" s="168"/>
      <c r="BI43" s="167">
        <v>2</v>
      </c>
      <c r="BJ43" s="169"/>
      <c r="BK43" s="167">
        <v>2</v>
      </c>
      <c r="BL43" s="168"/>
      <c r="BM43" t="s" s="170">
        <v>229</v>
      </c>
      <c r="BN43" s="237">
        <v>0.25</v>
      </c>
      <c r="BO43" s="169"/>
      <c r="BP43" t="s" s="171">
        <v>282</v>
      </c>
      <c r="BQ43" t="s" s="171">
        <v>200</v>
      </c>
      <c r="BR43" s="167">
        <v>100</v>
      </c>
      <c r="BS43" s="168"/>
      <c r="BT43" s="169"/>
      <c r="BU43" t="s" s="171">
        <v>282</v>
      </c>
      <c r="BV43" t="s" s="18">
        <v>197</v>
      </c>
      <c r="BW43" t="s" s="18">
        <v>197</v>
      </c>
      <c r="BX43" t="s" s="171">
        <v>200</v>
      </c>
      <c r="BY43" s="167">
        <v>0</v>
      </c>
      <c r="BZ43" s="172">
        <f t="shared" si="19" ref="BZ43:BZ44">650/2.19</f>
        <v>296.803652968037</v>
      </c>
      <c r="CA43" s="176">
        <v>203</v>
      </c>
      <c r="CB43" s="172">
        <f t="shared" si="16"/>
        <v>91.324200913242</v>
      </c>
      <c r="CC43" s="176">
        <v>62</v>
      </c>
      <c r="CD43" s="168"/>
      <c r="CE43" s="167">
        <v>2</v>
      </c>
      <c r="CF43" s="168"/>
      <c r="CG43" s="167">
        <v>1</v>
      </c>
      <c r="CH43" s="169"/>
      <c r="CI43" t="s" s="171">
        <v>284</v>
      </c>
      <c r="CJ43" s="168"/>
      <c r="CK43" s="168"/>
      <c r="CL43" t="s" s="171">
        <v>200</v>
      </c>
    </row>
    <row r="44" ht="15" customHeight="1">
      <c r="A44" s="239"/>
      <c r="B44" s="240"/>
      <c r="C44" s="179"/>
      <c r="D44" s="179"/>
      <c r="E44" s="179"/>
      <c r="F44" s="179"/>
      <c r="G44" s="179"/>
      <c r="H44" s="179"/>
      <c r="I44" s="179"/>
      <c r="J44" s="179"/>
      <c r="K44" s="180"/>
      <c r="L44" s="180"/>
      <c r="M44" s="180"/>
      <c r="N44" s="34"/>
      <c r="O44" s="34"/>
      <c r="P44" s="34"/>
      <c r="Q44" s="34"/>
      <c r="R44" s="34"/>
      <c r="S44" s="34"/>
      <c r="T44" s="34"/>
      <c r="U44" s="34"/>
      <c r="V44" s="34"/>
      <c r="W44" s="34"/>
      <c r="X44" s="34"/>
      <c r="Y44" s="34"/>
      <c r="Z44" s="34"/>
      <c r="AA44" s="34"/>
      <c r="AB44" s="34"/>
      <c r="AC44" s="211"/>
      <c r="AD44" s="211"/>
      <c r="AE44" s="211"/>
      <c r="AF44" s="211"/>
      <c r="AG44" s="211"/>
      <c r="AH44" t="s" s="182">
        <v>285</v>
      </c>
      <c r="AI44" s="241">
        <v>0.01</v>
      </c>
      <c r="AJ44" s="202">
        <f>(12.5)/2.19</f>
        <v>5.70776255707763</v>
      </c>
      <c r="AK44" t="s" s="182">
        <v>286</v>
      </c>
      <c r="AL44" s="181">
        <v>3.91</v>
      </c>
      <c r="AM44" s="183">
        <v>7</v>
      </c>
      <c r="AN44" s="183">
        <v>24</v>
      </c>
      <c r="AO44" s="34"/>
      <c r="AP44" s="242"/>
      <c r="AQ44" t="s" s="182">
        <v>287</v>
      </c>
      <c r="AR44" s="241">
        <v>0.15</v>
      </c>
      <c r="AS44" s="210">
        <v>0</v>
      </c>
      <c r="AT44" s="22"/>
      <c r="AU44" s="188"/>
      <c r="AV44" s="22"/>
      <c r="AW44" s="22"/>
      <c r="AX44" s="34"/>
      <c r="AY44" s="22"/>
      <c r="AZ44" s="34"/>
      <c r="BA44" s="34"/>
      <c r="BB44" s="34"/>
      <c r="BC44" s="34"/>
      <c r="BD44" s="211"/>
      <c r="BE44" s="34"/>
      <c r="BF44" s="34"/>
      <c r="BG44" s="34"/>
      <c r="BH44" s="34"/>
      <c r="BI44" s="34"/>
      <c r="BJ44" s="34"/>
      <c r="BK44" s="34"/>
      <c r="BL44" s="34"/>
      <c r="BM44" t="s" s="243">
        <v>288</v>
      </c>
      <c r="BN44" s="244">
        <v>0.75</v>
      </c>
      <c r="BO44" s="34"/>
      <c r="BP44" s="22"/>
      <c r="BQ44" s="34"/>
      <c r="BR44" s="34"/>
      <c r="BS44" s="34"/>
      <c r="BT44" s="34"/>
      <c r="BU44" s="22"/>
      <c r="BV44" s="34"/>
      <c r="BW44" s="34"/>
      <c r="BX44" t="s" s="182">
        <v>230</v>
      </c>
      <c r="BY44" s="183">
        <v>5</v>
      </c>
      <c r="BZ44" s="202">
        <f t="shared" si="19"/>
        <v>296.803652968037</v>
      </c>
      <c r="CA44" s="187">
        <v>203</v>
      </c>
      <c r="CB44" s="202">
        <f>700/2.19</f>
        <v>319.634703196347</v>
      </c>
      <c r="CC44" s="187">
        <v>219</v>
      </c>
      <c r="CD44" t="s" s="182">
        <v>289</v>
      </c>
      <c r="CE44" t="s" s="182">
        <v>290</v>
      </c>
      <c r="CF44" t="s" s="182">
        <v>291</v>
      </c>
      <c r="CG44" t="s" s="182">
        <v>292</v>
      </c>
      <c r="CH44" s="34"/>
      <c r="CI44" s="22"/>
      <c r="CJ44" s="34"/>
      <c r="CK44" s="34"/>
      <c r="CL44" s="34"/>
    </row>
    <row r="45" ht="15" customHeight="1">
      <c r="A45" s="239"/>
      <c r="B45" s="245"/>
      <c r="C45" s="179"/>
      <c r="D45" s="179"/>
      <c r="E45" s="179"/>
      <c r="F45" s="179"/>
      <c r="G45" s="179"/>
      <c r="H45" s="179"/>
      <c r="I45" s="179"/>
      <c r="J45" s="179"/>
      <c r="K45" s="180"/>
      <c r="L45" s="180"/>
      <c r="M45" s="180"/>
      <c r="N45" s="34"/>
      <c r="O45" s="34"/>
      <c r="P45" s="34"/>
      <c r="Q45" s="34"/>
      <c r="R45" s="34"/>
      <c r="S45" s="34"/>
      <c r="T45" s="34"/>
      <c r="U45" s="34"/>
      <c r="V45" s="34"/>
      <c r="W45" s="34"/>
      <c r="X45" s="34"/>
      <c r="Y45" s="34"/>
      <c r="Z45" s="34"/>
      <c r="AA45" s="34"/>
      <c r="AB45" s="34"/>
      <c r="AC45" s="34"/>
      <c r="AD45" s="34"/>
      <c r="AE45" s="34"/>
      <c r="AF45" s="34"/>
      <c r="AG45" s="246"/>
      <c r="AH45" t="s" s="182">
        <v>287</v>
      </c>
      <c r="AI45" s="241">
        <v>0.15</v>
      </c>
      <c r="AJ45" s="210">
        <v>0</v>
      </c>
      <c r="AK45" s="22"/>
      <c r="AL45" s="188"/>
      <c r="AM45" s="34"/>
      <c r="AN45" s="34"/>
      <c r="AO45" s="34"/>
      <c r="AP45" s="34"/>
      <c r="AQ45" s="34"/>
      <c r="AR45" s="34"/>
      <c r="AS45" s="34"/>
      <c r="AT45" s="34"/>
      <c r="AU45" s="181"/>
      <c r="AV45" s="34"/>
      <c r="AW45" s="34"/>
      <c r="AX45" s="34"/>
      <c r="AY45" s="34"/>
      <c r="AZ45" s="34"/>
      <c r="BA45" s="34"/>
      <c r="BB45" s="34"/>
      <c r="BC45" s="34"/>
      <c r="BD45" s="34"/>
      <c r="BE45" s="34"/>
      <c r="BF45" s="34"/>
      <c r="BG45" s="34"/>
      <c r="BH45" s="34"/>
      <c r="BI45" s="34"/>
      <c r="BJ45" s="34"/>
      <c r="BK45" s="34"/>
      <c r="BL45" s="34"/>
      <c r="BM45" s="211"/>
      <c r="BN45" s="34"/>
      <c r="BO45" s="34"/>
      <c r="BP45" s="34"/>
      <c r="BQ45" s="34"/>
      <c r="BR45" s="34"/>
      <c r="BS45" s="34"/>
      <c r="BT45" s="34"/>
      <c r="BU45" s="34"/>
      <c r="BV45" s="34"/>
      <c r="BW45" s="34"/>
      <c r="BX45" t="s" s="182">
        <v>211</v>
      </c>
      <c r="BY45" s="241">
        <v>0.95</v>
      </c>
      <c r="BZ45" s="202">
        <f>400/2.19</f>
        <v>182.648401826484</v>
      </c>
      <c r="CA45" s="187">
        <v>125</v>
      </c>
      <c r="CB45" s="202">
        <f>50/2.19</f>
        <v>22.8310502283105</v>
      </c>
      <c r="CC45" s="187">
        <v>16</v>
      </c>
      <c r="CD45" s="34"/>
      <c r="CE45" s="183">
        <v>2</v>
      </c>
      <c r="CF45" s="34"/>
      <c r="CG45" s="183">
        <v>1</v>
      </c>
      <c r="CH45" s="34"/>
      <c r="CI45" s="34"/>
      <c r="CJ45" s="34"/>
      <c r="CK45" s="34"/>
      <c r="CL45" s="34"/>
    </row>
    <row r="46" ht="28.5" customHeight="1">
      <c r="A46" s="19"/>
      <c r="B46" s="44"/>
      <c r="C46" t="s" s="220">
        <v>293</v>
      </c>
      <c r="D46" s="179">
        <v>4</v>
      </c>
      <c r="E46" s="179">
        <v>6930</v>
      </c>
      <c r="F46" s="208">
        <v>2010</v>
      </c>
      <c r="G46" t="s" s="209">
        <v>294</v>
      </c>
      <c r="H46" s="179">
        <v>2000</v>
      </c>
      <c r="I46" s="208">
        <v>2018</v>
      </c>
      <c r="J46" t="s" s="209">
        <v>295</v>
      </c>
      <c r="K46" s="183">
        <v>3.46</v>
      </c>
      <c r="L46" s="183">
        <v>2010</v>
      </c>
      <c r="M46" t="s" s="247">
        <v>296</v>
      </c>
      <c r="N46" s="183">
        <v>60</v>
      </c>
      <c r="O46" s="183">
        <v>2010</v>
      </c>
      <c r="P46" t="s" s="182">
        <v>297</v>
      </c>
      <c r="Q46" s="183">
        <v>40</v>
      </c>
      <c r="R46" s="183">
        <v>2010</v>
      </c>
      <c r="S46" t="s" s="182">
        <v>297</v>
      </c>
      <c r="T46" s="34"/>
      <c r="U46" s="34"/>
      <c r="V46" s="34"/>
      <c r="W46" s="34"/>
      <c r="X46" s="34"/>
      <c r="Y46" s="34"/>
      <c r="Z46" s="34"/>
      <c r="AA46" s="34"/>
      <c r="AB46" s="34"/>
      <c r="AC46" t="s" s="243">
        <v>298</v>
      </c>
      <c r="AD46" s="211"/>
      <c r="AE46" t="s" s="243">
        <v>299</v>
      </c>
      <c r="AF46" s="248"/>
      <c r="AG46" s="249"/>
      <c r="AH46" t="s" s="250">
        <v>200</v>
      </c>
      <c r="AI46" s="183">
        <v>100</v>
      </c>
      <c r="AJ46" t="s" s="209">
        <v>300</v>
      </c>
      <c r="AK46" s="22"/>
      <c r="AL46" s="188">
        <v>0.22</v>
      </c>
      <c r="AM46" s="208">
        <v>7</v>
      </c>
      <c r="AN46" s="208">
        <v>24</v>
      </c>
      <c r="AO46" t="s" s="182">
        <v>301</v>
      </c>
      <c r="AP46" s="34"/>
      <c r="AQ46" t="s" s="182">
        <v>302</v>
      </c>
      <c r="AR46" s="34"/>
      <c r="AS46" s="34"/>
      <c r="AT46" s="34"/>
      <c r="AU46" s="181"/>
      <c r="AV46" s="34"/>
      <c r="AW46" s="34"/>
      <c r="AX46" s="34"/>
      <c r="AY46" s="34"/>
      <c r="AZ46" s="183">
        <v>2</v>
      </c>
      <c r="BA46" s="183">
        <v>2</v>
      </c>
      <c r="BB46" s="34"/>
      <c r="BC46" s="183">
        <v>1</v>
      </c>
      <c r="BD46" t="s" s="182">
        <v>303</v>
      </c>
      <c r="BE46" s="183">
        <v>2</v>
      </c>
      <c r="BF46" s="183">
        <v>2</v>
      </c>
      <c r="BG46" s="34"/>
      <c r="BH46" s="34"/>
      <c r="BI46" s="183">
        <v>2</v>
      </c>
      <c r="BJ46" s="34"/>
      <c r="BK46" s="183">
        <v>2</v>
      </c>
      <c r="BL46" s="34"/>
      <c r="BM46" t="s" s="243">
        <v>229</v>
      </c>
      <c r="BN46" t="s" s="182">
        <v>304</v>
      </c>
      <c r="BO46" s="34"/>
      <c r="BP46" s="34"/>
      <c r="BQ46" t="s" s="182">
        <v>200</v>
      </c>
      <c r="BR46" s="183">
        <v>100</v>
      </c>
      <c r="BS46" s="34"/>
      <c r="BT46" t="s" s="182">
        <v>305</v>
      </c>
      <c r="BU46" s="34"/>
      <c r="BV46" t="s" s="182">
        <v>306</v>
      </c>
      <c r="BW46" t="s" s="182">
        <v>306</v>
      </c>
      <c r="BX46" t="s" s="182">
        <v>200</v>
      </c>
      <c r="BY46" s="183">
        <v>40</v>
      </c>
      <c r="BZ46" t="s" s="182">
        <v>307</v>
      </c>
      <c r="CA46" s="251">
        <v>130</v>
      </c>
      <c r="CB46" t="s" s="182">
        <v>308</v>
      </c>
      <c r="CC46" s="187">
        <v>52</v>
      </c>
      <c r="CD46" s="34"/>
      <c r="CE46" s="183">
        <v>1</v>
      </c>
      <c r="CF46" t="s" s="182">
        <v>309</v>
      </c>
      <c r="CG46" t="s" s="182">
        <v>310</v>
      </c>
      <c r="CH46" t="s" s="182">
        <v>305</v>
      </c>
      <c r="CI46" s="34"/>
      <c r="CJ46" s="34"/>
      <c r="CK46" s="34"/>
      <c r="CL46" t="s" s="182">
        <v>200</v>
      </c>
    </row>
    <row r="47" ht="31.5" customHeight="1">
      <c r="A47" s="19"/>
      <c r="B47" s="44"/>
      <c r="C47" s="190"/>
      <c r="D47" s="179"/>
      <c r="E47" s="179"/>
      <c r="F47" s="179"/>
      <c r="G47" s="179"/>
      <c r="H47" s="179"/>
      <c r="I47" s="179"/>
      <c r="J47" s="179"/>
      <c r="K47" s="34"/>
      <c r="L47" s="34"/>
      <c r="M47" s="34"/>
      <c r="N47" s="34"/>
      <c r="O47" s="34"/>
      <c r="P47" s="34"/>
      <c r="Q47" s="34"/>
      <c r="R47" s="34"/>
      <c r="S47" s="34"/>
      <c r="T47" s="34"/>
      <c r="U47" s="34"/>
      <c r="V47" s="34"/>
      <c r="W47" s="34"/>
      <c r="X47" s="34"/>
      <c r="Y47" s="34"/>
      <c r="Z47" s="34"/>
      <c r="AA47" s="34"/>
      <c r="AB47" s="34"/>
      <c r="AC47" s="34"/>
      <c r="AD47" s="34"/>
      <c r="AE47" s="34"/>
      <c r="AF47" s="34"/>
      <c r="AG47" s="189"/>
      <c r="AH47" s="34"/>
      <c r="AI47" s="34"/>
      <c r="AJ47" t="s" s="209">
        <v>311</v>
      </c>
      <c r="AK47" t="s" s="209">
        <v>215</v>
      </c>
      <c r="AL47" s="188"/>
      <c r="AM47" s="22"/>
      <c r="AN47" s="22"/>
      <c r="AO47" s="34"/>
      <c r="AP47" s="34"/>
      <c r="AQ47" s="34"/>
      <c r="AR47" s="34"/>
      <c r="AS47" s="34"/>
      <c r="AT47" s="34"/>
      <c r="AU47" s="181"/>
      <c r="AV47" s="34"/>
      <c r="AW47" s="34"/>
      <c r="AX47" s="34"/>
      <c r="AY47" s="34"/>
      <c r="AZ47" s="34"/>
      <c r="BA47" s="34"/>
      <c r="BB47" s="34"/>
      <c r="BC47" s="34"/>
      <c r="BD47" s="34"/>
      <c r="BE47" s="34"/>
      <c r="BF47" s="34"/>
      <c r="BG47" s="34"/>
      <c r="BH47" s="34"/>
      <c r="BI47" s="34"/>
      <c r="BJ47" s="34"/>
      <c r="BK47" s="34"/>
      <c r="BL47" s="34"/>
      <c r="BM47" t="s" s="243">
        <v>312</v>
      </c>
      <c r="BN47" t="s" s="182">
        <v>313</v>
      </c>
      <c r="BO47" s="34"/>
      <c r="BP47" s="34"/>
      <c r="BQ47" s="34"/>
      <c r="BR47" s="34"/>
      <c r="BS47" s="34"/>
      <c r="BT47" s="34"/>
      <c r="BU47" s="34"/>
      <c r="BV47" s="34"/>
      <c r="BW47" s="34"/>
      <c r="BX47" t="s" s="182">
        <v>230</v>
      </c>
      <c r="BY47" s="183">
        <v>0.5</v>
      </c>
      <c r="BZ47" t="s" s="182">
        <v>307</v>
      </c>
      <c r="CA47" s="251">
        <v>130</v>
      </c>
      <c r="CB47" t="s" s="182">
        <v>314</v>
      </c>
      <c r="CC47" s="187">
        <v>219</v>
      </c>
      <c r="CD47" t="s" s="182">
        <v>315</v>
      </c>
      <c r="CE47" s="183">
        <v>1</v>
      </c>
      <c r="CF47" t="s" s="182">
        <v>316</v>
      </c>
      <c r="CG47" t="s" s="182">
        <v>317</v>
      </c>
      <c r="CH47" s="34"/>
      <c r="CI47" s="34"/>
      <c r="CJ47" s="34"/>
      <c r="CK47" s="34"/>
      <c r="CL47" s="34"/>
    </row>
    <row r="48" ht="15" customHeight="1">
      <c r="A48" s="19"/>
      <c r="B48" s="44"/>
      <c r="C48" s="190"/>
      <c r="D48" s="179"/>
      <c r="E48" s="179"/>
      <c r="F48" s="179"/>
      <c r="G48" s="179"/>
      <c r="H48" s="179"/>
      <c r="I48" s="179"/>
      <c r="J48" s="179"/>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22"/>
      <c r="AK48" s="22"/>
      <c r="AL48" s="188"/>
      <c r="AM48" s="22"/>
      <c r="AN48" s="22"/>
      <c r="AO48" s="34"/>
      <c r="AP48" s="34"/>
      <c r="AQ48" s="34"/>
      <c r="AR48" s="34"/>
      <c r="AS48" s="34"/>
      <c r="AT48" s="34"/>
      <c r="AU48" s="181"/>
      <c r="AV48" s="34"/>
      <c r="AW48" s="34"/>
      <c r="AX48" s="34"/>
      <c r="AY48" s="34"/>
      <c r="AZ48" s="34"/>
      <c r="BA48" s="34"/>
      <c r="BB48" s="34"/>
      <c r="BC48" s="34"/>
      <c r="BD48" s="34"/>
      <c r="BE48" s="34"/>
      <c r="BF48" s="34"/>
      <c r="BG48" s="34"/>
      <c r="BH48" s="34"/>
      <c r="BI48" s="34"/>
      <c r="BJ48" s="34"/>
      <c r="BK48" s="34"/>
      <c r="BL48" s="34"/>
      <c r="BM48" s="211"/>
      <c r="BN48" s="34"/>
      <c r="BO48" s="34"/>
      <c r="BP48" s="34"/>
      <c r="BQ48" s="34"/>
      <c r="BR48" s="34"/>
      <c r="BS48" s="34"/>
      <c r="BT48" s="34"/>
      <c r="BU48" s="34"/>
      <c r="BV48" s="34"/>
      <c r="BW48" s="34"/>
      <c r="BX48" t="s" s="182">
        <v>318</v>
      </c>
      <c r="BY48" s="183">
        <v>59.5</v>
      </c>
      <c r="BZ48" t="s" s="182">
        <v>307</v>
      </c>
      <c r="CA48" s="187">
        <v>130</v>
      </c>
      <c r="CB48" s="183">
        <v>0</v>
      </c>
      <c r="CC48" s="187">
        <v>0</v>
      </c>
      <c r="CD48" s="34"/>
      <c r="CE48" s="183">
        <v>2</v>
      </c>
      <c r="CF48" t="s" s="182">
        <v>319</v>
      </c>
      <c r="CG48" s="183">
        <v>1</v>
      </c>
      <c r="CH48" s="34"/>
      <c r="CI48" s="34"/>
      <c r="CJ48" s="34"/>
      <c r="CK48" s="34"/>
      <c r="CL48" s="34"/>
    </row>
    <row r="49" ht="15" customHeight="1">
      <c r="A49" s="23"/>
      <c r="B49" s="45"/>
      <c r="C49" s="191"/>
      <c r="D49" s="192"/>
      <c r="E49" s="192"/>
      <c r="F49" s="192"/>
      <c r="G49" s="192"/>
      <c r="H49" s="192"/>
      <c r="I49" s="192"/>
      <c r="J49" s="192"/>
      <c r="K49" s="193"/>
      <c r="L49" s="193"/>
      <c r="M49" s="193"/>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194"/>
      <c r="AM49" s="70"/>
      <c r="AN49" s="70"/>
      <c r="AO49" s="70"/>
      <c r="AP49" s="70"/>
      <c r="AQ49" s="70"/>
      <c r="AR49" s="70"/>
      <c r="AS49" s="70"/>
      <c r="AT49" s="70"/>
      <c r="AU49" s="194"/>
      <c r="AV49" s="70"/>
      <c r="AW49" s="70"/>
      <c r="AX49" s="70"/>
      <c r="AY49" s="70"/>
      <c r="AZ49" s="70"/>
      <c r="BA49" s="70"/>
      <c r="BB49" s="70"/>
      <c r="BC49" s="70"/>
      <c r="BD49" s="70"/>
      <c r="BE49" s="70"/>
      <c r="BF49" s="70"/>
      <c r="BG49" s="70"/>
      <c r="BH49" s="70"/>
      <c r="BI49" s="70"/>
      <c r="BJ49" s="70"/>
      <c r="BK49" s="70"/>
      <c r="BL49" s="70"/>
      <c r="BM49" s="252"/>
      <c r="BN49" s="70"/>
      <c r="BO49" s="70"/>
      <c r="BP49" s="70"/>
      <c r="BQ49" s="70"/>
      <c r="BR49" s="70"/>
      <c r="BS49" s="70"/>
      <c r="BT49" s="70"/>
      <c r="BU49" s="70"/>
      <c r="BV49" s="70"/>
      <c r="BW49" s="70"/>
      <c r="BX49" s="70"/>
      <c r="BY49" s="70"/>
      <c r="BZ49" s="70"/>
      <c r="CA49" s="195"/>
      <c r="CB49" s="70"/>
      <c r="CC49" s="195"/>
      <c r="CD49" s="70"/>
      <c r="CE49" s="70"/>
      <c r="CF49" s="70"/>
      <c r="CG49" s="70"/>
      <c r="CH49" s="70"/>
      <c r="CI49" s="70"/>
      <c r="CJ49" s="70"/>
      <c r="CK49" s="70"/>
      <c r="CL49" s="70"/>
    </row>
    <row r="50" ht="15" customHeight="1">
      <c r="A50" s="27">
        <v>5</v>
      </c>
      <c r="B50" t="s" s="28">
        <v>16</v>
      </c>
      <c r="C50" t="s" s="29">
        <v>320</v>
      </c>
      <c r="D50" s="196">
        <v>5</v>
      </c>
      <c r="E50" s="196">
        <v>68980</v>
      </c>
      <c r="F50" s="167">
        <v>2016</v>
      </c>
      <c r="G50" t="s" s="171">
        <v>321</v>
      </c>
      <c r="H50" s="196">
        <v>17840</v>
      </c>
      <c r="I50" s="167">
        <v>2016</v>
      </c>
      <c r="J50" t="s" s="18">
        <v>321</v>
      </c>
      <c r="K50" s="253">
        <v>4</v>
      </c>
      <c r="L50" s="166">
        <v>2016</v>
      </c>
      <c r="M50" t="s" s="18">
        <v>321</v>
      </c>
      <c r="N50" s="166">
        <v>48</v>
      </c>
      <c r="O50" s="166">
        <v>2017</v>
      </c>
      <c r="P50" t="s" s="18">
        <v>322</v>
      </c>
      <c r="Q50" s="166">
        <v>65</v>
      </c>
      <c r="R50" s="166">
        <v>2017</v>
      </c>
      <c r="S50" t="s" s="18">
        <v>322</v>
      </c>
      <c r="T50" s="166">
        <v>80</v>
      </c>
      <c r="U50" s="166">
        <v>2017</v>
      </c>
      <c r="V50" t="s" s="18">
        <v>322</v>
      </c>
      <c r="W50" s="166">
        <v>10</v>
      </c>
      <c r="X50" s="166">
        <v>2017</v>
      </c>
      <c r="Y50" t="s" s="18">
        <v>322</v>
      </c>
      <c r="Z50" s="166">
        <v>0</v>
      </c>
      <c r="AA50" s="166">
        <v>2017</v>
      </c>
      <c r="AB50" t="s" s="18">
        <v>322</v>
      </c>
      <c r="AC50" t="s" s="18">
        <v>197</v>
      </c>
      <c r="AD50" t="s" s="18">
        <v>197</v>
      </c>
      <c r="AE50" t="s" s="18">
        <v>197</v>
      </c>
      <c r="AF50" t="s" s="18">
        <v>197</v>
      </c>
      <c r="AG50" s="166">
        <v>85</v>
      </c>
      <c r="AH50" t="s" s="171">
        <v>200</v>
      </c>
      <c r="AI50" s="167">
        <v>53</v>
      </c>
      <c r="AJ50" s="172">
        <f t="shared" si="26" ref="AJ50:AS50">3060.23/1371.54</f>
        <v>2.23123642037418</v>
      </c>
      <c r="AK50" t="s" s="171">
        <v>215</v>
      </c>
      <c r="AL50" s="197">
        <v>1.01</v>
      </c>
      <c r="AM50" s="167">
        <v>7</v>
      </c>
      <c r="AN50" s="167">
        <v>24</v>
      </c>
      <c r="AO50" t="s" s="18">
        <v>323</v>
      </c>
      <c r="AP50" t="s" s="171">
        <v>324</v>
      </c>
      <c r="AQ50" t="s" s="170">
        <v>200</v>
      </c>
      <c r="AR50" s="254">
        <v>53</v>
      </c>
      <c r="AS50" s="172">
        <f t="shared" si="26"/>
        <v>2.23123642037418</v>
      </c>
      <c r="AT50" t="s" s="171">
        <v>215</v>
      </c>
      <c r="AU50" s="197">
        <v>1.01</v>
      </c>
      <c r="AV50" s="167">
        <v>7</v>
      </c>
      <c r="AW50" s="167">
        <v>24</v>
      </c>
      <c r="AX50" t="s" s="18">
        <v>325</v>
      </c>
      <c r="AY50" s="168"/>
      <c r="AZ50" s="167">
        <v>1</v>
      </c>
      <c r="BA50" s="167">
        <v>2</v>
      </c>
      <c r="BB50" t="s" s="171">
        <v>197</v>
      </c>
      <c r="BC50" s="167">
        <v>2</v>
      </c>
      <c r="BD50" t="s" s="171">
        <v>223</v>
      </c>
      <c r="BE50" s="167">
        <v>2</v>
      </c>
      <c r="BF50" s="167">
        <v>2</v>
      </c>
      <c r="BG50" t="s" s="171">
        <v>197</v>
      </c>
      <c r="BH50" s="167">
        <v>0</v>
      </c>
      <c r="BI50" s="167">
        <v>2</v>
      </c>
      <c r="BJ50" t="s" s="170">
        <v>326</v>
      </c>
      <c r="BK50" s="167">
        <v>1</v>
      </c>
      <c r="BL50" t="s" s="171">
        <v>327</v>
      </c>
      <c r="BM50" t="s" s="171">
        <v>200</v>
      </c>
      <c r="BN50" s="167">
        <v>2</v>
      </c>
      <c r="BO50" t="s" s="18">
        <v>328</v>
      </c>
      <c r="BP50" t="s" s="171">
        <v>329</v>
      </c>
      <c r="BQ50" t="s" s="171">
        <v>200</v>
      </c>
      <c r="BR50" s="167">
        <v>99</v>
      </c>
      <c r="BS50" s="168"/>
      <c r="BT50" t="s" s="18">
        <v>330</v>
      </c>
      <c r="BU50" t="s" s="171">
        <v>324</v>
      </c>
      <c r="BV50" t="s" s="171">
        <v>331</v>
      </c>
      <c r="BW50" t="s" s="171">
        <v>332</v>
      </c>
      <c r="BX50" t="s" s="170">
        <v>200</v>
      </c>
      <c r="BY50" s="255">
        <v>51</v>
      </c>
      <c r="BZ50" s="256">
        <f t="shared" si="28" ref="BZ50:BZ51">550000/1371.54</f>
        <v>401.009084678537</v>
      </c>
      <c r="CA50" s="257">
        <v>181</v>
      </c>
      <c r="CB50" s="258">
        <f t="shared" si="29" ref="CB50:CB51">262500/1371.54</f>
        <v>191.390699505665</v>
      </c>
      <c r="CC50" s="176">
        <v>86</v>
      </c>
      <c r="CD50" s="168"/>
      <c r="CE50" s="167">
        <v>1</v>
      </c>
      <c r="CF50" t="s" s="171">
        <v>333</v>
      </c>
      <c r="CG50" s="168"/>
      <c r="CH50" t="s" s="18">
        <v>334</v>
      </c>
      <c r="CI50" t="s" s="171">
        <v>335</v>
      </c>
      <c r="CJ50" s="167">
        <v>3</v>
      </c>
      <c r="CK50" t="s" s="171">
        <v>200</v>
      </c>
      <c r="CL50" s="168"/>
    </row>
    <row r="51" ht="15" customHeight="1">
      <c r="A51" s="31"/>
      <c r="B51" s="46"/>
      <c r="C51" s="259"/>
      <c r="D51" s="260"/>
      <c r="E51" s="260"/>
      <c r="F51" s="260"/>
      <c r="G51" s="260"/>
      <c r="H51" s="260"/>
      <c r="I51" s="260"/>
      <c r="J51" s="260"/>
      <c r="K51" s="261"/>
      <c r="L51" s="261"/>
      <c r="M51" s="261"/>
      <c r="N51" s="48"/>
      <c r="O51" s="48"/>
      <c r="P51" s="48"/>
      <c r="Q51" s="48"/>
      <c r="R51" s="48"/>
      <c r="S51" s="48"/>
      <c r="T51" s="48"/>
      <c r="U51" s="48"/>
      <c r="V51" s="48"/>
      <c r="W51" s="48"/>
      <c r="X51" s="48"/>
      <c r="Y51" s="48"/>
      <c r="Z51" s="48"/>
      <c r="AA51" s="48"/>
      <c r="AB51" s="48"/>
      <c r="AC51" s="48"/>
      <c r="AD51" s="48"/>
      <c r="AE51" s="48"/>
      <c r="AF51" s="48"/>
      <c r="AG51" s="48"/>
      <c r="AH51" t="s" s="262">
        <v>336</v>
      </c>
      <c r="AI51" s="263">
        <v>45</v>
      </c>
      <c r="AJ51" s="264">
        <f t="shared" si="30" ref="AJ51:AS52">890/1371.54</f>
        <v>0.648905609752541</v>
      </c>
      <c r="AK51" t="s" s="262">
        <v>215</v>
      </c>
      <c r="AL51" s="265"/>
      <c r="AM51" s="263">
        <v>7</v>
      </c>
      <c r="AN51" s="263">
        <v>24</v>
      </c>
      <c r="AO51" s="48"/>
      <c r="AP51" s="48"/>
      <c r="AQ51" s="211"/>
      <c r="AR51" s="211"/>
      <c r="AS51" s="264"/>
      <c r="AT51" s="48"/>
      <c r="AU51" s="265"/>
      <c r="AV51" s="48"/>
      <c r="AW51" s="48"/>
      <c r="AX51" s="48"/>
      <c r="AY51" s="48"/>
      <c r="AZ51" s="48"/>
      <c r="BA51" s="48"/>
      <c r="BB51" s="48"/>
      <c r="BC51" s="48"/>
      <c r="BD51" s="48"/>
      <c r="BE51" s="48"/>
      <c r="BF51" s="48"/>
      <c r="BG51" s="48"/>
      <c r="BH51" s="48"/>
      <c r="BI51" s="48"/>
      <c r="BJ51" s="211"/>
      <c r="BK51" s="48"/>
      <c r="BL51" s="48"/>
      <c r="BM51" t="s" s="262">
        <v>288</v>
      </c>
      <c r="BN51" s="263">
        <v>98</v>
      </c>
      <c r="BO51" s="48"/>
      <c r="BP51" s="48"/>
      <c r="BQ51" t="s" s="262">
        <v>337</v>
      </c>
      <c r="BR51" s="263">
        <v>1</v>
      </c>
      <c r="BS51" s="48"/>
      <c r="BT51" s="48"/>
      <c r="BU51" s="48"/>
      <c r="BV51" s="48"/>
      <c r="BW51" s="48"/>
      <c r="BX51" s="211"/>
      <c r="BY51" s="266">
        <v>48</v>
      </c>
      <c r="BZ51" s="267">
        <f t="shared" si="28"/>
        <v>401.009084678537</v>
      </c>
      <c r="CA51" s="268">
        <v>181</v>
      </c>
      <c r="CB51" s="269">
        <f t="shared" si="29"/>
        <v>191.390699505665</v>
      </c>
      <c r="CC51" s="187">
        <v>86</v>
      </c>
      <c r="CD51" s="48"/>
      <c r="CE51" s="263">
        <v>2</v>
      </c>
      <c r="CF51" s="48"/>
      <c r="CG51" s="263">
        <v>1</v>
      </c>
      <c r="CH51" s="48"/>
      <c r="CI51" s="48"/>
      <c r="CJ51" s="48"/>
      <c r="CK51" s="48"/>
      <c r="CL51" s="48"/>
    </row>
    <row r="52" ht="15" customHeight="1">
      <c r="A52" s="31"/>
      <c r="B52" s="46"/>
      <c r="C52" s="259"/>
      <c r="D52" s="260"/>
      <c r="E52" s="260"/>
      <c r="F52" s="260"/>
      <c r="G52" s="260"/>
      <c r="H52" s="260"/>
      <c r="I52" s="260"/>
      <c r="J52" s="260"/>
      <c r="K52" s="261"/>
      <c r="L52" s="261"/>
      <c r="M52" s="261"/>
      <c r="N52" s="48"/>
      <c r="O52" s="48"/>
      <c r="P52" s="48"/>
      <c r="Q52" s="48"/>
      <c r="R52" s="48"/>
      <c r="S52" s="48"/>
      <c r="T52" s="48"/>
      <c r="U52" s="48"/>
      <c r="V52" s="48"/>
      <c r="W52" s="48"/>
      <c r="X52" s="48"/>
      <c r="Y52" s="48"/>
      <c r="Z52" s="48"/>
      <c r="AA52" s="48"/>
      <c r="AB52" s="48"/>
      <c r="AC52" s="48"/>
      <c r="AD52" s="48"/>
      <c r="AE52" s="48"/>
      <c r="AF52" s="48"/>
      <c r="AG52" s="48"/>
      <c r="AH52" t="s" s="262">
        <v>338</v>
      </c>
      <c r="AI52" s="263">
        <v>2</v>
      </c>
      <c r="AJ52" s="264">
        <v>0</v>
      </c>
      <c r="AK52" s="48"/>
      <c r="AL52" s="265"/>
      <c r="AM52" t="s" s="262">
        <v>197</v>
      </c>
      <c r="AN52" t="s" s="262">
        <v>197</v>
      </c>
      <c r="AO52" s="48"/>
      <c r="AP52" s="48"/>
      <c r="AQ52" t="s" s="262">
        <v>336</v>
      </c>
      <c r="AR52" s="263">
        <v>45</v>
      </c>
      <c r="AS52" s="264">
        <f t="shared" si="30"/>
        <v>0.648905609752541</v>
      </c>
      <c r="AT52" t="s" s="262">
        <v>215</v>
      </c>
      <c r="AU52" s="265"/>
      <c r="AV52" s="263">
        <v>7</v>
      </c>
      <c r="AW52" s="263">
        <v>24</v>
      </c>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t="s" s="270">
        <v>337</v>
      </c>
      <c r="BY52" s="271">
        <v>1</v>
      </c>
      <c r="BZ52" t="s" s="272">
        <v>339</v>
      </c>
      <c r="CA52" s="273"/>
      <c r="CB52" s="264">
        <v>0</v>
      </c>
      <c r="CC52" s="274"/>
      <c r="CD52" s="263">
        <v>5</v>
      </c>
      <c r="CE52" s="263">
        <v>2</v>
      </c>
      <c r="CF52" s="48"/>
      <c r="CG52" s="263">
        <v>3</v>
      </c>
      <c r="CH52" s="48"/>
      <c r="CI52" s="48"/>
      <c r="CJ52" s="48"/>
      <c r="CK52" s="48"/>
      <c r="CL52" s="48"/>
    </row>
    <row r="53" ht="15" customHeight="1">
      <c r="A53" s="31"/>
      <c r="B53" s="46"/>
      <c r="C53" s="259"/>
      <c r="D53" s="260"/>
      <c r="E53" s="260"/>
      <c r="F53" s="260"/>
      <c r="G53" s="260"/>
      <c r="H53" s="260"/>
      <c r="I53" s="260"/>
      <c r="J53" s="260"/>
      <c r="K53" s="261"/>
      <c r="L53" s="261"/>
      <c r="M53" s="261"/>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265"/>
      <c r="AM53" s="48"/>
      <c r="AN53" s="48"/>
      <c r="AO53" s="48"/>
      <c r="AP53" s="48"/>
      <c r="AQ53" t="s" s="262">
        <v>338</v>
      </c>
      <c r="AR53" s="263">
        <v>2</v>
      </c>
      <c r="AS53" s="48"/>
      <c r="AT53" s="48"/>
      <c r="AU53" s="265"/>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275"/>
      <c r="BX53" t="s" s="185">
        <v>211</v>
      </c>
      <c r="BY53" s="186">
        <v>0</v>
      </c>
      <c r="BZ53" s="47"/>
      <c r="CA53" s="274"/>
      <c r="CB53" s="48"/>
      <c r="CC53" s="274"/>
      <c r="CD53" s="48"/>
      <c r="CE53" s="48"/>
      <c r="CF53" s="48"/>
      <c r="CG53" s="48"/>
      <c r="CH53" s="48"/>
      <c r="CI53" s="48"/>
      <c r="CJ53" s="48"/>
      <c r="CK53" s="48"/>
      <c r="CL53" s="48"/>
    </row>
    <row r="54" ht="15" customHeight="1">
      <c r="A54" s="31"/>
      <c r="B54" s="46"/>
      <c r="C54" s="259"/>
      <c r="D54" s="260"/>
      <c r="E54" s="260"/>
      <c r="F54" s="260"/>
      <c r="G54" s="260"/>
      <c r="H54" s="260"/>
      <c r="I54" s="260"/>
      <c r="J54" s="260"/>
      <c r="K54" s="261"/>
      <c r="L54" s="261"/>
      <c r="M54" s="261"/>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265"/>
      <c r="AM54" s="48"/>
      <c r="AN54" s="48"/>
      <c r="AO54" s="48"/>
      <c r="AP54" s="48"/>
      <c r="AQ54" s="48"/>
      <c r="AR54" s="48"/>
      <c r="AS54" s="48"/>
      <c r="AT54" s="48"/>
      <c r="AU54" s="265"/>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276"/>
      <c r="BY54" s="276"/>
      <c r="BZ54" s="48"/>
      <c r="CA54" s="274"/>
      <c r="CB54" s="48"/>
      <c r="CC54" s="274"/>
      <c r="CD54" s="48"/>
      <c r="CE54" s="48"/>
      <c r="CF54" s="48"/>
      <c r="CG54" s="48"/>
      <c r="CH54" s="48"/>
      <c r="CI54" s="48"/>
      <c r="CJ54" s="48"/>
      <c r="CK54" s="48"/>
      <c r="CL54" s="48"/>
    </row>
    <row r="55" ht="15" customHeight="1">
      <c r="A55" s="31"/>
      <c r="B55" s="46"/>
      <c r="C55" s="259"/>
      <c r="D55" s="260"/>
      <c r="E55" s="260"/>
      <c r="F55" s="260"/>
      <c r="G55" s="260"/>
      <c r="H55" s="260"/>
      <c r="I55" s="260"/>
      <c r="J55" s="260"/>
      <c r="K55" s="261"/>
      <c r="L55" s="261"/>
      <c r="M55" s="261"/>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265"/>
      <c r="AM55" s="48"/>
      <c r="AN55" s="48"/>
      <c r="AO55" s="48"/>
      <c r="AP55" s="48"/>
      <c r="AQ55" s="48"/>
      <c r="AR55" s="48"/>
      <c r="AS55" s="48"/>
      <c r="AT55" s="48"/>
      <c r="AU55" s="265"/>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274"/>
      <c r="CB55" s="48"/>
      <c r="CC55" s="274"/>
      <c r="CD55" s="48"/>
      <c r="CE55" s="48"/>
      <c r="CF55" s="48"/>
      <c r="CG55" s="48"/>
      <c r="CH55" s="48"/>
      <c r="CI55" s="48"/>
      <c r="CJ55" s="48"/>
      <c r="CK55" s="48"/>
      <c r="CL55" s="48"/>
    </row>
    <row r="56" ht="15" customHeight="1">
      <c r="A56" s="31"/>
      <c r="B56" s="46"/>
      <c r="C56" s="259"/>
      <c r="D56" s="260"/>
      <c r="E56" s="260"/>
      <c r="F56" s="260"/>
      <c r="G56" s="260"/>
      <c r="H56" s="260"/>
      <c r="I56" s="260"/>
      <c r="J56" s="260"/>
      <c r="K56" s="261"/>
      <c r="L56" s="261"/>
      <c r="M56" s="261"/>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265"/>
      <c r="AM56" s="48"/>
      <c r="AN56" s="48"/>
      <c r="AO56" s="48"/>
      <c r="AP56" s="48"/>
      <c r="AQ56" s="48"/>
      <c r="AR56" s="48"/>
      <c r="AS56" s="48"/>
      <c r="AT56" s="48"/>
      <c r="AU56" s="265"/>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274"/>
      <c r="CB56" s="48"/>
      <c r="CC56" s="274"/>
      <c r="CD56" s="48"/>
      <c r="CE56" s="48"/>
      <c r="CF56" s="48"/>
      <c r="CG56" s="48"/>
      <c r="CH56" s="48"/>
      <c r="CI56" s="48"/>
      <c r="CJ56" s="48"/>
      <c r="CK56" s="48"/>
      <c r="CL56" s="48"/>
    </row>
    <row r="57" ht="15" customHeight="1">
      <c r="A57" s="35"/>
      <c r="B57" s="49"/>
      <c r="C57" s="277"/>
      <c r="D57" s="278"/>
      <c r="E57" s="278"/>
      <c r="F57" s="278"/>
      <c r="G57" s="278"/>
      <c r="H57" s="279"/>
      <c r="I57" s="279"/>
      <c r="J57" s="279"/>
      <c r="K57" s="280"/>
      <c r="L57" s="280"/>
      <c r="M57" s="280"/>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281"/>
      <c r="AM57" s="42"/>
      <c r="AN57" s="42"/>
      <c r="AO57" s="42"/>
      <c r="AP57" s="42"/>
      <c r="AQ57" s="42"/>
      <c r="AR57" s="42"/>
      <c r="AS57" s="42"/>
      <c r="AT57" s="42"/>
      <c r="AU57" s="281"/>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282"/>
      <c r="CB57" s="42"/>
      <c r="CC57" s="282"/>
      <c r="CD57" s="42"/>
      <c r="CE57" s="42"/>
      <c r="CF57" s="42"/>
      <c r="CG57" s="42"/>
      <c r="CH57" s="42"/>
      <c r="CI57" s="42"/>
      <c r="CJ57" s="42"/>
      <c r="CK57" s="42"/>
      <c r="CL57" s="42"/>
    </row>
    <row r="58" ht="15" customHeight="1">
      <c r="A58" s="52">
        <v>6</v>
      </c>
      <c r="B58" t="s" s="53">
        <v>19</v>
      </c>
      <c r="C58" t="s" s="54">
        <v>340</v>
      </c>
      <c r="D58" t="s" s="283">
        <v>292</v>
      </c>
      <c r="E58" s="284">
        <v>38500</v>
      </c>
      <c r="F58" s="285">
        <v>2017</v>
      </c>
      <c r="G58" t="s" s="82">
        <v>341</v>
      </c>
      <c r="H58" s="284">
        <v>8500</v>
      </c>
      <c r="I58" s="285">
        <v>2017</v>
      </c>
      <c r="J58" t="s" s="82">
        <v>341</v>
      </c>
      <c r="K58" s="284">
        <v>4.5</v>
      </c>
      <c r="L58" s="285">
        <v>2017</v>
      </c>
      <c r="M58" t="s" s="82">
        <v>341</v>
      </c>
      <c r="N58" t="s" s="112">
        <v>197</v>
      </c>
      <c r="O58" s="123"/>
      <c r="P58" s="123"/>
      <c r="Q58" t="s" s="112">
        <v>197</v>
      </c>
      <c r="R58" s="123"/>
      <c r="S58" s="123"/>
      <c r="T58" s="285">
        <v>30</v>
      </c>
      <c r="U58" s="285">
        <v>2017</v>
      </c>
      <c r="V58" t="s" s="82">
        <v>341</v>
      </c>
      <c r="W58" s="284">
        <v>70</v>
      </c>
      <c r="X58" s="285">
        <v>2017</v>
      </c>
      <c r="Y58" t="s" s="82">
        <v>341</v>
      </c>
      <c r="Z58" t="s" s="112">
        <v>197</v>
      </c>
      <c r="AA58" s="123"/>
      <c r="AB58" s="123"/>
      <c r="AC58" t="s" s="82">
        <v>342</v>
      </c>
      <c r="AD58" t="s" s="82">
        <v>343</v>
      </c>
      <c r="AE58" t="s" s="82">
        <v>344</v>
      </c>
      <c r="AF58" t="s" s="82">
        <v>345</v>
      </c>
      <c r="AG58" s="285">
        <v>90</v>
      </c>
      <c r="AH58" t="s" s="286">
        <v>230</v>
      </c>
      <c r="AI58" s="287">
        <v>60</v>
      </c>
      <c r="AJ58" s="288">
        <f>11/19.98</f>
        <v>0.550550550550551</v>
      </c>
      <c r="AK58" s="289"/>
      <c r="AL58" s="290"/>
      <c r="AM58" s="285">
        <v>2.5</v>
      </c>
      <c r="AN58" s="285">
        <v>2</v>
      </c>
      <c r="AO58" t="s" s="291">
        <v>346</v>
      </c>
      <c r="AP58" t="s" s="82">
        <v>341</v>
      </c>
      <c r="AQ58" s="123"/>
      <c r="AR58" s="123"/>
      <c r="AS58" s="123"/>
      <c r="AT58" s="123"/>
      <c r="AU58" s="122"/>
      <c r="AV58" s="123"/>
      <c r="AW58" s="123"/>
      <c r="AX58" s="123"/>
      <c r="AY58" s="123"/>
      <c r="AZ58" s="287">
        <v>1</v>
      </c>
      <c r="BA58" s="285">
        <v>1</v>
      </c>
      <c r="BB58" t="s" s="292">
        <v>347</v>
      </c>
      <c r="BC58" s="285">
        <v>2</v>
      </c>
      <c r="BD58" t="s" s="82">
        <v>197</v>
      </c>
      <c r="BE58" t="s" s="82">
        <v>197</v>
      </c>
      <c r="BF58" s="285">
        <v>2</v>
      </c>
      <c r="BG58" t="s" s="82">
        <v>197</v>
      </c>
      <c r="BH58" t="s" s="82">
        <v>197</v>
      </c>
      <c r="BI58" s="285">
        <v>2</v>
      </c>
      <c r="BJ58" t="s" s="82">
        <v>197</v>
      </c>
      <c r="BK58" s="285">
        <v>2</v>
      </c>
      <c r="BL58" t="s" s="82">
        <v>197</v>
      </c>
      <c r="BM58" t="s" s="82">
        <v>229</v>
      </c>
      <c r="BN58" s="285">
        <v>65</v>
      </c>
      <c r="BO58" s="123"/>
      <c r="BP58" t="s" s="82">
        <v>341</v>
      </c>
      <c r="BQ58" t="s" s="82">
        <v>200</v>
      </c>
      <c r="BR58" s="285">
        <v>86</v>
      </c>
      <c r="BS58" s="123"/>
      <c r="BT58" s="123"/>
      <c r="BU58" t="s" s="82">
        <v>341</v>
      </c>
      <c r="BV58" t="s" s="293">
        <v>348</v>
      </c>
      <c r="BW58" t="s" s="293">
        <v>349</v>
      </c>
      <c r="BX58" t="s" s="82">
        <v>200</v>
      </c>
      <c r="BY58" s="285">
        <v>100</v>
      </c>
      <c r="BZ58" s="294">
        <f>35000/19.98</f>
        <v>1751.751751751750</v>
      </c>
      <c r="CA58" s="295">
        <v>543</v>
      </c>
      <c r="CB58" t="s" s="283">
        <v>350</v>
      </c>
      <c r="CC58" s="295"/>
      <c r="CD58" s="123"/>
      <c r="CE58" t="s" s="82">
        <v>351</v>
      </c>
      <c r="CF58" t="s" s="296">
        <v>352</v>
      </c>
      <c r="CG58" s="285">
        <v>2</v>
      </c>
      <c r="CH58" t="s" s="82">
        <v>346</v>
      </c>
      <c r="CI58" t="s" s="83">
        <v>353</v>
      </c>
      <c r="CJ58" s="123"/>
      <c r="CK58" s="123"/>
      <c r="CL58" s="123"/>
    </row>
    <row r="59" ht="15" customHeight="1">
      <c r="A59" s="56"/>
      <c r="B59" s="57"/>
      <c r="C59" s="58"/>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297"/>
      <c r="AI59" s="59"/>
      <c r="AJ59" s="298">
        <v>0</v>
      </c>
      <c r="AK59" s="59"/>
      <c r="AL59" s="125"/>
      <c r="AM59" s="299">
        <v>2.5</v>
      </c>
      <c r="AN59" s="299">
        <v>2</v>
      </c>
      <c r="AO59" s="59"/>
      <c r="AP59" s="59"/>
      <c r="AQ59" s="300"/>
      <c r="AR59" s="79"/>
      <c r="AS59" s="79"/>
      <c r="AT59" s="79"/>
      <c r="AU59" s="301"/>
      <c r="AV59" s="79"/>
      <c r="AW59" s="79"/>
      <c r="AX59" s="79"/>
      <c r="AY59" s="79"/>
      <c r="AZ59" s="59"/>
      <c r="BA59" s="59"/>
      <c r="BB59" s="302"/>
      <c r="BC59" s="59"/>
      <c r="BD59" s="59"/>
      <c r="BE59" s="59"/>
      <c r="BF59" s="59"/>
      <c r="BG59" s="59"/>
      <c r="BH59" s="59"/>
      <c r="BI59" s="59"/>
      <c r="BJ59" s="59"/>
      <c r="BK59" s="59"/>
      <c r="BL59" s="59"/>
      <c r="BM59" t="s" s="303">
        <v>288</v>
      </c>
      <c r="BN59" s="299">
        <v>35</v>
      </c>
      <c r="BO59" s="59"/>
      <c r="BP59" s="59"/>
      <c r="BQ59" t="s" s="303">
        <v>354</v>
      </c>
      <c r="BR59" s="299">
        <v>13</v>
      </c>
      <c r="BS59" t="s" s="303">
        <v>355</v>
      </c>
      <c r="BT59" s="59"/>
      <c r="BU59" s="59"/>
      <c r="BV59" s="304"/>
      <c r="BW59" s="304"/>
      <c r="BX59" s="59"/>
      <c r="BY59" s="59"/>
      <c r="BZ59" s="59"/>
      <c r="CA59" s="125"/>
      <c r="CB59" s="59"/>
      <c r="CC59" s="125"/>
      <c r="CD59" s="59"/>
      <c r="CE59" s="59"/>
      <c r="CF59" s="305"/>
      <c r="CG59" s="59"/>
      <c r="CH59" s="59"/>
      <c r="CI59" s="59"/>
      <c r="CJ59" s="59"/>
      <c r="CK59" s="59"/>
      <c r="CL59" s="59"/>
    </row>
    <row r="60" ht="15" customHeight="1">
      <c r="A60" s="56"/>
      <c r="B60" s="57"/>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t="s" s="303">
        <v>356</v>
      </c>
      <c r="AI60" s="306">
        <v>20</v>
      </c>
      <c r="AJ60" s="298">
        <v>0</v>
      </c>
      <c r="AK60" s="300"/>
      <c r="AL60" s="307"/>
      <c r="AM60" s="299">
        <v>2.5</v>
      </c>
      <c r="AN60" s="299">
        <v>2</v>
      </c>
      <c r="AO60" s="59"/>
      <c r="AP60" s="59"/>
      <c r="AQ60" s="79"/>
      <c r="AR60" s="79"/>
      <c r="AS60" s="79"/>
      <c r="AT60" s="79"/>
      <c r="AU60" s="301"/>
      <c r="AV60" s="79"/>
      <c r="AW60" s="79"/>
      <c r="AX60" s="79"/>
      <c r="AY60" s="79"/>
      <c r="AZ60" s="59"/>
      <c r="BA60" s="59"/>
      <c r="BB60" s="302"/>
      <c r="BC60" s="59"/>
      <c r="BD60" s="59"/>
      <c r="BE60" s="59"/>
      <c r="BF60" s="59"/>
      <c r="BG60" s="59"/>
      <c r="BH60" s="59"/>
      <c r="BI60" s="59"/>
      <c r="BJ60" s="59"/>
      <c r="BK60" s="59"/>
      <c r="BL60" s="59"/>
      <c r="BM60" s="59"/>
      <c r="BN60" s="59"/>
      <c r="BO60" s="59"/>
      <c r="BP60" s="59"/>
      <c r="BQ60" t="s" s="303">
        <v>210</v>
      </c>
      <c r="BR60" s="299">
        <v>1</v>
      </c>
      <c r="BS60" s="59"/>
      <c r="BT60" s="59"/>
      <c r="BU60" s="59"/>
      <c r="BV60" s="304"/>
      <c r="BW60" s="304"/>
      <c r="BX60" s="59"/>
      <c r="BY60" s="59"/>
      <c r="BZ60" s="59"/>
      <c r="CA60" s="125"/>
      <c r="CB60" s="59"/>
      <c r="CC60" s="125"/>
      <c r="CD60" s="59"/>
      <c r="CE60" s="59"/>
      <c r="CF60" s="305"/>
      <c r="CG60" s="59"/>
      <c r="CH60" s="59"/>
      <c r="CI60" s="59"/>
      <c r="CJ60" s="59"/>
      <c r="CK60" s="59"/>
      <c r="CL60" s="59"/>
    </row>
    <row r="61" ht="13.55" customHeight="1">
      <c r="A61" s="60"/>
      <c r="B61" s="57"/>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t="s" s="303">
        <v>357</v>
      </c>
      <c r="AI61" s="299">
        <v>20</v>
      </c>
      <c r="AJ61" s="298">
        <v>0</v>
      </c>
      <c r="AK61" s="59"/>
      <c r="AL61" s="125"/>
      <c r="AM61" s="299">
        <v>7</v>
      </c>
      <c r="AN61" s="299">
        <v>24</v>
      </c>
      <c r="AO61" t="s" s="303">
        <v>358</v>
      </c>
      <c r="AP61" t="s" s="303">
        <v>341</v>
      </c>
      <c r="AQ61" s="79"/>
      <c r="AR61" s="79"/>
      <c r="AS61" s="79"/>
      <c r="AT61" s="79"/>
      <c r="AU61" s="301"/>
      <c r="AV61" s="79"/>
      <c r="AW61" s="79"/>
      <c r="AX61" s="79"/>
      <c r="AY61" s="79"/>
      <c r="AZ61" s="59"/>
      <c r="BA61" s="59"/>
      <c r="BB61" s="302"/>
      <c r="BC61" s="59"/>
      <c r="BD61" s="59"/>
      <c r="BE61" s="59"/>
      <c r="BF61" s="59"/>
      <c r="BG61" s="59"/>
      <c r="BH61" s="59"/>
      <c r="BI61" s="59"/>
      <c r="BJ61" s="59"/>
      <c r="BK61" s="59"/>
      <c r="BL61" s="59"/>
      <c r="BM61" s="59"/>
      <c r="BN61" s="59"/>
      <c r="BO61" s="59"/>
      <c r="BP61" s="59"/>
      <c r="BQ61" s="59"/>
      <c r="BR61" s="59"/>
      <c r="BS61" s="59"/>
      <c r="BT61" s="59"/>
      <c r="BU61" s="59"/>
      <c r="BV61" s="304"/>
      <c r="BW61" s="304"/>
      <c r="BX61" s="59"/>
      <c r="BY61" s="59"/>
      <c r="BZ61" s="59"/>
      <c r="CA61" s="125"/>
      <c r="CB61" s="59"/>
      <c r="CC61" s="125"/>
      <c r="CD61" s="59"/>
      <c r="CE61" s="59"/>
      <c r="CF61" s="59"/>
      <c r="CG61" s="59"/>
      <c r="CH61" s="59"/>
      <c r="CI61" s="59"/>
      <c r="CJ61" s="59"/>
      <c r="CK61" s="59"/>
      <c r="CL61" s="59"/>
    </row>
    <row r="62" ht="33" customHeight="1">
      <c r="A62" s="60"/>
      <c r="B62" s="57"/>
      <c r="C62" s="58"/>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300"/>
      <c r="AJ62" s="300"/>
      <c r="AK62" s="300"/>
      <c r="AL62" s="307"/>
      <c r="AM62" s="59"/>
      <c r="AN62" s="59"/>
      <c r="AO62" s="300"/>
      <c r="AP62" s="300"/>
      <c r="AQ62" s="79"/>
      <c r="AR62" s="79"/>
      <c r="AS62" s="79"/>
      <c r="AT62" s="79"/>
      <c r="AU62" s="301"/>
      <c r="AV62" s="79"/>
      <c r="AW62" s="79"/>
      <c r="AX62" s="79"/>
      <c r="AY62" s="79"/>
      <c r="AZ62" s="59"/>
      <c r="BA62" s="59"/>
      <c r="BB62" s="302"/>
      <c r="BC62" s="59"/>
      <c r="BD62" s="59"/>
      <c r="BE62" s="59"/>
      <c r="BF62" s="59"/>
      <c r="BG62" s="59"/>
      <c r="BH62" s="59"/>
      <c r="BI62" s="59"/>
      <c r="BJ62" s="59"/>
      <c r="BK62" s="59"/>
      <c r="BL62" s="59"/>
      <c r="BM62" s="59"/>
      <c r="BN62" s="59"/>
      <c r="BO62" s="59"/>
      <c r="BP62" s="59"/>
      <c r="BQ62" s="59"/>
      <c r="BR62" s="59"/>
      <c r="BS62" s="59"/>
      <c r="BT62" s="59"/>
      <c r="BU62" s="59"/>
      <c r="BV62" s="304"/>
      <c r="BW62" s="304"/>
      <c r="BX62" s="59"/>
      <c r="BY62" s="59"/>
      <c r="BZ62" s="59"/>
      <c r="CA62" s="125"/>
      <c r="CB62" s="59"/>
      <c r="CC62" s="125"/>
      <c r="CD62" s="59"/>
      <c r="CE62" s="59"/>
      <c r="CF62" s="59"/>
      <c r="CG62" s="59"/>
      <c r="CH62" s="59"/>
      <c r="CI62" s="59"/>
      <c r="CJ62" s="59"/>
      <c r="CK62" s="59"/>
      <c r="CL62" s="59"/>
    </row>
    <row r="63" ht="13.55" customHeight="1">
      <c r="A63" s="60"/>
      <c r="B63" s="57"/>
      <c r="C63" s="58"/>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125"/>
      <c r="AM63" s="59"/>
      <c r="AN63" s="59"/>
      <c r="AO63" s="59"/>
      <c r="AP63" s="59"/>
      <c r="AQ63" s="79"/>
      <c r="AR63" s="79"/>
      <c r="AS63" s="79"/>
      <c r="AT63" s="79"/>
      <c r="AU63" s="301"/>
      <c r="AV63" s="79"/>
      <c r="AW63" s="79"/>
      <c r="AX63" s="79"/>
      <c r="AY63" s="79"/>
      <c r="AZ63" s="59"/>
      <c r="BA63" s="59"/>
      <c r="BB63" s="302"/>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125"/>
      <c r="CB63" s="59"/>
      <c r="CC63" s="125"/>
      <c r="CD63" s="59"/>
      <c r="CE63" s="59"/>
      <c r="CF63" s="59"/>
      <c r="CG63" s="59"/>
      <c r="CH63" s="59"/>
      <c r="CI63" s="59"/>
      <c r="CJ63" s="59"/>
      <c r="CK63" s="59"/>
      <c r="CL63" s="59"/>
    </row>
    <row r="64" ht="13.55" customHeight="1">
      <c r="A64" s="60"/>
      <c r="B64" s="57"/>
      <c r="C64" s="58"/>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300"/>
      <c r="AI64" s="300"/>
      <c r="AJ64" s="300"/>
      <c r="AK64" s="300"/>
      <c r="AL64" s="307"/>
      <c r="AM64" s="300"/>
      <c r="AN64" s="300"/>
      <c r="AO64" s="300"/>
      <c r="AP64" s="300"/>
      <c r="AQ64" s="59"/>
      <c r="AR64" s="59"/>
      <c r="AS64" s="59"/>
      <c r="AT64" s="59"/>
      <c r="AU64" s="125"/>
      <c r="AV64" s="59"/>
      <c r="AW64" s="59"/>
      <c r="AX64" s="59"/>
      <c r="AY64" s="59"/>
      <c r="AZ64" s="79"/>
      <c r="BA64" s="79"/>
      <c r="BB64" s="302"/>
      <c r="BC64" s="79"/>
      <c r="BD64" s="79"/>
      <c r="BE64" s="79"/>
      <c r="BF64" s="79"/>
      <c r="BG64" s="79"/>
      <c r="BH64" s="79"/>
      <c r="BI64" s="79"/>
      <c r="BJ64" s="79"/>
      <c r="BK64" s="79"/>
      <c r="BL64" s="79"/>
      <c r="BM64" s="59"/>
      <c r="BN64" s="59"/>
      <c r="BO64" s="59"/>
      <c r="BP64" s="59"/>
      <c r="BQ64" s="59"/>
      <c r="BR64" s="59"/>
      <c r="BS64" s="59"/>
      <c r="BT64" s="59"/>
      <c r="BU64" s="59"/>
      <c r="BV64" s="59"/>
      <c r="BW64" s="59"/>
      <c r="BX64" s="59"/>
      <c r="BY64" s="59"/>
      <c r="BZ64" s="59"/>
      <c r="CA64" s="125"/>
      <c r="CB64" s="59"/>
      <c r="CC64" s="125"/>
      <c r="CD64" s="59"/>
      <c r="CE64" s="59"/>
      <c r="CF64" s="59"/>
      <c r="CG64" s="59"/>
      <c r="CH64" s="59"/>
      <c r="CI64" s="59"/>
      <c r="CJ64" s="59"/>
      <c r="CK64" s="59"/>
      <c r="CL64" s="59"/>
    </row>
    <row r="65" ht="13.55" customHeight="1">
      <c r="A65" s="60"/>
      <c r="B65" s="57"/>
      <c r="C65" s="58"/>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300"/>
      <c r="AI65" s="300"/>
      <c r="AJ65" s="300"/>
      <c r="AK65" s="300"/>
      <c r="AL65" s="307"/>
      <c r="AM65" s="300"/>
      <c r="AN65" s="300"/>
      <c r="AO65" s="300"/>
      <c r="AP65" s="300"/>
      <c r="AQ65" s="59"/>
      <c r="AR65" s="59"/>
      <c r="AS65" s="59"/>
      <c r="AT65" s="59"/>
      <c r="AU65" s="125"/>
      <c r="AV65" s="59"/>
      <c r="AW65" s="59"/>
      <c r="AX65" s="59"/>
      <c r="AY65" s="59"/>
      <c r="AZ65" s="79"/>
      <c r="BA65" s="79"/>
      <c r="BB65" s="302"/>
      <c r="BC65" s="79"/>
      <c r="BD65" s="79"/>
      <c r="BE65" s="79"/>
      <c r="BF65" s="79"/>
      <c r="BG65" s="79"/>
      <c r="BH65" s="79"/>
      <c r="BI65" s="79"/>
      <c r="BJ65" s="79"/>
      <c r="BK65" s="79"/>
      <c r="BL65" s="79"/>
      <c r="BM65" s="59"/>
      <c r="BN65" s="59"/>
      <c r="BO65" s="59"/>
      <c r="BP65" s="59"/>
      <c r="BQ65" s="59"/>
      <c r="BR65" s="59"/>
      <c r="BS65" s="59"/>
      <c r="BT65" s="59"/>
      <c r="BU65" s="59"/>
      <c r="BV65" s="59"/>
      <c r="BW65" s="59"/>
      <c r="BX65" s="59"/>
      <c r="BY65" s="59"/>
      <c r="BZ65" s="59"/>
      <c r="CA65" s="125"/>
      <c r="CB65" s="59"/>
      <c r="CC65" s="125"/>
      <c r="CD65" s="59"/>
      <c r="CE65" s="59"/>
      <c r="CF65" s="59"/>
      <c r="CG65" s="59"/>
      <c r="CH65" s="59"/>
      <c r="CI65" s="59"/>
      <c r="CJ65" s="59"/>
      <c r="CK65" s="59"/>
      <c r="CL65" s="59"/>
    </row>
    <row r="66" ht="13.55" customHeight="1">
      <c r="A66" s="60"/>
      <c r="B66" s="57"/>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300"/>
      <c r="AI66" s="300"/>
      <c r="AJ66" s="300"/>
      <c r="AK66" s="300"/>
      <c r="AL66" s="307"/>
      <c r="AM66" s="300"/>
      <c r="AN66" s="300"/>
      <c r="AO66" s="300"/>
      <c r="AP66" s="59"/>
      <c r="AQ66" s="59"/>
      <c r="AR66" s="59"/>
      <c r="AS66" s="59"/>
      <c r="AT66" s="59"/>
      <c r="AU66" s="125"/>
      <c r="AV66" s="59"/>
      <c r="AW66" s="59"/>
      <c r="AX66" s="59"/>
      <c r="AY66" s="59"/>
      <c r="AZ66" s="79"/>
      <c r="BA66" s="79"/>
      <c r="BB66" s="302"/>
      <c r="BC66" s="79"/>
      <c r="BD66" s="79"/>
      <c r="BE66" s="79"/>
      <c r="BF66" s="79"/>
      <c r="BG66" s="79"/>
      <c r="BH66" s="79"/>
      <c r="BI66" s="79"/>
      <c r="BJ66" s="79"/>
      <c r="BK66" s="79"/>
      <c r="BL66" s="79"/>
      <c r="BM66" s="59"/>
      <c r="BN66" s="59"/>
      <c r="BO66" s="59"/>
      <c r="BP66" s="59"/>
      <c r="BQ66" s="59"/>
      <c r="BR66" s="59"/>
      <c r="BS66" s="59"/>
      <c r="BT66" s="59"/>
      <c r="BU66" s="59"/>
      <c r="BV66" s="59"/>
      <c r="BW66" s="59"/>
      <c r="BX66" s="59"/>
      <c r="BY66" s="59"/>
      <c r="BZ66" s="59"/>
      <c r="CA66" s="125"/>
      <c r="CB66" s="59"/>
      <c r="CC66" s="125"/>
      <c r="CD66" s="59"/>
      <c r="CE66" s="59"/>
      <c r="CF66" s="59"/>
      <c r="CG66" s="59"/>
      <c r="CH66" s="59"/>
      <c r="CI66" s="59"/>
      <c r="CJ66" s="59"/>
      <c r="CK66" s="59"/>
      <c r="CL66" s="59"/>
    </row>
    <row r="67" ht="88.7" customHeight="1">
      <c r="A67" s="60"/>
      <c r="B67" s="57"/>
      <c r="C67" s="58"/>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300"/>
      <c r="AI67" s="300"/>
      <c r="AJ67" s="300"/>
      <c r="AK67" s="300"/>
      <c r="AL67" s="307"/>
      <c r="AM67" s="300"/>
      <c r="AN67" s="300"/>
      <c r="AO67" s="300"/>
      <c r="AP67" s="59"/>
      <c r="AQ67" s="59"/>
      <c r="AR67" s="59"/>
      <c r="AS67" s="59"/>
      <c r="AT67" s="59"/>
      <c r="AU67" s="125"/>
      <c r="AV67" s="59"/>
      <c r="AW67" s="59"/>
      <c r="AX67" s="59"/>
      <c r="AY67" s="59"/>
      <c r="AZ67" s="79"/>
      <c r="BA67" s="79"/>
      <c r="BB67" s="302"/>
      <c r="BC67" s="79"/>
      <c r="BD67" s="79"/>
      <c r="BE67" s="79"/>
      <c r="BF67" s="79"/>
      <c r="BG67" s="79"/>
      <c r="BH67" s="79"/>
      <c r="BI67" s="79"/>
      <c r="BJ67" s="79"/>
      <c r="BK67" s="79"/>
      <c r="BL67" s="79"/>
      <c r="BM67" s="59"/>
      <c r="BN67" s="59"/>
      <c r="BO67" s="59"/>
      <c r="BP67" s="59"/>
      <c r="BQ67" s="59"/>
      <c r="BR67" s="59"/>
      <c r="BS67" s="59"/>
      <c r="BT67" s="59"/>
      <c r="BU67" s="59"/>
      <c r="BV67" s="59"/>
      <c r="BW67" s="59"/>
      <c r="BX67" s="59"/>
      <c r="BY67" s="59"/>
      <c r="BZ67" s="59"/>
      <c r="CA67" s="125"/>
      <c r="CB67" s="59"/>
      <c r="CC67" s="125"/>
      <c r="CD67" s="59"/>
      <c r="CE67" s="59"/>
      <c r="CF67" s="59"/>
      <c r="CG67" s="59"/>
      <c r="CH67" s="59"/>
      <c r="CI67" s="59"/>
      <c r="CJ67" s="59"/>
      <c r="CK67" s="59"/>
      <c r="CL67" s="59"/>
    </row>
    <row r="68" ht="13.55" customHeight="1">
      <c r="A68" s="60"/>
      <c r="B68" s="57"/>
      <c r="C68" s="58"/>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300"/>
      <c r="AI68" s="300"/>
      <c r="AJ68" s="300"/>
      <c r="AK68" s="300"/>
      <c r="AL68" s="307"/>
      <c r="AM68" s="300"/>
      <c r="AN68" s="300"/>
      <c r="AO68" s="300"/>
      <c r="AP68" s="59"/>
      <c r="AQ68" s="59"/>
      <c r="AR68" s="59"/>
      <c r="AS68" s="59"/>
      <c r="AT68" s="59"/>
      <c r="AU68" s="125"/>
      <c r="AV68" s="59"/>
      <c r="AW68" s="59"/>
      <c r="AX68" s="59"/>
      <c r="AY68" s="59"/>
      <c r="AZ68" s="79"/>
      <c r="BA68" s="79"/>
      <c r="BB68" s="79"/>
      <c r="BC68" s="79"/>
      <c r="BD68" s="79"/>
      <c r="BE68" s="79"/>
      <c r="BF68" s="79"/>
      <c r="BG68" s="79"/>
      <c r="BH68" s="79"/>
      <c r="BI68" s="79"/>
      <c r="BJ68" s="79"/>
      <c r="BK68" s="79"/>
      <c r="BL68" s="79"/>
      <c r="BM68" s="59"/>
      <c r="BN68" s="59"/>
      <c r="BO68" s="59"/>
      <c r="BP68" s="59"/>
      <c r="BQ68" s="59"/>
      <c r="BR68" s="59"/>
      <c r="BS68" s="59"/>
      <c r="BT68" s="59"/>
      <c r="BU68" s="59"/>
      <c r="BV68" s="59"/>
      <c r="BW68" s="59"/>
      <c r="BX68" s="59"/>
      <c r="BY68" s="59"/>
      <c r="BZ68" s="59"/>
      <c r="CA68" s="125"/>
      <c r="CB68" s="59"/>
      <c r="CC68" s="125"/>
      <c r="CD68" s="59"/>
      <c r="CE68" s="59"/>
      <c r="CF68" s="59"/>
      <c r="CG68" s="59"/>
      <c r="CH68" s="59"/>
      <c r="CI68" s="59"/>
      <c r="CJ68" s="59"/>
      <c r="CK68" s="59"/>
      <c r="CL68" s="59"/>
    </row>
    <row r="69" ht="13.55" customHeight="1">
      <c r="A69" s="60"/>
      <c r="B69" s="57"/>
      <c r="C69" s="58"/>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300"/>
      <c r="AI69" s="300"/>
      <c r="AJ69" s="300"/>
      <c r="AK69" s="300"/>
      <c r="AL69" s="307"/>
      <c r="AM69" s="300"/>
      <c r="AN69" s="300"/>
      <c r="AO69" s="300"/>
      <c r="AP69" s="59"/>
      <c r="AQ69" s="59"/>
      <c r="AR69" s="59"/>
      <c r="AS69" s="59"/>
      <c r="AT69" s="59"/>
      <c r="AU69" s="125"/>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125"/>
      <c r="CB69" s="59"/>
      <c r="CC69" s="125"/>
      <c r="CD69" s="59"/>
      <c r="CE69" s="59"/>
      <c r="CF69" s="59"/>
      <c r="CG69" s="59"/>
      <c r="CH69" s="59"/>
      <c r="CI69" s="59"/>
      <c r="CJ69" s="59"/>
      <c r="CK69" s="59"/>
      <c r="CL69" s="59"/>
    </row>
    <row r="70" ht="13.55" customHeight="1">
      <c r="A70" s="60"/>
      <c r="B70" s="57"/>
      <c r="C70" s="58"/>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300"/>
      <c r="AI70" s="300"/>
      <c r="AJ70" s="300"/>
      <c r="AK70" s="300"/>
      <c r="AL70" s="307"/>
      <c r="AM70" s="300"/>
      <c r="AN70" s="300"/>
      <c r="AO70" s="300"/>
      <c r="AP70" s="59"/>
      <c r="AQ70" s="59"/>
      <c r="AR70" s="59"/>
      <c r="AS70" s="59"/>
      <c r="AT70" s="59"/>
      <c r="AU70" s="125"/>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125"/>
      <c r="CB70" s="59"/>
      <c r="CC70" s="125"/>
      <c r="CD70" s="59"/>
      <c r="CE70" s="59"/>
      <c r="CF70" s="59"/>
      <c r="CG70" s="59"/>
      <c r="CH70" s="59"/>
      <c r="CI70" s="59"/>
      <c r="CJ70" s="59"/>
      <c r="CK70" s="59"/>
      <c r="CL70" s="59"/>
    </row>
    <row r="71" ht="13.55" customHeight="1">
      <c r="A71" s="61"/>
      <c r="B71" s="62"/>
      <c r="C71" s="63"/>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308"/>
      <c r="AI71" s="308"/>
      <c r="AJ71" s="308"/>
      <c r="AK71" s="308"/>
      <c r="AL71" s="309"/>
      <c r="AM71" s="308"/>
      <c r="AN71" s="308"/>
      <c r="AO71" s="308"/>
      <c r="AP71" s="64"/>
      <c r="AQ71" s="64"/>
      <c r="AR71" s="64"/>
      <c r="AS71" s="64"/>
      <c r="AT71" s="64"/>
      <c r="AU71" s="310"/>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311"/>
      <c r="CB71" s="64"/>
      <c r="CC71" s="311"/>
      <c r="CD71" s="64"/>
      <c r="CE71" s="64"/>
      <c r="CF71" s="64"/>
      <c r="CG71" s="64"/>
      <c r="CH71" s="64"/>
      <c r="CI71" s="64"/>
      <c r="CJ71" s="64"/>
      <c r="CK71" s="64"/>
      <c r="CL71" s="64"/>
    </row>
    <row r="72" ht="15" customHeight="1">
      <c r="A72" s="15">
        <v>7</v>
      </c>
      <c r="B72" t="s" s="65">
        <v>21</v>
      </c>
      <c r="C72" t="s" s="17">
        <v>359</v>
      </c>
      <c r="D72" s="165">
        <v>4</v>
      </c>
      <c r="E72" s="165">
        <v>2160</v>
      </c>
      <c r="F72" s="166">
        <v>2016</v>
      </c>
      <c r="G72" t="s" s="18">
        <v>360</v>
      </c>
      <c r="H72" s="165">
        <v>521</v>
      </c>
      <c r="I72" s="166">
        <v>2016</v>
      </c>
      <c r="J72" t="s" s="18">
        <v>360</v>
      </c>
      <c r="K72" s="167">
        <v>4.15</v>
      </c>
      <c r="L72" s="167">
        <v>2016</v>
      </c>
      <c r="M72" t="s" s="18">
        <v>360</v>
      </c>
      <c r="N72" s="167">
        <v>55</v>
      </c>
      <c r="O72" s="167">
        <v>2017</v>
      </c>
      <c r="P72" t="s" s="18">
        <v>361</v>
      </c>
      <c r="Q72" s="167">
        <v>45</v>
      </c>
      <c r="R72" s="167">
        <v>2017</v>
      </c>
      <c r="S72" t="s" s="18">
        <v>361</v>
      </c>
      <c r="T72" s="167">
        <v>15</v>
      </c>
      <c r="U72" s="167">
        <v>2017</v>
      </c>
      <c r="V72" t="s" s="18">
        <v>361</v>
      </c>
      <c r="W72" s="167">
        <v>80</v>
      </c>
      <c r="X72" s="167">
        <v>2017</v>
      </c>
      <c r="Y72" t="s" s="18">
        <v>361</v>
      </c>
      <c r="Z72" s="167">
        <v>5</v>
      </c>
      <c r="AA72" s="166">
        <v>2017</v>
      </c>
      <c r="AB72" t="s" s="18">
        <v>361</v>
      </c>
      <c r="AC72" t="s" s="18">
        <v>362</v>
      </c>
      <c r="AD72" t="s" s="18">
        <v>363</v>
      </c>
      <c r="AE72" t="s" s="18">
        <v>364</v>
      </c>
      <c r="AF72" t="s" s="18">
        <v>365</v>
      </c>
      <c r="AG72" t="s" s="171">
        <v>366</v>
      </c>
      <c r="AH72" t="s" s="171">
        <v>265</v>
      </c>
      <c r="AI72" s="167">
        <v>25</v>
      </c>
      <c r="AJ72" s="199">
        <f>2000/19.98</f>
        <v>100.1001001001</v>
      </c>
      <c r="AK72" t="s" s="18">
        <v>215</v>
      </c>
      <c r="AL72" s="312">
        <v>31</v>
      </c>
      <c r="AM72" s="166">
        <v>7</v>
      </c>
      <c r="AN72" t="s" s="171">
        <v>367</v>
      </c>
      <c r="AO72" t="s" s="171">
        <v>197</v>
      </c>
      <c r="AP72" t="s" s="18">
        <v>368</v>
      </c>
      <c r="AQ72" t="s" s="171">
        <v>227</v>
      </c>
      <c r="AR72" s="238">
        <v>0.25</v>
      </c>
      <c r="AS72" s="167">
        <v>0</v>
      </c>
      <c r="AT72" s="168"/>
      <c r="AU72" s="197"/>
      <c r="AV72" t="s" s="171">
        <v>369</v>
      </c>
      <c r="AW72" s="168"/>
      <c r="AX72" t="s" s="171">
        <v>197</v>
      </c>
      <c r="AY72" t="s" s="18">
        <v>370</v>
      </c>
      <c r="AZ72" s="167">
        <v>2</v>
      </c>
      <c r="BA72" s="167">
        <v>2</v>
      </c>
      <c r="BB72" t="s" s="18">
        <v>197</v>
      </c>
      <c r="BC72" s="167">
        <v>1</v>
      </c>
      <c r="BD72" t="s" s="171">
        <v>371</v>
      </c>
      <c r="BE72" s="167">
        <v>2</v>
      </c>
      <c r="BF72" s="313">
        <v>2</v>
      </c>
      <c r="BG72" t="s" s="18">
        <v>197</v>
      </c>
      <c r="BH72" t="s" s="171">
        <v>197</v>
      </c>
      <c r="BI72" s="167">
        <v>1</v>
      </c>
      <c r="BJ72" t="s" s="171">
        <v>372</v>
      </c>
      <c r="BK72" s="167">
        <v>1</v>
      </c>
      <c r="BL72" t="s" s="171">
        <v>373</v>
      </c>
      <c r="BM72" t="s" s="171">
        <v>200</v>
      </c>
      <c r="BN72" s="167">
        <v>0</v>
      </c>
      <c r="BO72" t="s" s="18">
        <v>374</v>
      </c>
      <c r="BP72" t="s" s="18">
        <v>370</v>
      </c>
      <c r="BQ72" t="s" s="171">
        <v>200</v>
      </c>
      <c r="BR72" s="167">
        <v>15</v>
      </c>
      <c r="BS72" s="168"/>
      <c r="BT72" t="s" s="18">
        <v>374</v>
      </c>
      <c r="BU72" t="s" s="18">
        <v>370</v>
      </c>
      <c r="BV72" t="s" s="314">
        <v>374</v>
      </c>
      <c r="BW72" t="s" s="314">
        <v>374</v>
      </c>
      <c r="BX72" t="s" s="171">
        <v>265</v>
      </c>
      <c r="BY72" s="167">
        <v>55</v>
      </c>
      <c r="BZ72" t="s" s="18">
        <v>375</v>
      </c>
      <c r="CA72" s="315"/>
      <c r="CB72" t="s" s="18">
        <v>375</v>
      </c>
      <c r="CC72" s="315"/>
      <c r="CD72" s="168"/>
      <c r="CE72" s="168"/>
      <c r="CF72" s="168"/>
      <c r="CG72" s="168"/>
      <c r="CH72" s="169"/>
      <c r="CI72" t="s" s="18">
        <v>370</v>
      </c>
      <c r="CJ72" t="s" s="171">
        <v>197</v>
      </c>
      <c r="CK72" t="s" s="171">
        <v>197</v>
      </c>
      <c r="CL72" t="s" s="171">
        <v>197</v>
      </c>
    </row>
    <row r="73" ht="15" customHeight="1">
      <c r="A73" s="19"/>
      <c r="B73" s="67"/>
      <c r="C73" s="190"/>
      <c r="D73" s="179"/>
      <c r="E73" s="179"/>
      <c r="F73" s="179"/>
      <c r="G73" s="179"/>
      <c r="H73" s="179"/>
      <c r="I73" s="179"/>
      <c r="J73" s="179"/>
      <c r="K73" s="180"/>
      <c r="L73" s="180"/>
      <c r="M73" s="180"/>
      <c r="N73" s="34"/>
      <c r="O73" s="34"/>
      <c r="P73" s="34"/>
      <c r="Q73" s="34"/>
      <c r="R73" s="34"/>
      <c r="S73" s="34"/>
      <c r="T73" s="34"/>
      <c r="U73" s="34"/>
      <c r="V73" s="34"/>
      <c r="W73" s="34"/>
      <c r="X73" s="34"/>
      <c r="Y73" s="34"/>
      <c r="Z73" s="34"/>
      <c r="AA73" s="34"/>
      <c r="AB73" s="34"/>
      <c r="AC73" s="316"/>
      <c r="AD73" s="316"/>
      <c r="AE73" s="316"/>
      <c r="AF73" s="316"/>
      <c r="AG73" s="34"/>
      <c r="AH73" t="s" s="317">
        <v>376</v>
      </c>
      <c r="AI73" s="183">
        <v>75</v>
      </c>
      <c r="AJ73" s="202">
        <v>0</v>
      </c>
      <c r="AK73" s="34"/>
      <c r="AL73" s="181"/>
      <c r="AM73" s="183">
        <v>7</v>
      </c>
      <c r="AN73" t="s" s="182">
        <v>377</v>
      </c>
      <c r="AO73" s="34"/>
      <c r="AP73" s="22"/>
      <c r="AQ73" t="s" s="182">
        <v>226</v>
      </c>
      <c r="AR73" s="241">
        <v>0.75</v>
      </c>
      <c r="AS73" s="210">
        <f>150/19.98</f>
        <v>7.50750750750751</v>
      </c>
      <c r="AT73" t="s" s="209">
        <v>215</v>
      </c>
      <c r="AU73" s="188">
        <v>2.33</v>
      </c>
      <c r="AV73" s="183">
        <v>4</v>
      </c>
      <c r="AW73" s="183">
        <v>3</v>
      </c>
      <c r="AX73" s="34"/>
      <c r="AY73" s="34"/>
      <c r="AZ73" s="34"/>
      <c r="BA73" s="34"/>
      <c r="BB73" s="34"/>
      <c r="BC73" s="34"/>
      <c r="BD73" s="34"/>
      <c r="BE73" s="34"/>
      <c r="BF73" s="316"/>
      <c r="BG73" s="34"/>
      <c r="BH73" s="34"/>
      <c r="BI73" s="34"/>
      <c r="BJ73" s="34"/>
      <c r="BK73" s="34"/>
      <c r="BL73" s="34"/>
      <c r="BM73" t="s" s="182">
        <v>378</v>
      </c>
      <c r="BN73" s="183">
        <v>75</v>
      </c>
      <c r="BO73" s="34"/>
      <c r="BP73" s="34"/>
      <c r="BQ73" t="s" s="182">
        <v>230</v>
      </c>
      <c r="BR73" s="183">
        <v>30</v>
      </c>
      <c r="BS73" t="s" s="182">
        <v>379</v>
      </c>
      <c r="BT73" s="34"/>
      <c r="BU73" s="34"/>
      <c r="BV73" s="34"/>
      <c r="BW73" s="34"/>
      <c r="BX73" t="s" s="182">
        <v>380</v>
      </c>
      <c r="BY73" s="183">
        <v>45</v>
      </c>
      <c r="BZ73" s="210">
        <f>1500/19.98</f>
        <v>75.07507507507511</v>
      </c>
      <c r="CA73" s="212">
        <v>23</v>
      </c>
      <c r="CB73" s="183">
        <v>0</v>
      </c>
      <c r="CC73" s="187"/>
      <c r="CD73" t="s" s="182">
        <v>381</v>
      </c>
      <c r="CE73" s="183">
        <v>2</v>
      </c>
      <c r="CF73" s="34"/>
      <c r="CG73" t="s" s="182">
        <v>382</v>
      </c>
      <c r="CH73" s="34"/>
      <c r="CI73" s="34"/>
      <c r="CJ73" s="34"/>
      <c r="CK73" s="34"/>
      <c r="CL73" s="34"/>
    </row>
    <row r="74" ht="15" customHeight="1">
      <c r="A74" s="19"/>
      <c r="B74" s="67"/>
      <c r="C74" s="190"/>
      <c r="D74" s="179"/>
      <c r="E74" s="179"/>
      <c r="F74" s="179"/>
      <c r="G74" s="179"/>
      <c r="H74" s="179"/>
      <c r="I74" s="179"/>
      <c r="J74" s="179"/>
      <c r="K74" s="180"/>
      <c r="L74" s="180"/>
      <c r="M74" s="180"/>
      <c r="N74" s="34"/>
      <c r="O74" s="34"/>
      <c r="P74" s="34"/>
      <c r="Q74" s="34"/>
      <c r="R74" s="34"/>
      <c r="S74" s="34"/>
      <c r="T74" s="34"/>
      <c r="U74" s="34"/>
      <c r="V74" s="34"/>
      <c r="W74" s="34"/>
      <c r="X74" s="34"/>
      <c r="Y74" s="34"/>
      <c r="Z74" s="34"/>
      <c r="AA74" s="34"/>
      <c r="AB74" s="34"/>
      <c r="AC74" s="34"/>
      <c r="AD74" s="34"/>
      <c r="AE74" s="34"/>
      <c r="AF74" s="34"/>
      <c r="AG74" s="34"/>
      <c r="AH74" t="s" s="318">
        <v>383</v>
      </c>
      <c r="AI74" s="34"/>
      <c r="AJ74" s="22"/>
      <c r="AK74" s="22"/>
      <c r="AL74" s="188"/>
      <c r="AM74" s="34"/>
      <c r="AN74" s="34"/>
      <c r="AO74" s="34"/>
      <c r="AP74" s="34"/>
      <c r="AQ74" s="34"/>
      <c r="AR74" s="34"/>
      <c r="AS74" s="22"/>
      <c r="AT74" s="22"/>
      <c r="AU74" s="188"/>
      <c r="AV74" s="34"/>
      <c r="AW74" s="34"/>
      <c r="AX74" s="34"/>
      <c r="AY74" s="34"/>
      <c r="AZ74" s="34"/>
      <c r="BA74" s="34"/>
      <c r="BB74" s="34"/>
      <c r="BC74" s="34"/>
      <c r="BD74" s="34"/>
      <c r="BE74" s="34"/>
      <c r="BF74" s="34"/>
      <c r="BG74" s="34"/>
      <c r="BH74" s="34"/>
      <c r="BI74" s="34"/>
      <c r="BJ74" s="34"/>
      <c r="BK74" s="34"/>
      <c r="BL74" s="34"/>
      <c r="BM74" t="s" s="182">
        <v>384</v>
      </c>
      <c r="BN74" s="183">
        <v>25</v>
      </c>
      <c r="BO74" s="34"/>
      <c r="BP74" s="34"/>
      <c r="BQ74" t="s" s="182">
        <v>357</v>
      </c>
      <c r="BR74" s="319">
        <v>0</v>
      </c>
      <c r="BS74" s="316"/>
      <c r="BT74" s="34"/>
      <c r="BU74" s="34"/>
      <c r="BV74" s="34"/>
      <c r="BW74" s="34"/>
      <c r="BX74" s="34"/>
      <c r="BY74" s="34"/>
      <c r="BZ74" s="34"/>
      <c r="CA74" s="187"/>
      <c r="CB74" s="34"/>
      <c r="CC74" s="187"/>
      <c r="CD74" s="34"/>
      <c r="CE74" s="34"/>
      <c r="CF74" s="34"/>
      <c r="CG74" s="34"/>
      <c r="CH74" s="34"/>
      <c r="CI74" s="34"/>
      <c r="CJ74" s="34"/>
      <c r="CK74" s="34"/>
      <c r="CL74" s="34"/>
    </row>
    <row r="75" ht="15" customHeight="1">
      <c r="A75" s="19"/>
      <c r="B75" s="67"/>
      <c r="C75" s="190"/>
      <c r="D75" s="179"/>
      <c r="E75" s="179"/>
      <c r="F75" s="179"/>
      <c r="G75" s="179"/>
      <c r="H75" s="179"/>
      <c r="I75" s="179"/>
      <c r="J75" s="179"/>
      <c r="K75" s="180"/>
      <c r="L75" s="180"/>
      <c r="M75" s="180"/>
      <c r="N75" s="34"/>
      <c r="O75" s="34"/>
      <c r="P75" s="34"/>
      <c r="Q75" s="34"/>
      <c r="R75" s="34"/>
      <c r="S75" s="34"/>
      <c r="T75" s="34"/>
      <c r="U75" s="34"/>
      <c r="V75" s="34"/>
      <c r="W75" s="34"/>
      <c r="X75" s="34"/>
      <c r="Y75" s="34"/>
      <c r="Z75" s="34"/>
      <c r="AA75" s="34"/>
      <c r="AB75" s="34"/>
      <c r="AC75" s="34"/>
      <c r="AD75" s="34"/>
      <c r="AE75" s="34"/>
      <c r="AF75" s="34"/>
      <c r="AG75" s="34"/>
      <c r="AH75" s="316"/>
      <c r="AI75" s="34"/>
      <c r="AJ75" s="22"/>
      <c r="AK75" s="22"/>
      <c r="AL75" s="188"/>
      <c r="AM75" s="22"/>
      <c r="AN75" s="22"/>
      <c r="AO75" s="34"/>
      <c r="AP75" s="34"/>
      <c r="AQ75" s="34"/>
      <c r="AR75" s="34"/>
      <c r="AS75" s="34"/>
      <c r="AT75" s="34"/>
      <c r="AU75" s="181"/>
      <c r="AV75" s="34"/>
      <c r="AW75" s="34"/>
      <c r="AX75" s="34"/>
      <c r="AY75" s="34"/>
      <c r="AZ75" s="34"/>
      <c r="BA75" s="34"/>
      <c r="BB75" s="34"/>
      <c r="BC75" s="34"/>
      <c r="BD75" s="34"/>
      <c r="BE75" s="34"/>
      <c r="BF75" s="34"/>
      <c r="BG75" s="34"/>
      <c r="BH75" s="34"/>
      <c r="BI75" s="34"/>
      <c r="BJ75" s="34"/>
      <c r="BK75" s="34"/>
      <c r="BL75" s="34"/>
      <c r="BM75" s="34"/>
      <c r="BN75" s="34"/>
      <c r="BO75" s="34"/>
      <c r="BP75" s="34"/>
      <c r="BQ75" t="s" s="182">
        <v>210</v>
      </c>
      <c r="BR75" s="183">
        <v>55</v>
      </c>
      <c r="BS75" s="34"/>
      <c r="BT75" s="34"/>
      <c r="BU75" s="34"/>
      <c r="BV75" s="34"/>
      <c r="BW75" s="34"/>
      <c r="BX75" s="34"/>
      <c r="BY75" s="34"/>
      <c r="BZ75" s="34"/>
      <c r="CA75" s="187"/>
      <c r="CB75" s="34"/>
      <c r="CC75" s="187"/>
      <c r="CD75" s="34"/>
      <c r="CE75" s="34"/>
      <c r="CF75" s="34"/>
      <c r="CG75" s="34"/>
      <c r="CH75" s="34"/>
      <c r="CI75" s="34"/>
      <c r="CJ75" s="34"/>
      <c r="CK75" s="34"/>
      <c r="CL75" s="34"/>
    </row>
    <row r="76" ht="15" customHeight="1">
      <c r="A76" s="19"/>
      <c r="B76" s="67"/>
      <c r="C76" s="190"/>
      <c r="D76" s="179"/>
      <c r="E76" s="179"/>
      <c r="F76" s="179"/>
      <c r="G76" s="179"/>
      <c r="H76" s="179"/>
      <c r="I76" s="179"/>
      <c r="J76" s="179"/>
      <c r="K76" s="180"/>
      <c r="L76" s="180"/>
      <c r="M76" s="180"/>
      <c r="N76" s="34"/>
      <c r="O76" s="34"/>
      <c r="P76" s="34"/>
      <c r="Q76" s="34"/>
      <c r="R76" s="34"/>
      <c r="S76" s="34"/>
      <c r="T76" s="34"/>
      <c r="U76" s="34"/>
      <c r="V76" s="34"/>
      <c r="W76" s="34"/>
      <c r="X76" s="34"/>
      <c r="Y76" s="34"/>
      <c r="Z76" s="34"/>
      <c r="AA76" s="34"/>
      <c r="AB76" s="34"/>
      <c r="AC76" s="34"/>
      <c r="AD76" s="34"/>
      <c r="AE76" s="34"/>
      <c r="AF76" s="34"/>
      <c r="AG76" s="34"/>
      <c r="AH76" s="316"/>
      <c r="AI76" s="34"/>
      <c r="AJ76" s="34"/>
      <c r="AK76" s="34"/>
      <c r="AL76" s="181"/>
      <c r="AM76" s="34"/>
      <c r="AN76" s="34"/>
      <c r="AO76" s="34"/>
      <c r="AP76" s="34"/>
      <c r="AQ76" s="34"/>
      <c r="AR76" s="34"/>
      <c r="AS76" s="34"/>
      <c r="AT76" s="34"/>
      <c r="AU76" s="181"/>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187"/>
      <c r="CB76" s="34"/>
      <c r="CC76" s="187"/>
      <c r="CD76" s="34"/>
      <c r="CE76" s="34"/>
      <c r="CF76" s="34"/>
      <c r="CG76" s="34"/>
      <c r="CH76" s="34"/>
      <c r="CI76" s="34"/>
      <c r="CJ76" s="34"/>
      <c r="CK76" s="34"/>
      <c r="CL76" s="34"/>
    </row>
    <row r="77" ht="15" customHeight="1">
      <c r="A77" s="19"/>
      <c r="B77" s="67"/>
      <c r="C77" s="190"/>
      <c r="D77" s="179"/>
      <c r="E77" s="179"/>
      <c r="F77" s="179"/>
      <c r="G77" s="179"/>
      <c r="H77" s="179"/>
      <c r="I77" s="179"/>
      <c r="J77" s="179"/>
      <c r="K77" s="180"/>
      <c r="L77" s="180"/>
      <c r="M77" s="180"/>
      <c r="N77" s="34"/>
      <c r="O77" s="34"/>
      <c r="P77" s="34"/>
      <c r="Q77" s="34"/>
      <c r="R77" s="34"/>
      <c r="S77" s="34"/>
      <c r="T77" s="34"/>
      <c r="U77" s="34"/>
      <c r="V77" s="34"/>
      <c r="W77" s="34"/>
      <c r="X77" s="34"/>
      <c r="Y77" s="34"/>
      <c r="Z77" s="34"/>
      <c r="AA77" s="34"/>
      <c r="AB77" s="34"/>
      <c r="AC77" s="34"/>
      <c r="AD77" s="34"/>
      <c r="AE77" s="34"/>
      <c r="AF77" s="34"/>
      <c r="AG77" s="34"/>
      <c r="AH77" s="316"/>
      <c r="AI77" s="34"/>
      <c r="AJ77" s="34"/>
      <c r="AK77" s="34"/>
      <c r="AL77" s="181"/>
      <c r="AM77" s="34"/>
      <c r="AN77" s="34"/>
      <c r="AO77" s="34"/>
      <c r="AP77" s="34"/>
      <c r="AQ77" s="34"/>
      <c r="AR77" s="34"/>
      <c r="AS77" s="34"/>
      <c r="AT77" s="34"/>
      <c r="AU77" s="181"/>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187"/>
      <c r="CB77" s="34"/>
      <c r="CC77" s="187"/>
      <c r="CD77" s="34"/>
      <c r="CE77" s="34"/>
      <c r="CF77" s="34"/>
      <c r="CG77" s="34"/>
      <c r="CH77" s="34"/>
      <c r="CI77" s="34"/>
      <c r="CJ77" s="34"/>
      <c r="CK77" s="34"/>
      <c r="CL77" s="34"/>
    </row>
    <row r="78" ht="15" customHeight="1">
      <c r="A78" s="19"/>
      <c r="B78" s="67"/>
      <c r="C78" s="190"/>
      <c r="D78" s="179"/>
      <c r="E78" s="179"/>
      <c r="F78" s="179"/>
      <c r="G78" s="179"/>
      <c r="H78" s="179"/>
      <c r="I78" s="179"/>
      <c r="J78" s="179"/>
      <c r="K78" s="180"/>
      <c r="L78" s="180"/>
      <c r="M78" s="180"/>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181"/>
      <c r="AM78" s="34"/>
      <c r="AN78" s="34"/>
      <c r="AO78" s="34"/>
      <c r="AP78" s="34"/>
      <c r="AQ78" s="34"/>
      <c r="AR78" s="34"/>
      <c r="AS78" s="34"/>
      <c r="AT78" s="34"/>
      <c r="AU78" s="181"/>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187"/>
      <c r="CB78" s="34"/>
      <c r="CC78" s="187"/>
      <c r="CD78" s="34"/>
      <c r="CE78" s="34"/>
      <c r="CF78" s="34"/>
      <c r="CG78" s="34"/>
      <c r="CH78" s="34"/>
      <c r="CI78" s="34"/>
      <c r="CJ78" s="34"/>
      <c r="CK78" s="34"/>
      <c r="CL78" s="34"/>
    </row>
    <row r="79" ht="15" customHeight="1">
      <c r="A79" s="19"/>
      <c r="B79" s="67"/>
      <c r="C79" s="190"/>
      <c r="D79" s="179"/>
      <c r="E79" s="179"/>
      <c r="F79" s="179"/>
      <c r="G79" s="179"/>
      <c r="H79" s="179"/>
      <c r="I79" s="179"/>
      <c r="J79" s="179"/>
      <c r="K79" s="180"/>
      <c r="L79" s="180"/>
      <c r="M79" s="180"/>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181"/>
      <c r="AM79" s="34"/>
      <c r="AN79" s="34"/>
      <c r="AO79" s="34"/>
      <c r="AP79" s="34"/>
      <c r="AQ79" s="34"/>
      <c r="AR79" s="34"/>
      <c r="AS79" s="34"/>
      <c r="AT79" s="34"/>
      <c r="AU79" s="181"/>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187"/>
      <c r="CB79" s="34"/>
      <c r="CC79" s="187"/>
      <c r="CD79" s="34"/>
      <c r="CE79" s="34"/>
      <c r="CF79" s="34"/>
      <c r="CG79" s="34"/>
      <c r="CH79" s="34"/>
      <c r="CI79" s="34"/>
      <c r="CJ79" s="34"/>
      <c r="CK79" s="34"/>
      <c r="CL79" s="34"/>
    </row>
    <row r="80" ht="15" customHeight="1">
      <c r="A80" s="19"/>
      <c r="B80" s="67"/>
      <c r="C80" s="190"/>
      <c r="D80" s="179"/>
      <c r="E80" s="179"/>
      <c r="F80" s="179"/>
      <c r="G80" s="179"/>
      <c r="H80" s="179"/>
      <c r="I80" s="179"/>
      <c r="J80" s="179"/>
      <c r="K80" s="180"/>
      <c r="L80" s="180"/>
      <c r="M80" s="180"/>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181"/>
      <c r="AM80" s="34"/>
      <c r="AN80" s="34"/>
      <c r="AO80" s="34"/>
      <c r="AP80" s="34"/>
      <c r="AQ80" s="34"/>
      <c r="AR80" s="34"/>
      <c r="AS80" s="34"/>
      <c r="AT80" s="34"/>
      <c r="AU80" s="181"/>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187"/>
      <c r="CB80" s="34"/>
      <c r="CC80" s="187"/>
      <c r="CD80" s="34"/>
      <c r="CE80" s="34"/>
      <c r="CF80" s="34"/>
      <c r="CG80" s="34"/>
      <c r="CH80" s="34"/>
      <c r="CI80" s="34"/>
      <c r="CJ80" s="34"/>
      <c r="CK80" s="34"/>
      <c r="CL80" s="34"/>
    </row>
    <row r="81" ht="15" customHeight="1">
      <c r="A81" s="19"/>
      <c r="B81" s="67"/>
      <c r="C81" s="21"/>
      <c r="D81" s="22"/>
      <c r="E81" s="22"/>
      <c r="F81" s="22"/>
      <c r="G81" s="22"/>
      <c r="H81" s="22"/>
      <c r="I81" s="22"/>
      <c r="J81" s="22"/>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181"/>
      <c r="AM81" s="34"/>
      <c r="AN81" s="34"/>
      <c r="AO81" s="34"/>
      <c r="AP81" s="34"/>
      <c r="AQ81" s="34"/>
      <c r="AR81" s="34"/>
      <c r="AS81" s="34"/>
      <c r="AT81" s="34"/>
      <c r="AU81" s="181"/>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187"/>
      <c r="CB81" s="34"/>
      <c r="CC81" s="187"/>
      <c r="CD81" s="34"/>
      <c r="CE81" s="34"/>
      <c r="CF81" s="34"/>
      <c r="CG81" s="34"/>
      <c r="CH81" s="34"/>
      <c r="CI81" s="34"/>
      <c r="CJ81" s="34"/>
      <c r="CK81" s="34"/>
      <c r="CL81" s="34"/>
    </row>
    <row r="82" ht="15" customHeight="1">
      <c r="A82" s="23"/>
      <c r="B82" s="68"/>
      <c r="C82" s="69"/>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194"/>
      <c r="AM82" s="26"/>
      <c r="AN82" s="26"/>
      <c r="AO82" s="26"/>
      <c r="AP82" s="26"/>
      <c r="AQ82" s="26"/>
      <c r="AR82" s="26"/>
      <c r="AS82" s="26"/>
      <c r="AT82" s="26"/>
      <c r="AU82" s="205"/>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06"/>
      <c r="CB82" s="26"/>
      <c r="CC82" s="206"/>
      <c r="CD82" s="26"/>
      <c r="CE82" s="26"/>
      <c r="CF82" s="26"/>
      <c r="CG82" s="26"/>
      <c r="CH82" s="26"/>
      <c r="CI82" s="26"/>
      <c r="CJ82" s="26"/>
      <c r="CK82" s="26"/>
      <c r="CL82" s="26"/>
    </row>
    <row r="83" ht="15" customHeight="1">
      <c r="A83" s="71">
        <v>8</v>
      </c>
      <c r="B83" t="s" s="72">
        <v>22</v>
      </c>
      <c r="C83" t="s" s="73">
        <v>385</v>
      </c>
      <c r="D83" t="s" s="320">
        <v>351</v>
      </c>
      <c r="E83" s="321">
        <v>261957</v>
      </c>
      <c r="F83" s="321">
        <v>2011</v>
      </c>
      <c r="G83" t="s" s="320">
        <v>386</v>
      </c>
      <c r="H83" s="321">
        <v>58241</v>
      </c>
      <c r="I83" s="321">
        <v>2011</v>
      </c>
      <c r="J83" t="s" s="320">
        <v>386</v>
      </c>
      <c r="K83" s="321">
        <v>4</v>
      </c>
      <c r="L83" s="321">
        <v>2011</v>
      </c>
      <c r="M83" t="s" s="320">
        <v>386</v>
      </c>
      <c r="N83" s="322">
        <v>0.35</v>
      </c>
      <c r="O83" s="321">
        <v>2011</v>
      </c>
      <c r="P83" t="s" s="320">
        <v>386</v>
      </c>
      <c r="Q83" s="322">
        <v>0.6</v>
      </c>
      <c r="R83" s="321">
        <v>2011</v>
      </c>
      <c r="S83" t="s" s="320">
        <v>386</v>
      </c>
      <c r="T83" s="322">
        <v>0.4</v>
      </c>
      <c r="U83" s="321">
        <v>2011</v>
      </c>
      <c r="V83" t="s" s="320">
        <v>386</v>
      </c>
      <c r="W83" s="322">
        <v>0.3</v>
      </c>
      <c r="X83" s="321">
        <v>2011</v>
      </c>
      <c r="Y83" t="s" s="320">
        <v>386</v>
      </c>
      <c r="Z83" s="322">
        <v>0.2</v>
      </c>
      <c r="AA83" s="321">
        <v>2011</v>
      </c>
      <c r="AB83" t="s" s="320">
        <v>386</v>
      </c>
      <c r="AC83" t="s" s="320">
        <v>342</v>
      </c>
      <c r="AD83" t="s" s="320">
        <v>387</v>
      </c>
      <c r="AE83" t="s" s="320">
        <v>387</v>
      </c>
      <c r="AF83" t="s" s="320">
        <v>388</v>
      </c>
      <c r="AG83" s="322">
        <v>0.1</v>
      </c>
      <c r="AH83" t="s" s="320">
        <v>200</v>
      </c>
      <c r="AI83" s="322">
        <v>0.9</v>
      </c>
      <c r="AJ83" s="323">
        <f t="shared" si="39" ref="AJ83:AS83">5.5/19.98</f>
        <v>0.275275275275275</v>
      </c>
      <c r="AK83" t="s" s="320">
        <v>215</v>
      </c>
      <c r="AL83" s="324"/>
      <c r="AM83" t="s" s="320">
        <v>389</v>
      </c>
      <c r="AN83" s="321">
        <v>5</v>
      </c>
      <c r="AO83" t="s" s="75">
        <v>390</v>
      </c>
      <c r="AP83" t="s" s="75">
        <v>391</v>
      </c>
      <c r="AQ83" t="s" s="320">
        <v>392</v>
      </c>
      <c r="AR83" s="322">
        <v>0.9</v>
      </c>
      <c r="AS83" s="323">
        <f t="shared" si="39"/>
        <v>0.275275275275275</v>
      </c>
      <c r="AT83" t="s" s="320">
        <v>393</v>
      </c>
      <c r="AU83" s="324"/>
      <c r="AV83" t="s" s="320">
        <v>389</v>
      </c>
      <c r="AW83" s="321">
        <v>5</v>
      </c>
      <c r="AX83" t="s" s="320">
        <v>394</v>
      </c>
      <c r="AY83" t="s" s="75">
        <v>391</v>
      </c>
      <c r="AZ83" s="321">
        <v>1</v>
      </c>
      <c r="BA83" s="321">
        <v>1</v>
      </c>
      <c r="BB83" t="s" s="320">
        <v>395</v>
      </c>
      <c r="BC83" s="321">
        <v>1</v>
      </c>
      <c r="BD83" t="s" s="320">
        <v>396</v>
      </c>
      <c r="BE83" s="321">
        <v>2</v>
      </c>
      <c r="BF83" s="325"/>
      <c r="BG83" s="325"/>
      <c r="BH83" s="325"/>
      <c r="BI83" s="321">
        <v>2</v>
      </c>
      <c r="BJ83" s="325"/>
      <c r="BK83" s="321">
        <v>2</v>
      </c>
      <c r="BL83" t="s" s="320">
        <v>397</v>
      </c>
      <c r="BM83" t="s" s="326">
        <v>229</v>
      </c>
      <c r="BN83" s="321">
        <v>100</v>
      </c>
      <c r="BO83" t="s" s="320">
        <v>398</v>
      </c>
      <c r="BP83" t="s" s="75">
        <v>391</v>
      </c>
      <c r="BQ83" t="s" s="320">
        <v>200</v>
      </c>
      <c r="BR83" s="327">
        <v>0.9</v>
      </c>
      <c r="BS83" s="325"/>
      <c r="BT83" s="325"/>
      <c r="BU83" t="s" s="75">
        <v>399</v>
      </c>
      <c r="BV83" t="s" s="75">
        <v>400</v>
      </c>
      <c r="BW83" t="s" s="292">
        <v>401</v>
      </c>
      <c r="BX83" t="s" s="320">
        <v>200</v>
      </c>
      <c r="BY83" s="322">
        <v>0.9</v>
      </c>
      <c r="BZ83" t="s" s="320">
        <v>402</v>
      </c>
      <c r="CA83" s="328"/>
      <c r="CB83" t="s" s="320">
        <v>403</v>
      </c>
      <c r="CC83" s="328"/>
      <c r="CD83" s="325"/>
      <c r="CE83" s="321">
        <v>1</v>
      </c>
      <c r="CF83" t="s" s="75">
        <v>404</v>
      </c>
      <c r="CG83" s="325"/>
      <c r="CH83" s="325"/>
      <c r="CI83" t="s" s="75">
        <v>399</v>
      </c>
      <c r="CJ83" t="s" s="320">
        <v>405</v>
      </c>
      <c r="CK83" t="s" s="320">
        <v>197</v>
      </c>
      <c r="CL83" t="s" s="320">
        <v>197</v>
      </c>
    </row>
    <row r="84" ht="15" customHeight="1">
      <c r="A84" s="76"/>
      <c r="B84" s="77"/>
      <c r="C84" s="78"/>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t="s" s="329">
        <v>226</v>
      </c>
      <c r="AI84" s="330">
        <v>0.05</v>
      </c>
      <c r="AJ84" s="331">
        <f>(460/30)/19.98</f>
        <v>0.767434100767434</v>
      </c>
      <c r="AK84" t="s" s="329">
        <v>406</v>
      </c>
      <c r="AL84" s="301"/>
      <c r="AM84" t="s" s="329">
        <v>407</v>
      </c>
      <c r="AN84" t="s" s="329">
        <v>407</v>
      </c>
      <c r="AO84" s="79"/>
      <c r="AP84" s="79"/>
      <c r="AQ84" t="s" s="329">
        <v>226</v>
      </c>
      <c r="AR84" s="332">
        <v>0.05</v>
      </c>
      <c r="AS84" t="s" s="333">
        <v>408</v>
      </c>
      <c r="AT84" s="79"/>
      <c r="AU84" s="301"/>
      <c r="AV84" t="s" s="329">
        <v>407</v>
      </c>
      <c r="AW84" t="s" s="329">
        <v>407</v>
      </c>
      <c r="AX84" s="79"/>
      <c r="AY84" s="79"/>
      <c r="AZ84" s="79"/>
      <c r="BA84" s="79"/>
      <c r="BB84" s="79"/>
      <c r="BC84" s="79"/>
      <c r="BD84" s="79"/>
      <c r="BE84" s="79"/>
      <c r="BF84" s="79"/>
      <c r="BG84" s="79"/>
      <c r="BH84" s="79"/>
      <c r="BI84" s="79"/>
      <c r="BJ84" s="79"/>
      <c r="BK84" s="79"/>
      <c r="BL84" s="79"/>
      <c r="BM84" s="79"/>
      <c r="BN84" s="79"/>
      <c r="BO84" s="79"/>
      <c r="BP84" s="79"/>
      <c r="BQ84" t="s" s="329">
        <v>230</v>
      </c>
      <c r="BR84" s="330">
        <v>0.05</v>
      </c>
      <c r="BS84" t="s" s="333">
        <v>409</v>
      </c>
      <c r="BT84" s="79"/>
      <c r="BU84" s="79"/>
      <c r="BV84" s="79"/>
      <c r="BW84" s="302"/>
      <c r="BX84" t="s" s="329">
        <v>337</v>
      </c>
      <c r="BY84" s="330">
        <v>0.1</v>
      </c>
      <c r="BZ84" t="s" s="329">
        <v>410</v>
      </c>
      <c r="CA84" s="334"/>
      <c r="CB84" t="s" s="329">
        <v>403</v>
      </c>
      <c r="CC84" s="334"/>
      <c r="CD84" t="s" s="333">
        <v>411</v>
      </c>
      <c r="CE84" s="335">
        <v>1</v>
      </c>
      <c r="CF84" t="s" s="333">
        <v>404</v>
      </c>
      <c r="CG84" s="79"/>
      <c r="CH84" s="79"/>
      <c r="CI84" s="79"/>
      <c r="CJ84" s="79"/>
      <c r="CK84" s="79"/>
      <c r="CL84" s="79"/>
    </row>
    <row r="85" ht="45" customHeight="1">
      <c r="A85" s="80"/>
      <c r="B85" s="77"/>
      <c r="C85" s="78"/>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t="s" s="333">
        <v>412</v>
      </c>
      <c r="AI85" s="330">
        <v>0.05</v>
      </c>
      <c r="AJ85" s="331">
        <f>(1350/30)/19.98</f>
        <v>2.25225225225225</v>
      </c>
      <c r="AK85" t="s" s="329">
        <v>413</v>
      </c>
      <c r="AL85" s="301"/>
      <c r="AM85" s="335">
        <v>5.5</v>
      </c>
      <c r="AN85" s="335">
        <v>11</v>
      </c>
      <c r="AO85" s="79"/>
      <c r="AP85" s="79"/>
      <c r="AQ85" t="s" s="329">
        <v>414</v>
      </c>
      <c r="AR85" s="332">
        <v>0.05</v>
      </c>
      <c r="AS85" t="s" s="333">
        <v>415</v>
      </c>
      <c r="AT85" s="79"/>
      <c r="AU85" s="301"/>
      <c r="AV85" s="335">
        <v>5.5</v>
      </c>
      <c r="AW85" s="335">
        <v>11</v>
      </c>
      <c r="AX85" s="79"/>
      <c r="AY85" s="79"/>
      <c r="AZ85" s="79"/>
      <c r="BA85" s="79"/>
      <c r="BB85" s="79"/>
      <c r="BC85" s="79"/>
      <c r="BD85" s="79"/>
      <c r="BE85" s="79"/>
      <c r="BF85" s="79"/>
      <c r="BG85" s="79"/>
      <c r="BH85" s="79"/>
      <c r="BI85" s="79"/>
      <c r="BJ85" s="79"/>
      <c r="BK85" s="79"/>
      <c r="BL85" s="79"/>
      <c r="BM85" s="79"/>
      <c r="BN85" s="79"/>
      <c r="BO85" s="79"/>
      <c r="BP85" s="79"/>
      <c r="BQ85" t="s" s="329">
        <v>357</v>
      </c>
      <c r="BR85" s="330">
        <v>0.05</v>
      </c>
      <c r="BS85" t="s" s="333">
        <v>416</v>
      </c>
      <c r="BT85" s="79"/>
      <c r="BU85" s="79"/>
      <c r="BV85" s="79"/>
      <c r="BW85" s="79"/>
      <c r="BX85" s="79"/>
      <c r="BY85" s="79"/>
      <c r="BZ85" s="79"/>
      <c r="CA85" s="334"/>
      <c r="CB85" s="79"/>
      <c r="CC85" s="334"/>
      <c r="CD85" s="79"/>
      <c r="CE85" s="79"/>
      <c r="CF85" s="79"/>
      <c r="CG85" s="79"/>
      <c r="CH85" s="79"/>
      <c r="CI85" s="79"/>
      <c r="CJ85" s="79"/>
      <c r="CK85" s="79"/>
      <c r="CL85" s="79"/>
    </row>
    <row r="86" ht="13.55" customHeight="1">
      <c r="A86" s="81"/>
      <c r="B86" s="57"/>
      <c r="C86" s="58"/>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125"/>
      <c r="AM86" s="59"/>
      <c r="AN86" s="59"/>
      <c r="AO86" s="59"/>
      <c r="AP86" s="59"/>
      <c r="AQ86" s="59"/>
      <c r="AR86" s="59"/>
      <c r="AS86" s="59"/>
      <c r="AT86" s="59"/>
      <c r="AU86" s="125"/>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125"/>
      <c r="CB86" s="59"/>
      <c r="CC86" s="125"/>
      <c r="CD86" s="59"/>
      <c r="CE86" s="59"/>
      <c r="CF86" s="59"/>
      <c r="CG86" s="79"/>
      <c r="CH86" s="79"/>
      <c r="CI86" s="79"/>
      <c r="CJ86" s="79"/>
      <c r="CK86" s="79"/>
      <c r="CL86" s="79"/>
    </row>
    <row r="87" ht="13.55" customHeight="1">
      <c r="A87" s="19"/>
      <c r="B87" s="57"/>
      <c r="C87" s="58"/>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125"/>
      <c r="AM87" s="59"/>
      <c r="AN87" s="59"/>
      <c r="AO87" s="59"/>
      <c r="AP87" s="59"/>
      <c r="AQ87" s="59"/>
      <c r="AR87" s="59"/>
      <c r="AS87" s="59"/>
      <c r="AT87" s="59"/>
      <c r="AU87" s="125"/>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125"/>
      <c r="CB87" s="59"/>
      <c r="CC87" s="125"/>
      <c r="CD87" s="59"/>
      <c r="CE87" s="59"/>
      <c r="CF87" s="59"/>
      <c r="CG87" s="59"/>
      <c r="CH87" s="59"/>
      <c r="CI87" s="59"/>
      <c r="CJ87" s="59"/>
      <c r="CK87" s="59"/>
      <c r="CL87" s="59"/>
    </row>
    <row r="88" ht="13.55" customHeight="1">
      <c r="A88" s="19"/>
      <c r="B88" s="57"/>
      <c r="C88" s="58"/>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125"/>
      <c r="AM88" s="59"/>
      <c r="AN88" s="59"/>
      <c r="AO88" s="59"/>
      <c r="AP88" s="59"/>
      <c r="AQ88" s="59"/>
      <c r="AR88" s="59"/>
      <c r="AS88" s="59"/>
      <c r="AT88" s="59"/>
      <c r="AU88" s="125"/>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125"/>
      <c r="CB88" s="59"/>
      <c r="CC88" s="125"/>
      <c r="CD88" s="59"/>
      <c r="CE88" s="59"/>
      <c r="CF88" s="59"/>
      <c r="CG88" s="59"/>
      <c r="CH88" s="59"/>
      <c r="CI88" s="59"/>
      <c r="CJ88" s="59"/>
      <c r="CK88" s="59"/>
      <c r="CL88" s="59"/>
    </row>
    <row r="89" ht="13.55" customHeight="1">
      <c r="A89" s="19"/>
      <c r="B89" s="57"/>
      <c r="C89" s="58"/>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125"/>
      <c r="AM89" s="59"/>
      <c r="AN89" s="59"/>
      <c r="AO89" s="59"/>
      <c r="AP89" s="59"/>
      <c r="AQ89" s="59"/>
      <c r="AR89" s="59"/>
      <c r="AS89" s="59"/>
      <c r="AT89" s="59"/>
      <c r="AU89" s="125"/>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125"/>
      <c r="CB89" s="59"/>
      <c r="CC89" s="125"/>
      <c r="CD89" s="59"/>
      <c r="CE89" s="59"/>
      <c r="CF89" s="59"/>
      <c r="CG89" s="59"/>
      <c r="CH89" s="59"/>
      <c r="CI89" s="59"/>
      <c r="CJ89" s="59"/>
      <c r="CK89" s="59"/>
      <c r="CL89" s="59"/>
    </row>
    <row r="90" ht="13.55" customHeight="1">
      <c r="A90" s="19"/>
      <c r="B90" s="57"/>
      <c r="C90" s="58"/>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125"/>
      <c r="AM90" s="59"/>
      <c r="AN90" s="59"/>
      <c r="AO90" s="59"/>
      <c r="AP90" s="59"/>
      <c r="AQ90" s="59"/>
      <c r="AR90" s="59"/>
      <c r="AS90" s="59"/>
      <c r="AT90" s="59"/>
      <c r="AU90" s="125"/>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125"/>
      <c r="CB90" s="59"/>
      <c r="CC90" s="125"/>
      <c r="CD90" s="59"/>
      <c r="CE90" s="59"/>
      <c r="CF90" s="59"/>
      <c r="CG90" s="59"/>
      <c r="CH90" s="59"/>
      <c r="CI90" s="59"/>
      <c r="CJ90" s="59"/>
      <c r="CK90" s="59"/>
      <c r="CL90" s="59"/>
    </row>
    <row r="91" ht="13.55" customHeight="1">
      <c r="A91" s="23"/>
      <c r="B91" s="62"/>
      <c r="C91" s="63"/>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3"/>
      <c r="AM91" s="64"/>
      <c r="AN91" s="64"/>
      <c r="AO91" s="64"/>
      <c r="AP91" s="64"/>
      <c r="AQ91" s="64"/>
      <c r="AR91" s="64"/>
      <c r="AS91" s="64"/>
      <c r="AT91" s="64"/>
      <c r="AU91" s="3"/>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3"/>
      <c r="CB91" s="64"/>
      <c r="CC91" s="3"/>
      <c r="CD91" s="64"/>
      <c r="CE91" s="64"/>
      <c r="CF91" s="64"/>
      <c r="CG91" s="64"/>
      <c r="CH91" s="64"/>
      <c r="CI91" s="64"/>
      <c r="CJ91" s="64"/>
      <c r="CK91" s="64"/>
      <c r="CL91" s="64"/>
    </row>
    <row r="92" ht="15" customHeight="1">
      <c r="A92" s="52">
        <v>9</v>
      </c>
      <c r="B92" t="s" s="53">
        <v>24</v>
      </c>
      <c r="C92" t="s" s="54">
        <v>417</v>
      </c>
      <c r="D92" s="285">
        <v>1</v>
      </c>
      <c r="E92" s="284">
        <v>5127</v>
      </c>
      <c r="F92" s="285">
        <v>2011</v>
      </c>
      <c r="G92" t="s" s="82">
        <v>418</v>
      </c>
      <c r="H92" s="285">
        <v>1224</v>
      </c>
      <c r="I92" s="285">
        <v>2011</v>
      </c>
      <c r="J92" t="s" s="82">
        <v>418</v>
      </c>
      <c r="K92" s="284">
        <v>4.2</v>
      </c>
      <c r="L92" s="285">
        <v>2011</v>
      </c>
      <c r="M92" t="s" s="82">
        <v>418</v>
      </c>
      <c r="N92" s="285">
        <v>31</v>
      </c>
      <c r="O92" s="285">
        <v>2011</v>
      </c>
      <c r="P92" t="s" s="82">
        <v>418</v>
      </c>
      <c r="Q92" s="285">
        <v>60.01</v>
      </c>
      <c r="R92" s="285">
        <v>2011</v>
      </c>
      <c r="S92" t="s" s="82">
        <v>418</v>
      </c>
      <c r="T92" t="s" s="82">
        <v>197</v>
      </c>
      <c r="U92" s="123"/>
      <c r="V92" s="123"/>
      <c r="W92" t="s" s="82">
        <v>197</v>
      </c>
      <c r="X92" s="123"/>
      <c r="Y92" s="123"/>
      <c r="Z92" t="s" s="82">
        <v>197</v>
      </c>
      <c r="AA92" s="123"/>
      <c r="AB92" s="123"/>
      <c r="AC92" s="336">
        <v>30000</v>
      </c>
      <c r="AD92" s="336">
        <v>25000</v>
      </c>
      <c r="AE92" s="285">
        <v>35000</v>
      </c>
      <c r="AF92" s="285">
        <v>22000</v>
      </c>
      <c r="AG92" s="337">
        <v>0.37</v>
      </c>
      <c r="AH92" t="s" s="338">
        <v>200</v>
      </c>
      <c r="AI92" s="285">
        <f t="shared" si="43" ref="AI92:AR92">72.2-4.1</f>
        <v>68.09999999999999</v>
      </c>
      <c r="AJ92" s="294">
        <f t="shared" si="44" ref="AJ92:AS94">71/49.19</f>
        <v>1.44338280138239</v>
      </c>
      <c r="AK92" t="s" s="82">
        <v>215</v>
      </c>
      <c r="AL92" s="339"/>
      <c r="AM92" s="285">
        <v>7</v>
      </c>
      <c r="AN92" s="285">
        <v>24</v>
      </c>
      <c r="AO92" t="s" s="82">
        <v>419</v>
      </c>
      <c r="AP92" t="s" s="82">
        <v>420</v>
      </c>
      <c r="AQ92" t="s" s="286">
        <v>200</v>
      </c>
      <c r="AR92" s="285">
        <f t="shared" si="43"/>
        <v>68.09999999999999</v>
      </c>
      <c r="AS92" s="294">
        <f t="shared" si="44"/>
        <v>1.44338280138239</v>
      </c>
      <c r="AT92" t="s" s="82">
        <v>215</v>
      </c>
      <c r="AU92" s="339"/>
      <c r="AV92" s="285">
        <v>7</v>
      </c>
      <c r="AW92" s="285">
        <v>24</v>
      </c>
      <c r="AX92" t="s" s="83">
        <v>421</v>
      </c>
      <c r="AY92" t="s" s="83">
        <v>422</v>
      </c>
      <c r="AZ92" s="285">
        <v>1</v>
      </c>
      <c r="BA92" s="285">
        <v>2</v>
      </c>
      <c r="BB92" s="123"/>
      <c r="BC92" s="285">
        <v>1</v>
      </c>
      <c r="BD92" s="285">
        <v>1</v>
      </c>
      <c r="BE92" s="285">
        <v>2</v>
      </c>
      <c r="BF92" s="285">
        <v>2</v>
      </c>
      <c r="BG92" s="123"/>
      <c r="BH92" s="123"/>
      <c r="BI92" s="285">
        <v>2</v>
      </c>
      <c r="BJ92" s="123"/>
      <c r="BK92" s="285">
        <v>2</v>
      </c>
      <c r="BL92" s="123"/>
      <c r="BM92" t="s" s="82">
        <v>200</v>
      </c>
      <c r="BN92" s="285">
        <v>45</v>
      </c>
      <c r="BO92" t="s" s="82">
        <v>423</v>
      </c>
      <c r="BP92" t="s" s="82">
        <v>420</v>
      </c>
      <c r="BQ92" t="s" s="82">
        <v>200</v>
      </c>
      <c r="BR92" s="285">
        <v>93</v>
      </c>
      <c r="BS92" s="123"/>
      <c r="BT92" t="s" s="82">
        <v>424</v>
      </c>
      <c r="BU92" t="s" s="82">
        <v>425</v>
      </c>
      <c r="BV92" t="s" s="283">
        <v>426</v>
      </c>
      <c r="BW92" t="s" s="283">
        <v>427</v>
      </c>
      <c r="BX92" t="s" s="82">
        <v>200</v>
      </c>
      <c r="BY92" s="285">
        <v>50.73</v>
      </c>
      <c r="BZ92" s="340">
        <f>100000/49.19</f>
        <v>2032.9335230738</v>
      </c>
      <c r="CA92" s="341">
        <v>645</v>
      </c>
      <c r="CB92" s="340">
        <f>9000/49.19</f>
        <v>182.964017076642</v>
      </c>
      <c r="CC92" s="341">
        <v>58</v>
      </c>
      <c r="CD92" s="123"/>
      <c r="CE92" s="285">
        <v>2</v>
      </c>
      <c r="CF92" s="123"/>
      <c r="CG92" t="s" s="82">
        <v>428</v>
      </c>
      <c r="CH92" t="s" s="82">
        <v>429</v>
      </c>
      <c r="CI92" s="123"/>
      <c r="CJ92" s="342">
        <v>1</v>
      </c>
      <c r="CK92" t="s" s="82">
        <v>259</v>
      </c>
      <c r="CL92" t="s" s="82">
        <v>259</v>
      </c>
    </row>
    <row r="93" ht="15" customHeight="1">
      <c r="A93" s="56"/>
      <c r="B93" s="57"/>
      <c r="C93" s="58"/>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343"/>
      <c r="AI93" s="299">
        <v>4.1</v>
      </c>
      <c r="AJ93" s="344">
        <f t="shared" si="49" ref="AJ93:AS93">61/49.19</f>
        <v>1.24008944907502</v>
      </c>
      <c r="AK93" t="s" s="303">
        <v>215</v>
      </c>
      <c r="AL93" s="345"/>
      <c r="AM93" s="299">
        <v>7</v>
      </c>
      <c r="AN93" s="299">
        <v>24</v>
      </c>
      <c r="AO93" s="59"/>
      <c r="AP93" s="59"/>
      <c r="AQ93" s="297"/>
      <c r="AR93" s="299">
        <v>4.1</v>
      </c>
      <c r="AS93" s="344">
        <f t="shared" si="49"/>
        <v>1.24008944907502</v>
      </c>
      <c r="AT93" t="s" s="303">
        <v>215</v>
      </c>
      <c r="AU93" s="345"/>
      <c r="AV93" s="299">
        <v>7</v>
      </c>
      <c r="AW93" s="299">
        <v>24</v>
      </c>
      <c r="AX93" s="59"/>
      <c r="AY93" s="59"/>
      <c r="AZ93" s="59"/>
      <c r="BA93" s="59"/>
      <c r="BB93" s="59"/>
      <c r="BC93" s="59"/>
      <c r="BD93" s="59"/>
      <c r="BE93" s="59"/>
      <c r="BF93" s="59"/>
      <c r="BG93" s="59"/>
      <c r="BH93" s="59"/>
      <c r="BI93" s="59"/>
      <c r="BJ93" s="59"/>
      <c r="BK93" s="59"/>
      <c r="BL93" s="59"/>
      <c r="BM93" t="s" s="303">
        <v>230</v>
      </c>
      <c r="BN93" s="299">
        <v>2</v>
      </c>
      <c r="BO93" s="59"/>
      <c r="BP93" s="59"/>
      <c r="BQ93" t="s" s="303">
        <v>230</v>
      </c>
      <c r="BR93" s="299">
        <v>1.5</v>
      </c>
      <c r="BS93" t="s" s="346">
        <v>430</v>
      </c>
      <c r="BT93" s="59"/>
      <c r="BU93" s="59"/>
      <c r="BV93" s="59"/>
      <c r="BW93" s="59"/>
      <c r="BX93" t="s" s="347">
        <v>230</v>
      </c>
      <c r="BY93" s="348">
        <v>49.01</v>
      </c>
      <c r="BZ93" s="349">
        <f>150000/49.19</f>
        <v>3049.400284610690</v>
      </c>
      <c r="CA93" s="350">
        <v>968</v>
      </c>
      <c r="CB93" s="351">
        <f>3500/49.19</f>
        <v>71.1526733075828</v>
      </c>
      <c r="CC93" s="352">
        <v>23</v>
      </c>
      <c r="CD93" s="348">
        <v>2</v>
      </c>
      <c r="CE93" s="348">
        <v>2</v>
      </c>
      <c r="CF93" s="353"/>
      <c r="CG93" t="s" s="354">
        <v>431</v>
      </c>
      <c r="CH93" s="59"/>
      <c r="CI93" s="59"/>
      <c r="CJ93" s="59"/>
      <c r="CK93" s="59"/>
      <c r="CL93" s="59"/>
    </row>
    <row r="94" ht="15" customHeight="1">
      <c r="A94" s="56"/>
      <c r="B94" s="57"/>
      <c r="C94" s="58"/>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t="s" s="303">
        <v>230</v>
      </c>
      <c r="AI94" s="299">
        <v>9.640000000000001</v>
      </c>
      <c r="AJ94" s="344">
        <f t="shared" si="44"/>
        <v>1.44338280138239</v>
      </c>
      <c r="AK94" t="s" s="303">
        <v>215</v>
      </c>
      <c r="AL94" s="345"/>
      <c r="AM94" s="299">
        <v>7</v>
      </c>
      <c r="AN94" s="299">
        <v>24</v>
      </c>
      <c r="AO94" s="59"/>
      <c r="AP94" s="59"/>
      <c r="AQ94" t="s" s="303">
        <v>230</v>
      </c>
      <c r="AR94" s="299">
        <v>9.640000000000001</v>
      </c>
      <c r="AS94" s="344">
        <f t="shared" si="44"/>
        <v>1.44338280138239</v>
      </c>
      <c r="AT94" t="s" s="303">
        <v>215</v>
      </c>
      <c r="AU94" s="345"/>
      <c r="AV94" s="299">
        <v>7</v>
      </c>
      <c r="AW94" s="299">
        <v>24</v>
      </c>
      <c r="AX94" s="59"/>
      <c r="AY94" s="59"/>
      <c r="AZ94" s="59"/>
      <c r="BA94" s="59"/>
      <c r="BB94" s="59"/>
      <c r="BC94" s="59"/>
      <c r="BD94" s="59"/>
      <c r="BE94" s="59"/>
      <c r="BF94" s="59"/>
      <c r="BG94" s="59"/>
      <c r="BH94" s="59"/>
      <c r="BI94" s="59"/>
      <c r="BJ94" s="59"/>
      <c r="BK94" s="59"/>
      <c r="BL94" s="59"/>
      <c r="BM94" t="s" s="303">
        <v>229</v>
      </c>
      <c r="BN94" s="299">
        <v>5</v>
      </c>
      <c r="BO94" s="59"/>
      <c r="BP94" s="59"/>
      <c r="BQ94" t="s" s="303">
        <v>229</v>
      </c>
      <c r="BR94" s="299">
        <v>0.9</v>
      </c>
      <c r="BS94" t="s" s="346">
        <v>430</v>
      </c>
      <c r="BT94" s="59"/>
      <c r="BU94" s="59"/>
      <c r="BV94" s="59"/>
      <c r="BW94" s="355"/>
      <c r="BX94" t="s" s="356">
        <v>337</v>
      </c>
      <c r="BY94" s="357">
        <v>0.16</v>
      </c>
      <c r="BZ94" s="358">
        <f>80000/49.19</f>
        <v>1626.346818459040</v>
      </c>
      <c r="CA94" s="359">
        <v>516</v>
      </c>
      <c r="CB94" t="s" s="360">
        <v>432</v>
      </c>
      <c r="CC94" s="361"/>
      <c r="CD94" t="s" s="362">
        <v>351</v>
      </c>
      <c r="CE94" s="357">
        <v>2</v>
      </c>
      <c r="CF94" s="363"/>
      <c r="CG94" t="s" s="356">
        <v>433</v>
      </c>
      <c r="CH94" s="58"/>
      <c r="CI94" s="59"/>
      <c r="CJ94" s="59"/>
      <c r="CK94" s="59"/>
      <c r="CL94" s="59"/>
    </row>
    <row r="95" ht="13.55" customHeight="1">
      <c r="A95" s="60"/>
      <c r="B95" s="57"/>
      <c r="C95" s="58"/>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t="s" s="303">
        <v>229</v>
      </c>
      <c r="AI95" s="299">
        <v>15.76</v>
      </c>
      <c r="AJ95" s="298">
        <v>0</v>
      </c>
      <c r="AK95" s="59"/>
      <c r="AL95" s="125"/>
      <c r="AM95" s="299">
        <v>7</v>
      </c>
      <c r="AN95" s="299">
        <v>24</v>
      </c>
      <c r="AO95" s="59"/>
      <c r="AP95" s="59"/>
      <c r="AQ95" t="s" s="303">
        <v>229</v>
      </c>
      <c r="AR95" s="299">
        <v>15.76</v>
      </c>
      <c r="AS95" s="298">
        <v>0</v>
      </c>
      <c r="AT95" s="59"/>
      <c r="AU95" s="125"/>
      <c r="AV95" s="299">
        <v>7</v>
      </c>
      <c r="AW95" s="299">
        <v>24</v>
      </c>
      <c r="AX95" s="59"/>
      <c r="AY95" s="59"/>
      <c r="AZ95" s="59"/>
      <c r="BA95" s="59"/>
      <c r="BB95" s="59"/>
      <c r="BC95" s="59"/>
      <c r="BD95" s="59"/>
      <c r="BE95" s="59"/>
      <c r="BF95" s="59"/>
      <c r="BG95" s="59"/>
      <c r="BH95" s="59"/>
      <c r="BI95" s="59"/>
      <c r="BJ95" s="59"/>
      <c r="BK95" s="59"/>
      <c r="BL95" s="59"/>
      <c r="BM95" t="s" s="303">
        <v>357</v>
      </c>
      <c r="BN95" s="299">
        <v>0</v>
      </c>
      <c r="BO95" s="59"/>
      <c r="BP95" s="59"/>
      <c r="BQ95" t="s" s="303">
        <v>357</v>
      </c>
      <c r="BR95" s="299">
        <v>4.5</v>
      </c>
      <c r="BS95" t="s" s="346">
        <v>434</v>
      </c>
      <c r="BT95" s="59"/>
      <c r="BU95" s="59"/>
      <c r="BV95" s="59"/>
      <c r="BW95" s="59"/>
      <c r="BX95" t="s" s="364">
        <v>265</v>
      </c>
      <c r="BY95" s="365">
        <v>0.1</v>
      </c>
      <c r="BZ95" t="s" s="364">
        <v>375</v>
      </c>
      <c r="CA95" s="366"/>
      <c r="CB95" t="s" s="364">
        <v>375</v>
      </c>
      <c r="CC95" s="366"/>
      <c r="CD95" s="367"/>
      <c r="CE95" s="367"/>
      <c r="CF95" s="367"/>
      <c r="CG95" s="367"/>
      <c r="CH95" s="59"/>
      <c r="CI95" s="59"/>
      <c r="CJ95" s="59"/>
      <c r="CK95" s="59"/>
      <c r="CL95" s="59"/>
    </row>
    <row r="96" ht="13.55" customHeight="1">
      <c r="A96" s="60"/>
      <c r="B96" s="57"/>
      <c r="C96" s="58"/>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t="s" s="303">
        <v>357</v>
      </c>
      <c r="AI96" s="299">
        <v>0.49</v>
      </c>
      <c r="AJ96" s="298">
        <v>0</v>
      </c>
      <c r="AK96" s="59"/>
      <c r="AL96" s="125"/>
      <c r="AM96" s="299">
        <v>7</v>
      </c>
      <c r="AN96" s="299">
        <v>24</v>
      </c>
      <c r="AO96" s="59"/>
      <c r="AP96" s="59"/>
      <c r="AQ96" t="s" s="303">
        <v>357</v>
      </c>
      <c r="AR96" s="299">
        <v>0.49</v>
      </c>
      <c r="AS96" s="59"/>
      <c r="AT96" s="59"/>
      <c r="AU96" s="125"/>
      <c r="AV96" s="299">
        <v>7</v>
      </c>
      <c r="AW96" s="299">
        <v>24</v>
      </c>
      <c r="AX96" s="59"/>
      <c r="AY96" s="59"/>
      <c r="AZ96" s="59"/>
      <c r="BA96" s="59"/>
      <c r="BB96" s="59"/>
      <c r="BC96" s="59"/>
      <c r="BD96" s="59"/>
      <c r="BE96" s="59"/>
      <c r="BF96" s="59"/>
      <c r="BG96" s="59"/>
      <c r="BH96" s="59"/>
      <c r="BI96" s="59"/>
      <c r="BJ96" s="59"/>
      <c r="BK96" s="59"/>
      <c r="BL96" s="59"/>
      <c r="BM96" t="s" s="303">
        <v>337</v>
      </c>
      <c r="BN96" s="299">
        <v>8</v>
      </c>
      <c r="BO96" s="59"/>
      <c r="BP96" s="59"/>
      <c r="BQ96" t="s" s="303">
        <v>210</v>
      </c>
      <c r="BR96" s="299">
        <v>0.1</v>
      </c>
      <c r="BS96" t="s" s="346">
        <v>430</v>
      </c>
      <c r="BT96" s="59"/>
      <c r="BU96" s="59"/>
      <c r="BV96" s="59"/>
      <c r="BW96" s="355"/>
      <c r="BX96" t="s" s="368">
        <v>435</v>
      </c>
      <c r="BY96" s="369">
        <v>0.00081</v>
      </c>
      <c r="BZ96" t="s" s="368">
        <v>375</v>
      </c>
      <c r="CA96" s="370"/>
      <c r="CB96" t="s" s="368">
        <v>375</v>
      </c>
      <c r="CC96" s="370"/>
      <c r="CD96" s="371"/>
      <c r="CE96" s="372">
        <v>2</v>
      </c>
      <c r="CF96" s="371"/>
      <c r="CG96" t="s" s="368">
        <v>436</v>
      </c>
      <c r="CH96" s="58"/>
      <c r="CI96" s="59"/>
      <c r="CJ96" s="59"/>
      <c r="CK96" s="59"/>
      <c r="CL96" s="59"/>
    </row>
    <row r="97" ht="13.55" customHeight="1">
      <c r="A97" s="60"/>
      <c r="B97" s="57"/>
      <c r="C97" s="58"/>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t="s" s="303">
        <v>337</v>
      </c>
      <c r="AI97" s="299">
        <v>1.5</v>
      </c>
      <c r="AJ97" s="298">
        <v>0</v>
      </c>
      <c r="AK97" s="59"/>
      <c r="AL97" s="125"/>
      <c r="AM97" s="299">
        <v>7</v>
      </c>
      <c r="AN97" s="299">
        <v>24</v>
      </c>
      <c r="AO97" s="59"/>
      <c r="AP97" s="59"/>
      <c r="AQ97" t="s" s="303">
        <v>337</v>
      </c>
      <c r="AR97" s="299">
        <v>1.5</v>
      </c>
      <c r="AS97" s="59"/>
      <c r="AT97" s="59"/>
      <c r="AU97" s="125"/>
      <c r="AV97" s="59"/>
      <c r="AW97" s="59"/>
      <c r="AX97" s="59"/>
      <c r="AY97" s="59"/>
      <c r="AZ97" s="59"/>
      <c r="BA97" s="59"/>
      <c r="BB97" s="59"/>
      <c r="BC97" s="59"/>
      <c r="BD97" s="59"/>
      <c r="BE97" s="59"/>
      <c r="BF97" s="59"/>
      <c r="BG97" s="59"/>
      <c r="BH97" s="59"/>
      <c r="BI97" s="59"/>
      <c r="BJ97" s="59"/>
      <c r="BK97" s="59"/>
      <c r="BL97" s="59"/>
      <c r="BM97" t="s" s="303">
        <v>288</v>
      </c>
      <c r="BN97" s="299">
        <v>40</v>
      </c>
      <c r="BO97" s="59"/>
      <c r="BP97" s="59"/>
      <c r="BQ97" s="59"/>
      <c r="BR97" s="59"/>
      <c r="BS97" s="59"/>
      <c r="BT97" s="59"/>
      <c r="BU97" s="59"/>
      <c r="BV97" s="59"/>
      <c r="BW97" s="59"/>
      <c r="BX97" s="373"/>
      <c r="BY97" s="373"/>
      <c r="BZ97" s="373"/>
      <c r="CA97" s="374"/>
      <c r="CB97" s="373"/>
      <c r="CC97" s="374"/>
      <c r="CD97" s="373"/>
      <c r="CE97" s="373"/>
      <c r="CF97" s="373"/>
      <c r="CG97" s="373"/>
      <c r="CH97" s="59"/>
      <c r="CI97" s="59"/>
      <c r="CJ97" s="59"/>
      <c r="CK97" s="59"/>
      <c r="CL97" s="59"/>
    </row>
    <row r="98" ht="13.55" customHeight="1">
      <c r="A98" s="60"/>
      <c r="B98" s="57"/>
      <c r="C98" s="58"/>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t="s" s="303">
        <v>265</v>
      </c>
      <c r="AI98" s="299">
        <v>0.16</v>
      </c>
      <c r="AJ98" s="298">
        <f>(60)/49.19</f>
        <v>1.21976011384428</v>
      </c>
      <c r="AK98" t="s" s="303">
        <v>226</v>
      </c>
      <c r="AL98" s="345">
        <v>0.39</v>
      </c>
      <c r="AM98" s="299">
        <v>7</v>
      </c>
      <c r="AN98" s="299">
        <v>24</v>
      </c>
      <c r="AO98" s="59"/>
      <c r="AP98" s="59"/>
      <c r="AQ98" t="s" s="303">
        <v>437</v>
      </c>
      <c r="AR98" s="299">
        <v>0.32</v>
      </c>
      <c r="AS98" s="59"/>
      <c r="AT98" s="59"/>
      <c r="AU98" s="125"/>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125"/>
      <c r="CB98" s="59"/>
      <c r="CC98" s="125"/>
      <c r="CD98" s="59"/>
      <c r="CE98" s="59"/>
      <c r="CF98" s="59"/>
      <c r="CG98" s="59"/>
      <c r="CH98" s="59"/>
      <c r="CI98" s="59"/>
      <c r="CJ98" s="59"/>
      <c r="CK98" s="59"/>
      <c r="CL98" s="59"/>
    </row>
    <row r="99" ht="13.55" customHeight="1">
      <c r="A99" s="60"/>
      <c r="B99" s="57"/>
      <c r="C99" s="58"/>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t="s" s="303">
        <v>437</v>
      </c>
      <c r="AI99" s="299">
        <v>0.16</v>
      </c>
      <c r="AJ99" s="59"/>
      <c r="AK99" s="59"/>
      <c r="AL99" s="125"/>
      <c r="AM99" s="59"/>
      <c r="AN99" s="59"/>
      <c r="AO99" s="59"/>
      <c r="AP99" s="59"/>
      <c r="AQ99" s="59"/>
      <c r="AR99" s="59"/>
      <c r="AS99" s="59"/>
      <c r="AT99" s="59"/>
      <c r="AU99" s="125"/>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125"/>
      <c r="CB99" s="59"/>
      <c r="CC99" s="125"/>
      <c r="CD99" s="59"/>
      <c r="CE99" s="59"/>
      <c r="CF99" s="59"/>
      <c r="CG99" s="59"/>
      <c r="CH99" s="59"/>
      <c r="CI99" s="59"/>
      <c r="CJ99" s="59"/>
      <c r="CK99" s="59"/>
      <c r="CL99" s="59"/>
    </row>
    <row r="100" ht="13.55" customHeight="1">
      <c r="A100" s="60"/>
      <c r="B100" s="57"/>
      <c r="C100" s="58"/>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125"/>
      <c r="AM100" s="59"/>
      <c r="AN100" s="59"/>
      <c r="AO100" s="59"/>
      <c r="AP100" s="59"/>
      <c r="AQ100" s="59"/>
      <c r="AR100" s="59"/>
      <c r="AS100" s="59"/>
      <c r="AT100" s="59"/>
      <c r="AU100" s="125"/>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125"/>
      <c r="CB100" s="59"/>
      <c r="CC100" s="125"/>
      <c r="CD100" s="59"/>
      <c r="CE100" s="59"/>
      <c r="CF100" s="59"/>
      <c r="CG100" s="59"/>
      <c r="CH100" s="59"/>
      <c r="CI100" s="59"/>
      <c r="CJ100" s="59"/>
      <c r="CK100" s="59"/>
      <c r="CL100" s="59"/>
    </row>
    <row r="101" ht="13.55" customHeight="1">
      <c r="A101" s="60"/>
      <c r="B101" s="57"/>
      <c r="C101" s="58"/>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125"/>
      <c r="AM101" s="59"/>
      <c r="AN101" s="59"/>
      <c r="AO101" s="59"/>
      <c r="AP101" s="59"/>
      <c r="AQ101" s="59"/>
      <c r="AR101" s="59"/>
      <c r="AS101" s="59"/>
      <c r="AT101" s="59"/>
      <c r="AU101" s="125"/>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125"/>
      <c r="CB101" s="59"/>
      <c r="CC101" s="125"/>
      <c r="CD101" s="59"/>
      <c r="CE101" s="59"/>
      <c r="CF101" s="59"/>
      <c r="CG101" s="59"/>
      <c r="CH101" s="59"/>
      <c r="CI101" s="59"/>
      <c r="CJ101" s="59"/>
      <c r="CK101" s="59"/>
      <c r="CL101" s="59"/>
    </row>
    <row r="102" ht="13.55" customHeight="1">
      <c r="A102" s="60"/>
      <c r="B102" s="57"/>
      <c r="C102" s="58"/>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125"/>
      <c r="AM102" s="59"/>
      <c r="AN102" s="59"/>
      <c r="AO102" s="59"/>
      <c r="AP102" s="59"/>
      <c r="AQ102" s="59"/>
      <c r="AR102" s="59"/>
      <c r="AS102" s="59"/>
      <c r="AT102" s="59"/>
      <c r="AU102" s="125"/>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125"/>
      <c r="CB102" s="59"/>
      <c r="CC102" s="125"/>
      <c r="CD102" s="59"/>
      <c r="CE102" s="59"/>
      <c r="CF102" s="59"/>
      <c r="CG102" s="59"/>
      <c r="CH102" s="59"/>
      <c r="CI102" s="59"/>
      <c r="CJ102" s="59"/>
      <c r="CK102" s="59"/>
      <c r="CL102" s="59"/>
    </row>
    <row r="103" ht="13.55" customHeight="1">
      <c r="A103" s="61"/>
      <c r="B103" s="62"/>
      <c r="C103" s="63"/>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310"/>
      <c r="AM103" s="64"/>
      <c r="AN103" s="64"/>
      <c r="AO103" s="64"/>
      <c r="AP103" s="64"/>
      <c r="AQ103" s="64"/>
      <c r="AR103" s="64"/>
      <c r="AS103" s="64"/>
      <c r="AT103" s="64"/>
      <c r="AU103" s="310"/>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311"/>
      <c r="CB103" s="64"/>
      <c r="CC103" s="311"/>
      <c r="CD103" s="64"/>
      <c r="CE103" s="64"/>
      <c r="CF103" s="64"/>
      <c r="CG103" s="64"/>
      <c r="CH103" s="64"/>
      <c r="CI103" s="64"/>
      <c r="CJ103" s="64"/>
      <c r="CK103" s="64"/>
      <c r="CL103" s="64"/>
    </row>
    <row r="104" ht="34" customHeight="1">
      <c r="A104" s="84">
        <v>10</v>
      </c>
      <c r="B104" t="s" s="85">
        <v>28</v>
      </c>
      <c r="C104" t="s" s="86">
        <v>438</v>
      </c>
      <c r="D104" s="375">
        <v>4</v>
      </c>
      <c r="E104" s="376">
        <v>11357</v>
      </c>
      <c r="F104" s="375">
        <v>2016</v>
      </c>
      <c r="G104" t="s" s="377">
        <v>439</v>
      </c>
      <c r="H104" s="375">
        <v>2951</v>
      </c>
      <c r="I104" s="375">
        <v>2016</v>
      </c>
      <c r="J104" t="s" s="377">
        <v>439</v>
      </c>
      <c r="K104" s="375">
        <v>3.85</v>
      </c>
      <c r="L104" s="375">
        <v>2016</v>
      </c>
      <c r="M104" t="s" s="377">
        <v>439</v>
      </c>
      <c r="N104" s="375">
        <v>70</v>
      </c>
      <c r="O104" s="375">
        <v>2017</v>
      </c>
      <c r="P104" t="s" s="377">
        <v>440</v>
      </c>
      <c r="Q104" s="378">
        <v>90</v>
      </c>
      <c r="R104" s="375">
        <v>2017</v>
      </c>
      <c r="S104" t="s" s="377">
        <v>440</v>
      </c>
      <c r="T104" s="375">
        <v>95</v>
      </c>
      <c r="U104" s="375">
        <v>2017</v>
      </c>
      <c r="V104" t="s" s="377">
        <v>440</v>
      </c>
      <c r="W104" s="375">
        <v>40</v>
      </c>
      <c r="X104" s="375">
        <v>2017</v>
      </c>
      <c r="Y104" t="s" s="377">
        <v>440</v>
      </c>
      <c r="Z104" s="375">
        <v>30</v>
      </c>
      <c r="AA104" s="375">
        <v>2017</v>
      </c>
      <c r="AB104" t="s" s="377">
        <v>440</v>
      </c>
      <c r="AC104" t="s" s="377">
        <v>441</v>
      </c>
      <c r="AD104" s="376">
        <v>12000</v>
      </c>
      <c r="AE104" s="376">
        <v>10000</v>
      </c>
      <c r="AF104" s="376">
        <v>8000</v>
      </c>
      <c r="AG104" s="379">
        <v>0.704</v>
      </c>
      <c r="AH104" t="s" s="377">
        <v>230</v>
      </c>
      <c r="AI104" s="380">
        <v>0.07000000000000001</v>
      </c>
      <c r="AJ104" s="381">
        <f t="shared" si="57" ref="AJ104:AS105">10.5/31.89</f>
        <v>0.329256820319849</v>
      </c>
      <c r="AK104" t="s" s="377">
        <v>442</v>
      </c>
      <c r="AL104" s="382">
        <v>0.13</v>
      </c>
      <c r="AM104" t="s" s="377">
        <v>443</v>
      </c>
      <c r="AN104" t="s" s="377">
        <v>444</v>
      </c>
      <c r="AO104" t="s" s="377">
        <v>445</v>
      </c>
      <c r="AP104" t="s" s="383">
        <v>446</v>
      </c>
      <c r="AQ104" t="s" s="377">
        <v>230</v>
      </c>
      <c r="AR104" s="380">
        <v>0.07000000000000001</v>
      </c>
      <c r="AS104" s="381">
        <f t="shared" si="57"/>
        <v>0.329256820319849</v>
      </c>
      <c r="AT104" t="s" s="377">
        <v>442</v>
      </c>
      <c r="AU104" s="382">
        <v>0.13</v>
      </c>
      <c r="AV104" t="s" s="377">
        <v>389</v>
      </c>
      <c r="AW104" t="s" s="377">
        <v>444</v>
      </c>
      <c r="AX104" t="s" s="383">
        <v>447</v>
      </c>
      <c r="AY104" t="s" s="383">
        <v>448</v>
      </c>
      <c r="AZ104" s="375">
        <v>1</v>
      </c>
      <c r="BA104" s="375">
        <v>2</v>
      </c>
      <c r="BB104" s="384"/>
      <c r="BC104" s="375">
        <v>2</v>
      </c>
      <c r="BD104" s="384"/>
      <c r="BE104" s="375">
        <v>2</v>
      </c>
      <c r="BF104" s="375">
        <v>1</v>
      </c>
      <c r="BG104" t="s" s="170">
        <v>449</v>
      </c>
      <c r="BH104" t="s" s="383">
        <v>450</v>
      </c>
      <c r="BI104" s="375">
        <v>1</v>
      </c>
      <c r="BJ104" t="s" s="377">
        <v>451</v>
      </c>
      <c r="BK104" s="375">
        <v>2</v>
      </c>
      <c r="BL104" s="384"/>
      <c r="BM104" t="s" s="377">
        <v>200</v>
      </c>
      <c r="BN104" s="379">
        <v>0.06660000000000001</v>
      </c>
      <c r="BO104" t="s" s="377">
        <v>452</v>
      </c>
      <c r="BP104" t="s" s="383">
        <v>453</v>
      </c>
      <c r="BQ104" t="s" s="377">
        <v>230</v>
      </c>
      <c r="BR104" s="379">
        <v>0.2667</v>
      </c>
      <c r="BS104" t="s" s="377">
        <v>454</v>
      </c>
      <c r="BT104" t="s" s="377">
        <v>455</v>
      </c>
      <c r="BU104" t="s" s="383">
        <v>453</v>
      </c>
      <c r="BV104" t="s" s="385">
        <v>456</v>
      </c>
      <c r="BW104" t="s" s="385">
        <v>457</v>
      </c>
      <c r="BX104" t="s" s="377">
        <v>230</v>
      </c>
      <c r="BY104" s="380">
        <v>0.12</v>
      </c>
      <c r="BZ104" s="381">
        <f>50000/31.89</f>
        <v>1567.889620570710</v>
      </c>
      <c r="CA104" s="386">
        <v>593</v>
      </c>
      <c r="CB104" s="387">
        <f t="shared" si="60" ref="CB104:CB105">2000/31.89</f>
        <v>62.7155848228285</v>
      </c>
      <c r="CC104" s="388">
        <v>24</v>
      </c>
      <c r="CD104" t="s" s="377">
        <v>458</v>
      </c>
      <c r="CE104" s="375">
        <v>2</v>
      </c>
      <c r="CF104" s="384"/>
      <c r="CG104" t="s" s="377">
        <v>459</v>
      </c>
      <c r="CH104" t="s" s="377">
        <v>460</v>
      </c>
      <c r="CI104" t="s" s="383">
        <v>448</v>
      </c>
      <c r="CJ104" t="s" s="377">
        <v>461</v>
      </c>
      <c r="CK104" t="s" s="377">
        <v>462</v>
      </c>
      <c r="CL104" t="s" s="377">
        <v>462</v>
      </c>
    </row>
    <row r="105" ht="15" customHeight="1">
      <c r="A105" s="88"/>
      <c r="B105" s="89"/>
      <c r="C105" s="90"/>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t="s" s="389">
        <v>463</v>
      </c>
      <c r="AD105" s="91"/>
      <c r="AE105" s="91"/>
      <c r="AF105" s="91"/>
      <c r="AG105" t="s" s="389">
        <v>464</v>
      </c>
      <c r="AH105" t="s" s="389">
        <v>229</v>
      </c>
      <c r="AI105" s="390">
        <v>0.93</v>
      </c>
      <c r="AJ105" s="391">
        <f t="shared" si="57"/>
        <v>0.329256820319849</v>
      </c>
      <c r="AK105" t="s" s="389">
        <v>442</v>
      </c>
      <c r="AL105" s="392">
        <v>0.13</v>
      </c>
      <c r="AM105" t="s" s="389">
        <v>389</v>
      </c>
      <c r="AN105" t="s" s="389">
        <v>444</v>
      </c>
      <c r="AO105" t="s" s="389">
        <v>465</v>
      </c>
      <c r="AP105" s="91"/>
      <c r="AQ105" t="s" s="389">
        <v>229</v>
      </c>
      <c r="AR105" s="393">
        <v>0.925</v>
      </c>
      <c r="AS105" s="391">
        <f t="shared" si="57"/>
        <v>0.329256820319849</v>
      </c>
      <c r="AT105" t="s" s="389">
        <v>442</v>
      </c>
      <c r="AU105" s="392">
        <v>0.13</v>
      </c>
      <c r="AV105" t="s" s="389">
        <v>389</v>
      </c>
      <c r="AW105" t="s" s="389">
        <v>444</v>
      </c>
      <c r="AX105" t="s" s="389">
        <v>466</v>
      </c>
      <c r="AY105" s="91"/>
      <c r="AZ105" s="91"/>
      <c r="BA105" s="91"/>
      <c r="BB105" s="91"/>
      <c r="BC105" s="91"/>
      <c r="BD105" s="91"/>
      <c r="BE105" s="91"/>
      <c r="BF105" s="91"/>
      <c r="BG105" s="211"/>
      <c r="BH105" s="91"/>
      <c r="BI105" s="91"/>
      <c r="BJ105" s="91"/>
      <c r="BK105" s="91"/>
      <c r="BL105" s="91"/>
      <c r="BM105" t="s" s="389">
        <v>229</v>
      </c>
      <c r="BN105" s="393">
        <v>0.0667</v>
      </c>
      <c r="BO105" s="91"/>
      <c r="BP105" s="91"/>
      <c r="BQ105" t="s" s="389">
        <v>229</v>
      </c>
      <c r="BR105" s="393">
        <v>0.7333</v>
      </c>
      <c r="BS105" t="s" s="389">
        <v>467</v>
      </c>
      <c r="BT105" t="s" s="389">
        <v>468</v>
      </c>
      <c r="BU105" s="91"/>
      <c r="BV105" s="394"/>
      <c r="BW105" s="394"/>
      <c r="BX105" t="s" s="389">
        <v>229</v>
      </c>
      <c r="BY105" s="390">
        <v>0.85</v>
      </c>
      <c r="BZ105" s="391">
        <f t="shared" si="63" ref="BZ105:BZ106">3000/31.89</f>
        <v>94.0733772342427</v>
      </c>
      <c r="CA105" s="395">
        <v>36</v>
      </c>
      <c r="CB105" s="391">
        <f t="shared" si="60"/>
        <v>62.7155848228285</v>
      </c>
      <c r="CC105" s="395">
        <v>24</v>
      </c>
      <c r="CD105" t="s" s="389">
        <v>371</v>
      </c>
      <c r="CE105" t="s" s="389">
        <v>469</v>
      </c>
      <c r="CF105" s="91"/>
      <c r="CG105" t="s" s="389">
        <v>470</v>
      </c>
      <c r="CH105" t="s" s="389">
        <v>471</v>
      </c>
      <c r="CI105" s="91"/>
      <c r="CJ105" s="91"/>
      <c r="CK105" s="91"/>
      <c r="CL105" s="91"/>
    </row>
    <row r="106" ht="15" customHeight="1">
      <c r="A106" s="88"/>
      <c r="B106" s="89"/>
      <c r="C106" s="90"/>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392"/>
      <c r="AM106" s="91"/>
      <c r="AN106" s="91"/>
      <c r="AO106" s="91"/>
      <c r="AP106" s="91"/>
      <c r="AQ106" t="s" s="389">
        <v>210</v>
      </c>
      <c r="AR106" s="393">
        <v>0.005</v>
      </c>
      <c r="AS106" s="391">
        <v>0</v>
      </c>
      <c r="AT106" s="91"/>
      <c r="AU106" s="392"/>
      <c r="AV106" t="s" s="389">
        <v>389</v>
      </c>
      <c r="AW106" t="s" s="389">
        <v>444</v>
      </c>
      <c r="AX106" s="91"/>
      <c r="AY106" s="91"/>
      <c r="AZ106" s="91"/>
      <c r="BA106" s="91"/>
      <c r="BB106" s="91"/>
      <c r="BC106" s="91"/>
      <c r="BD106" s="91"/>
      <c r="BE106" s="91"/>
      <c r="BF106" s="91"/>
      <c r="BG106" s="211"/>
      <c r="BH106" s="91"/>
      <c r="BI106" s="91"/>
      <c r="BJ106" s="91"/>
      <c r="BK106" s="91"/>
      <c r="BL106" s="91"/>
      <c r="BM106" t="s" s="389">
        <v>288</v>
      </c>
      <c r="BN106" s="393">
        <v>0.8667</v>
      </c>
      <c r="BO106" s="91"/>
      <c r="BP106" s="91"/>
      <c r="BQ106" s="91"/>
      <c r="BR106" s="91"/>
      <c r="BS106" s="91"/>
      <c r="BT106" s="91"/>
      <c r="BU106" s="91"/>
      <c r="BV106" s="394"/>
      <c r="BW106" s="394"/>
      <c r="BX106" t="s" s="396">
        <v>337</v>
      </c>
      <c r="BY106" s="397">
        <v>0.03</v>
      </c>
      <c r="BZ106" s="391">
        <f t="shared" si="63"/>
        <v>94.0733772342427</v>
      </c>
      <c r="CA106" s="395">
        <v>36</v>
      </c>
      <c r="CB106" s="391">
        <f>500/31.89</f>
        <v>15.6788962057071</v>
      </c>
      <c r="CC106" s="395">
        <v>6</v>
      </c>
      <c r="CD106" s="398">
        <v>1</v>
      </c>
      <c r="CE106" s="398">
        <v>2</v>
      </c>
      <c r="CF106" s="91"/>
      <c r="CG106" s="398">
        <v>3</v>
      </c>
      <c r="CH106" s="91"/>
      <c r="CI106" s="91"/>
      <c r="CJ106" s="91"/>
      <c r="CK106" s="91"/>
      <c r="CL106" s="91"/>
    </row>
    <row r="107" ht="15" customHeight="1">
      <c r="A107" s="88"/>
      <c r="B107" s="89"/>
      <c r="C107" s="90"/>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392"/>
      <c r="AM107" s="91"/>
      <c r="AN107" s="91"/>
      <c r="AO107" s="91"/>
      <c r="AP107" s="91"/>
      <c r="AQ107" s="91"/>
      <c r="AR107" s="91"/>
      <c r="AS107" s="91"/>
      <c r="AT107" s="91"/>
      <c r="AU107" s="392"/>
      <c r="AV107" s="91"/>
      <c r="AW107" s="91"/>
      <c r="AX107" s="91"/>
      <c r="AY107" s="91"/>
      <c r="AZ107" s="91"/>
      <c r="BA107" s="91"/>
      <c r="BB107" s="91"/>
      <c r="BC107" s="91"/>
      <c r="BD107" s="91"/>
      <c r="BE107" s="91"/>
      <c r="BF107" s="91"/>
      <c r="BG107" s="211"/>
      <c r="BH107" s="91"/>
      <c r="BI107" s="91"/>
      <c r="BJ107" s="91"/>
      <c r="BK107" s="91"/>
      <c r="BL107" s="91"/>
      <c r="BM107" s="91"/>
      <c r="BN107" s="91"/>
      <c r="BO107" s="91"/>
      <c r="BP107" s="91"/>
      <c r="BQ107" s="91"/>
      <c r="BR107" s="91"/>
      <c r="BS107" s="91"/>
      <c r="BT107" s="91"/>
      <c r="BU107" s="91"/>
      <c r="BV107" s="394"/>
      <c r="BW107" s="399"/>
      <c r="BX107" t="s" s="400">
        <v>472</v>
      </c>
      <c r="BY107" s="401">
        <v>0</v>
      </c>
      <c r="BZ107" s="90"/>
      <c r="CA107" s="395"/>
      <c r="CB107" s="91"/>
      <c r="CC107" s="395"/>
      <c r="CD107" s="91"/>
      <c r="CE107" s="91"/>
      <c r="CF107" s="91"/>
      <c r="CG107" s="91"/>
      <c r="CH107" s="91"/>
      <c r="CI107" s="91"/>
      <c r="CJ107" s="91"/>
      <c r="CK107" s="91"/>
      <c r="CL107" s="91"/>
    </row>
    <row r="108" ht="15" customHeight="1">
      <c r="A108" s="92"/>
      <c r="B108" s="89"/>
      <c r="C108" s="90"/>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392"/>
      <c r="AM108" s="91"/>
      <c r="AN108" s="91"/>
      <c r="AO108" s="91"/>
      <c r="AP108" s="91"/>
      <c r="AQ108" s="91"/>
      <c r="AR108" s="91"/>
      <c r="AS108" s="91"/>
      <c r="AT108" s="91"/>
      <c r="AU108" s="392"/>
      <c r="AV108" s="91"/>
      <c r="AW108" s="91"/>
      <c r="AX108" s="91"/>
      <c r="AY108" s="91"/>
      <c r="AZ108" s="91"/>
      <c r="BA108" s="91"/>
      <c r="BB108" s="91"/>
      <c r="BC108" s="91"/>
      <c r="BD108" s="91"/>
      <c r="BE108" s="91"/>
      <c r="BF108" s="91"/>
      <c r="BG108" s="211"/>
      <c r="BH108" s="91"/>
      <c r="BI108" s="91"/>
      <c r="BJ108" s="91"/>
      <c r="BK108" s="91"/>
      <c r="BL108" s="91"/>
      <c r="BM108" s="91"/>
      <c r="BN108" s="91"/>
      <c r="BO108" s="91"/>
      <c r="BP108" s="91"/>
      <c r="BQ108" s="91"/>
      <c r="BR108" s="91"/>
      <c r="BS108" s="91"/>
      <c r="BT108" s="91"/>
      <c r="BU108" s="91"/>
      <c r="BV108" s="91"/>
      <c r="BW108" s="394"/>
      <c r="BX108" s="402"/>
      <c r="BY108" s="402"/>
      <c r="BZ108" s="91"/>
      <c r="CA108" s="395"/>
      <c r="CB108" s="91"/>
      <c r="CC108" s="395"/>
      <c r="CD108" s="91"/>
      <c r="CE108" s="91"/>
      <c r="CF108" s="91"/>
      <c r="CG108" s="91"/>
      <c r="CH108" s="91"/>
      <c r="CI108" s="91"/>
      <c r="CJ108" s="91"/>
      <c r="CK108" s="91"/>
      <c r="CL108" s="91"/>
    </row>
    <row r="109" ht="15" customHeight="1">
      <c r="A109" s="92"/>
      <c r="B109" s="89"/>
      <c r="C109" s="90"/>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392"/>
      <c r="AM109" s="91"/>
      <c r="AN109" s="91"/>
      <c r="AO109" s="91"/>
      <c r="AP109" s="91"/>
      <c r="AQ109" s="91"/>
      <c r="AR109" s="91"/>
      <c r="AS109" s="91"/>
      <c r="AT109" s="91"/>
      <c r="AU109" s="392"/>
      <c r="AV109" s="91"/>
      <c r="AW109" s="91"/>
      <c r="AX109" s="91"/>
      <c r="AY109" s="91"/>
      <c r="AZ109" s="91"/>
      <c r="BA109" s="91"/>
      <c r="BB109" s="91"/>
      <c r="BC109" s="91"/>
      <c r="BD109" s="91"/>
      <c r="BE109" s="91"/>
      <c r="BF109" s="91"/>
      <c r="BG109" s="211"/>
      <c r="BH109" s="91"/>
      <c r="BI109" s="91"/>
      <c r="BJ109" s="91"/>
      <c r="BK109" s="91"/>
      <c r="BL109" s="91"/>
      <c r="BM109" s="91"/>
      <c r="BN109" s="91"/>
      <c r="BO109" s="91"/>
      <c r="BP109" s="91"/>
      <c r="BQ109" s="91"/>
      <c r="BR109" s="91"/>
      <c r="BS109" s="91"/>
      <c r="BT109" s="91"/>
      <c r="BU109" s="91"/>
      <c r="BV109" s="91"/>
      <c r="BW109" s="394"/>
      <c r="BX109" s="91"/>
      <c r="BY109" s="91"/>
      <c r="BZ109" s="91"/>
      <c r="CA109" s="395"/>
      <c r="CB109" s="91"/>
      <c r="CC109" s="395"/>
      <c r="CD109" s="91"/>
      <c r="CE109" s="91"/>
      <c r="CF109" s="91"/>
      <c r="CG109" s="91"/>
      <c r="CH109" s="91"/>
      <c r="CI109" s="91"/>
      <c r="CJ109" s="91"/>
      <c r="CK109" s="91"/>
      <c r="CL109" s="91"/>
    </row>
    <row r="110" ht="15" customHeight="1">
      <c r="A110" s="92"/>
      <c r="B110" s="89"/>
      <c r="C110" s="90"/>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392"/>
      <c r="AM110" s="91"/>
      <c r="AN110" s="91"/>
      <c r="AO110" s="91"/>
      <c r="AP110" s="91"/>
      <c r="AQ110" s="91"/>
      <c r="AR110" s="91"/>
      <c r="AS110" s="91"/>
      <c r="AT110" s="91"/>
      <c r="AU110" s="392"/>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395"/>
      <c r="CB110" s="91"/>
      <c r="CC110" s="395"/>
      <c r="CD110" s="91"/>
      <c r="CE110" s="91"/>
      <c r="CF110" s="91"/>
      <c r="CG110" s="91"/>
      <c r="CH110" s="91"/>
      <c r="CI110" s="91"/>
      <c r="CJ110" s="91"/>
      <c r="CK110" s="91"/>
      <c r="CL110" s="91"/>
    </row>
    <row r="111" ht="15" customHeight="1">
      <c r="A111" s="93"/>
      <c r="B111" s="94"/>
      <c r="C111" s="95"/>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403"/>
      <c r="AM111" s="96"/>
      <c r="AN111" s="96"/>
      <c r="AO111" s="96"/>
      <c r="AP111" s="96"/>
      <c r="AQ111" s="96"/>
      <c r="AR111" s="96"/>
      <c r="AS111" s="96"/>
      <c r="AT111" s="96"/>
      <c r="AU111" s="403"/>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404"/>
      <c r="CB111" s="96"/>
      <c r="CC111" s="404"/>
      <c r="CD111" s="96"/>
      <c r="CE111" s="96"/>
      <c r="CF111" s="96"/>
      <c r="CG111" s="96"/>
      <c r="CH111" s="96"/>
      <c r="CI111" s="96"/>
      <c r="CJ111" s="96"/>
      <c r="CK111" s="96"/>
      <c r="CL111" s="96"/>
    </row>
    <row r="112" ht="15" customHeight="1">
      <c r="A112" s="15">
        <v>11</v>
      </c>
      <c r="B112" t="s" s="97">
        <v>30</v>
      </c>
      <c r="C112" t="s" s="98">
        <v>473</v>
      </c>
      <c r="D112" s="405">
        <v>5</v>
      </c>
      <c r="E112" s="405">
        <v>51000</v>
      </c>
      <c r="F112" s="406">
        <v>2016</v>
      </c>
      <c r="G112" t="s" s="407">
        <v>474</v>
      </c>
      <c r="H112" s="405">
        <v>6450</v>
      </c>
      <c r="I112" s="406">
        <v>2016</v>
      </c>
      <c r="J112" t="s" s="407">
        <v>475</v>
      </c>
      <c r="K112" t="s" s="408">
        <v>476</v>
      </c>
      <c r="L112" t="s" s="408">
        <v>477</v>
      </c>
      <c r="M112" t="s" s="407">
        <v>475</v>
      </c>
      <c r="N112" s="313">
        <v>18</v>
      </c>
      <c r="O112" s="313">
        <v>2016</v>
      </c>
      <c r="P112" t="s" s="407">
        <v>475</v>
      </c>
      <c r="Q112" s="313">
        <v>60</v>
      </c>
      <c r="R112" s="313">
        <v>2016</v>
      </c>
      <c r="S112" t="s" s="407">
        <v>475</v>
      </c>
      <c r="T112" s="313">
        <v>25</v>
      </c>
      <c r="U112" s="409"/>
      <c r="V112" t="s" s="407">
        <v>475</v>
      </c>
      <c r="W112" s="313">
        <v>35</v>
      </c>
      <c r="X112" s="409"/>
      <c r="Y112" t="s" s="407">
        <v>475</v>
      </c>
      <c r="Z112" s="313">
        <v>40</v>
      </c>
      <c r="AA112" s="410"/>
      <c r="AB112" t="s" s="407">
        <v>475</v>
      </c>
      <c r="AC112" t="s" s="408">
        <v>478</v>
      </c>
      <c r="AD112" t="s" s="408">
        <v>479</v>
      </c>
      <c r="AE112" t="s" s="407">
        <v>480</v>
      </c>
      <c r="AF112" t="s" s="408">
        <v>197</v>
      </c>
      <c r="AG112" s="313">
        <v>15</v>
      </c>
      <c r="AH112" t="s" s="408">
        <v>200</v>
      </c>
      <c r="AI112" s="313">
        <v>15</v>
      </c>
      <c r="AJ112" s="411">
        <f>(21)/32.08</f>
        <v>0.654613466334165</v>
      </c>
      <c r="AK112" t="s" s="408">
        <v>442</v>
      </c>
      <c r="AL112" s="412">
        <v>0.2</v>
      </c>
      <c r="AM112" t="s" s="407">
        <v>481</v>
      </c>
      <c r="AN112" s="285">
        <v>1.5</v>
      </c>
      <c r="AO112" t="s" s="407">
        <v>482</v>
      </c>
      <c r="AP112" s="409"/>
      <c r="AQ112" t="s" s="408">
        <v>357</v>
      </c>
      <c r="AR112" s="254">
        <v>13</v>
      </c>
      <c r="AS112" s="313">
        <v>0</v>
      </c>
      <c r="AT112" s="409"/>
      <c r="AU112" s="412"/>
      <c r="AV112" t="s" s="170">
        <v>483</v>
      </c>
      <c r="AW112" t="s" s="170">
        <v>483</v>
      </c>
      <c r="AX112" t="s" s="407">
        <v>484</v>
      </c>
      <c r="AY112" s="409"/>
      <c r="AZ112" s="313">
        <v>2</v>
      </c>
      <c r="BA112" s="313">
        <v>1</v>
      </c>
      <c r="BB112" t="s" s="408">
        <v>485</v>
      </c>
      <c r="BC112" s="313">
        <v>1</v>
      </c>
      <c r="BD112" s="313">
        <v>4</v>
      </c>
      <c r="BE112" s="313">
        <v>1</v>
      </c>
      <c r="BF112" s="313">
        <v>1</v>
      </c>
      <c r="BG112" t="s" s="408">
        <v>486</v>
      </c>
      <c r="BH112" t="s" s="408">
        <v>487</v>
      </c>
      <c r="BI112" s="313">
        <v>1</v>
      </c>
      <c r="BJ112" t="s" s="407">
        <v>488</v>
      </c>
      <c r="BK112" s="313">
        <v>2</v>
      </c>
      <c r="BL112" t="s" s="408">
        <v>489</v>
      </c>
      <c r="BM112" t="s" s="408">
        <v>200</v>
      </c>
      <c r="BN112" s="313">
        <v>50</v>
      </c>
      <c r="BO112" t="s" s="407">
        <v>484</v>
      </c>
      <c r="BP112" s="409"/>
      <c r="BQ112" t="s" s="408">
        <v>200</v>
      </c>
      <c r="BR112" s="313">
        <v>100</v>
      </c>
      <c r="BS112" s="313">
        <v>0</v>
      </c>
      <c r="BT112" t="s" s="407">
        <v>484</v>
      </c>
      <c r="BU112" s="409"/>
      <c r="BV112" t="s" s="170">
        <v>490</v>
      </c>
      <c r="BW112" t="s" s="170">
        <v>491</v>
      </c>
      <c r="BX112" t="s" s="413">
        <v>200</v>
      </c>
      <c r="BY112" s="414">
        <v>0</v>
      </c>
      <c r="BZ112" s="415">
        <f t="shared" si="68" ref="BZ112:BZ113">13000/32.08</f>
        <v>405.236907730673</v>
      </c>
      <c r="CA112" s="416">
        <v>122</v>
      </c>
      <c r="CB112" s="417">
        <f t="shared" si="69" ref="CB112:CB113">3000/32.08</f>
        <v>93.5162094763092</v>
      </c>
      <c r="CC112" s="416">
        <v>28</v>
      </c>
      <c r="CD112" s="418"/>
      <c r="CE112" s="419">
        <v>2</v>
      </c>
      <c r="CF112" s="418"/>
      <c r="CG112" s="419">
        <v>1</v>
      </c>
      <c r="CH112" t="s" s="170">
        <v>484</v>
      </c>
      <c r="CI112" s="420"/>
      <c r="CJ112" t="s" s="408">
        <v>197</v>
      </c>
      <c r="CK112" t="s" s="408">
        <v>197</v>
      </c>
      <c r="CL112" t="s" s="408">
        <v>197</v>
      </c>
    </row>
    <row r="113" ht="15" customHeight="1">
      <c r="A113" s="19"/>
      <c r="B113" s="100"/>
      <c r="C113" s="190"/>
      <c r="D113" s="179"/>
      <c r="E113" s="179"/>
      <c r="F113" s="179"/>
      <c r="G113" s="179"/>
      <c r="H113" s="179"/>
      <c r="I113" s="179"/>
      <c r="J113" s="179"/>
      <c r="K113" s="180"/>
      <c r="L113" s="180"/>
      <c r="M113" t="s" s="182">
        <v>492</v>
      </c>
      <c r="N113" s="34"/>
      <c r="O113" s="34"/>
      <c r="P113" s="34"/>
      <c r="Q113" s="34"/>
      <c r="R113" s="34"/>
      <c r="S113" s="34"/>
      <c r="T113" s="34"/>
      <c r="U113" s="34"/>
      <c r="V113" s="34"/>
      <c r="W113" s="34"/>
      <c r="X113" s="34"/>
      <c r="Y113" s="34"/>
      <c r="Z113" s="34"/>
      <c r="AA113" s="34"/>
      <c r="AB113" s="34"/>
      <c r="AC113" s="34"/>
      <c r="AD113" s="34"/>
      <c r="AE113" t="s" s="182">
        <v>493</v>
      </c>
      <c r="AF113" s="34"/>
      <c r="AG113" s="34"/>
      <c r="AH113" t="s" s="182">
        <v>230</v>
      </c>
      <c r="AI113" s="183">
        <v>15</v>
      </c>
      <c r="AJ113" s="421">
        <f>(21/32.08)</f>
        <v>0.654613466334165</v>
      </c>
      <c r="AK113" t="s" s="317">
        <v>442</v>
      </c>
      <c r="AL113" s="422">
        <v>0.2</v>
      </c>
      <c r="AM113" t="s" s="182">
        <v>481</v>
      </c>
      <c r="AN113" s="299">
        <v>1.5</v>
      </c>
      <c r="AO113" s="34"/>
      <c r="AP113" s="34"/>
      <c r="AQ113" t="s" s="182">
        <v>226</v>
      </c>
      <c r="AR113" s="183">
        <v>87</v>
      </c>
      <c r="AS113" s="210">
        <f>(1800/32.08)/5.4</f>
        <v>10.3906899418121</v>
      </c>
      <c r="AT113" s="34"/>
      <c r="AU113" s="181">
        <v>3.14</v>
      </c>
      <c r="AV113" t="s" s="243">
        <v>483</v>
      </c>
      <c r="AW113" s="22"/>
      <c r="AX113" s="34"/>
      <c r="AY113" s="34"/>
      <c r="AZ113" s="34"/>
      <c r="BA113" s="34"/>
      <c r="BB113" s="34"/>
      <c r="BC113" s="34"/>
      <c r="BD113" s="34"/>
      <c r="BE113" s="34"/>
      <c r="BF113" s="34"/>
      <c r="BG113" s="34"/>
      <c r="BH113" s="34"/>
      <c r="BI113" s="34"/>
      <c r="BJ113" s="34"/>
      <c r="BK113" s="34"/>
      <c r="BL113" s="34"/>
      <c r="BM113" t="s" s="182">
        <v>229</v>
      </c>
      <c r="BN113" s="183">
        <v>10</v>
      </c>
      <c r="BO113" s="34"/>
      <c r="BP113" s="34"/>
      <c r="BQ113" s="34"/>
      <c r="BR113" s="34"/>
      <c r="BS113" s="183">
        <v>0</v>
      </c>
      <c r="BT113" s="34"/>
      <c r="BU113" s="34"/>
      <c r="BV113" s="211"/>
      <c r="BW113" s="248"/>
      <c r="BX113" t="s" s="185">
        <v>494</v>
      </c>
      <c r="BY113" s="423">
        <v>1</v>
      </c>
      <c r="BZ113" s="424">
        <f t="shared" si="68"/>
        <v>405.236907730673</v>
      </c>
      <c r="CA113" s="425">
        <v>122</v>
      </c>
      <c r="CB113" s="424">
        <f t="shared" si="69"/>
        <v>93.5162094763092</v>
      </c>
      <c r="CC113" s="425">
        <v>28</v>
      </c>
      <c r="CD113" s="426"/>
      <c r="CE113" s="427">
        <v>2</v>
      </c>
      <c r="CF113" s="426"/>
      <c r="CG113" s="427">
        <v>1</v>
      </c>
      <c r="CH113" s="33"/>
      <c r="CI113" s="34"/>
      <c r="CJ113" s="34"/>
      <c r="CK113" s="34"/>
      <c r="CL113" s="34"/>
    </row>
    <row r="114" ht="15" customHeight="1">
      <c r="A114" s="19"/>
      <c r="B114" s="100"/>
      <c r="C114" s="190"/>
      <c r="D114" s="179"/>
      <c r="E114" s="179"/>
      <c r="F114" s="179"/>
      <c r="G114" s="179"/>
      <c r="H114" s="179"/>
      <c r="I114" s="179"/>
      <c r="J114" s="179"/>
      <c r="K114" s="180"/>
      <c r="L114" s="180"/>
      <c r="M114" s="180"/>
      <c r="N114" s="34"/>
      <c r="O114" s="34"/>
      <c r="P114" s="34"/>
      <c r="Q114" s="34"/>
      <c r="R114" s="34"/>
      <c r="S114" s="34"/>
      <c r="T114" s="34"/>
      <c r="U114" s="34"/>
      <c r="V114" s="34"/>
      <c r="W114" s="34"/>
      <c r="X114" s="34"/>
      <c r="Y114" s="34"/>
      <c r="Z114" s="34"/>
      <c r="AA114" s="34"/>
      <c r="AB114" s="34"/>
      <c r="AC114" s="34"/>
      <c r="AD114" s="34"/>
      <c r="AE114" s="34"/>
      <c r="AF114" s="34"/>
      <c r="AG114" s="34"/>
      <c r="AH114" t="s" s="182">
        <v>226</v>
      </c>
      <c r="AI114" s="183">
        <v>55</v>
      </c>
      <c r="AJ114" s="210">
        <f>(1800/5.4)/32.08</f>
        <v>10.3906899418121</v>
      </c>
      <c r="AK114" t="s" s="182">
        <v>495</v>
      </c>
      <c r="AL114" s="181">
        <v>3.14</v>
      </c>
      <c r="AM114" t="s" s="182">
        <v>197</v>
      </c>
      <c r="AN114" t="s" s="182">
        <v>197</v>
      </c>
      <c r="AO114" s="34"/>
      <c r="AP114" s="34"/>
      <c r="AQ114" s="34"/>
      <c r="AR114" s="34"/>
      <c r="AS114" s="34"/>
      <c r="AT114" s="34"/>
      <c r="AU114" s="181"/>
      <c r="AV114" s="211"/>
      <c r="AW114" s="34"/>
      <c r="AX114" s="34"/>
      <c r="AY114" s="34"/>
      <c r="AZ114" s="34"/>
      <c r="BA114" s="34"/>
      <c r="BB114" s="34"/>
      <c r="BC114" s="34"/>
      <c r="BD114" s="34"/>
      <c r="BE114" s="34"/>
      <c r="BF114" s="34"/>
      <c r="BG114" s="34"/>
      <c r="BH114" s="34"/>
      <c r="BI114" s="34"/>
      <c r="BJ114" s="34"/>
      <c r="BK114" s="34"/>
      <c r="BL114" s="34"/>
      <c r="BM114" t="s" s="182">
        <v>496</v>
      </c>
      <c r="BN114" s="183">
        <v>40</v>
      </c>
      <c r="BO114" s="34"/>
      <c r="BP114" s="34"/>
      <c r="BQ114" s="34"/>
      <c r="BR114" s="34"/>
      <c r="BS114" s="34"/>
      <c r="BT114" s="34"/>
      <c r="BU114" s="34"/>
      <c r="BV114" s="211"/>
      <c r="BW114" s="211"/>
      <c r="BX114" s="189"/>
      <c r="BY114" s="189"/>
      <c r="BZ114" s="189"/>
      <c r="CA114" s="428"/>
      <c r="CB114" s="189"/>
      <c r="CC114" s="428"/>
      <c r="CD114" s="189"/>
      <c r="CE114" s="189"/>
      <c r="CF114" s="189"/>
      <c r="CG114" s="189"/>
      <c r="CH114" s="34"/>
      <c r="CI114" s="34"/>
      <c r="CJ114" s="34"/>
      <c r="CK114" s="34"/>
      <c r="CL114" s="34"/>
    </row>
    <row r="115" ht="15" customHeight="1">
      <c r="A115" s="19"/>
      <c r="B115" s="100"/>
      <c r="C115" s="190"/>
      <c r="D115" s="179"/>
      <c r="E115" s="179"/>
      <c r="F115" s="179"/>
      <c r="G115" s="179"/>
      <c r="H115" s="179"/>
      <c r="I115" s="179"/>
      <c r="J115" s="179"/>
      <c r="K115" s="180"/>
      <c r="L115" s="180"/>
      <c r="M115" s="180"/>
      <c r="N115" s="34"/>
      <c r="O115" s="34"/>
      <c r="P115" s="34"/>
      <c r="Q115" s="34"/>
      <c r="R115" s="34"/>
      <c r="S115" s="34"/>
      <c r="T115" s="34"/>
      <c r="U115" s="34"/>
      <c r="V115" s="34"/>
      <c r="W115" s="34"/>
      <c r="X115" s="34"/>
      <c r="Y115" s="34"/>
      <c r="Z115" s="34"/>
      <c r="AA115" s="34"/>
      <c r="AB115" s="34"/>
      <c r="AC115" s="34"/>
      <c r="AD115" s="34"/>
      <c r="AE115" s="34"/>
      <c r="AF115" s="34"/>
      <c r="AG115" s="34"/>
      <c r="AH115" t="s" s="182">
        <v>497</v>
      </c>
      <c r="AI115" s="183">
        <v>15</v>
      </c>
      <c r="AJ115" s="202">
        <f>(1/32.08)</f>
        <v>0.0311720698254364</v>
      </c>
      <c r="AK115" t="s" s="182">
        <v>498</v>
      </c>
      <c r="AL115" s="181">
        <v>0.01</v>
      </c>
      <c r="AM115" t="s" s="182">
        <v>499</v>
      </c>
      <c r="AN115" t="s" s="243">
        <v>500</v>
      </c>
      <c r="AO115" s="34"/>
      <c r="AP115" s="34"/>
      <c r="AQ115" s="34"/>
      <c r="AR115" s="34"/>
      <c r="AS115" s="34"/>
      <c r="AT115" s="34"/>
      <c r="AU115" s="181"/>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187"/>
      <c r="CB115" s="34"/>
      <c r="CC115" s="187"/>
      <c r="CD115" s="34"/>
      <c r="CE115" s="34"/>
      <c r="CF115" s="34"/>
      <c r="CG115" s="34"/>
      <c r="CH115" s="34"/>
      <c r="CI115" s="34"/>
      <c r="CJ115" s="34"/>
      <c r="CK115" s="34"/>
      <c r="CL115" s="34"/>
    </row>
    <row r="116" ht="15" customHeight="1">
      <c r="A116" s="19"/>
      <c r="B116" s="100"/>
      <c r="C116" s="190"/>
      <c r="D116" s="179"/>
      <c r="E116" s="179"/>
      <c r="F116" s="179"/>
      <c r="G116" s="179"/>
      <c r="H116" s="179"/>
      <c r="I116" s="179"/>
      <c r="J116" s="179"/>
      <c r="K116" s="180"/>
      <c r="L116" s="180"/>
      <c r="M116" s="180"/>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181"/>
      <c r="AM116" s="34"/>
      <c r="AN116" s="211"/>
      <c r="AO116" s="34"/>
      <c r="AP116" s="34"/>
      <c r="AQ116" s="34"/>
      <c r="AR116" s="34"/>
      <c r="AS116" s="34"/>
      <c r="AT116" s="34"/>
      <c r="AU116" s="181"/>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187"/>
      <c r="CB116" s="34"/>
      <c r="CC116" s="187"/>
      <c r="CD116" s="34"/>
      <c r="CE116" s="34"/>
      <c r="CF116" s="34"/>
      <c r="CG116" s="34"/>
      <c r="CH116" s="34"/>
      <c r="CI116" s="34"/>
      <c r="CJ116" s="34"/>
      <c r="CK116" s="34"/>
      <c r="CL116" s="34"/>
    </row>
    <row r="117" ht="15" customHeight="1">
      <c r="A117" s="19"/>
      <c r="B117" s="100"/>
      <c r="C117" s="190"/>
      <c r="D117" s="179"/>
      <c r="E117" s="179"/>
      <c r="F117" s="179"/>
      <c r="G117" s="179"/>
      <c r="H117" s="179"/>
      <c r="I117" s="179"/>
      <c r="J117" s="179"/>
      <c r="K117" s="180"/>
      <c r="L117" s="180"/>
      <c r="M117" s="180"/>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181"/>
      <c r="AM117" s="34"/>
      <c r="AN117" s="211"/>
      <c r="AO117" s="34"/>
      <c r="AP117" s="34"/>
      <c r="AQ117" s="34"/>
      <c r="AR117" s="34"/>
      <c r="AS117" s="34"/>
      <c r="AT117" s="34"/>
      <c r="AU117" s="181"/>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187"/>
      <c r="CB117" s="34"/>
      <c r="CC117" s="187"/>
      <c r="CD117" s="34"/>
      <c r="CE117" s="34"/>
      <c r="CF117" s="34"/>
      <c r="CG117" s="34"/>
      <c r="CH117" s="34"/>
      <c r="CI117" s="34"/>
      <c r="CJ117" s="34"/>
      <c r="CK117" s="34"/>
      <c r="CL117" s="34"/>
    </row>
    <row r="118" ht="15" customHeight="1">
      <c r="A118" s="19"/>
      <c r="B118" s="100"/>
      <c r="C118" s="190"/>
      <c r="D118" s="179"/>
      <c r="E118" s="179"/>
      <c r="F118" s="179"/>
      <c r="G118" s="179"/>
      <c r="H118" s="179"/>
      <c r="I118" s="179"/>
      <c r="J118" s="179"/>
      <c r="K118" s="180"/>
      <c r="L118" s="180"/>
      <c r="M118" s="180"/>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181"/>
      <c r="AM118" s="34"/>
      <c r="AN118" s="211"/>
      <c r="AO118" s="34"/>
      <c r="AP118" s="34"/>
      <c r="AQ118" s="34"/>
      <c r="AR118" s="34"/>
      <c r="AS118" s="34"/>
      <c r="AT118" s="34"/>
      <c r="AU118" s="181"/>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187"/>
      <c r="CB118" s="34"/>
      <c r="CC118" s="187"/>
      <c r="CD118" s="34"/>
      <c r="CE118" s="34"/>
      <c r="CF118" s="34"/>
      <c r="CG118" s="34"/>
      <c r="CH118" s="34"/>
      <c r="CI118" s="34"/>
      <c r="CJ118" s="34"/>
      <c r="CK118" s="34"/>
      <c r="CL118" s="34"/>
    </row>
    <row r="119" ht="15" customHeight="1">
      <c r="A119" s="19"/>
      <c r="B119" s="100"/>
      <c r="C119" s="190"/>
      <c r="D119" s="179"/>
      <c r="E119" s="179"/>
      <c r="F119" s="179"/>
      <c r="G119" s="179"/>
      <c r="H119" s="179"/>
      <c r="I119" s="179"/>
      <c r="J119" s="179"/>
      <c r="K119" s="180"/>
      <c r="L119" s="180"/>
      <c r="M119" s="180"/>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181"/>
      <c r="AM119" s="34"/>
      <c r="AN119" s="211"/>
      <c r="AO119" s="34"/>
      <c r="AP119" s="34"/>
      <c r="AQ119" s="34"/>
      <c r="AR119" s="34"/>
      <c r="AS119" s="34"/>
      <c r="AT119" s="34"/>
      <c r="AU119" s="181"/>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187"/>
      <c r="CB119" s="34"/>
      <c r="CC119" s="187"/>
      <c r="CD119" s="34"/>
      <c r="CE119" s="34"/>
      <c r="CF119" s="34"/>
      <c r="CG119" s="34"/>
      <c r="CH119" s="34"/>
      <c r="CI119" s="34"/>
      <c r="CJ119" s="34"/>
      <c r="CK119" s="34"/>
      <c r="CL119" s="34"/>
    </row>
    <row r="120" ht="15" customHeight="1">
      <c r="A120" s="23"/>
      <c r="B120" s="101"/>
      <c r="C120" s="191"/>
      <c r="D120" s="192"/>
      <c r="E120" s="192"/>
      <c r="F120" s="192"/>
      <c r="G120" s="192"/>
      <c r="H120" s="192"/>
      <c r="I120" s="192"/>
      <c r="J120" s="192"/>
      <c r="K120" s="193"/>
      <c r="L120" s="193"/>
      <c r="M120" s="193"/>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194"/>
      <c r="AM120" s="70"/>
      <c r="AN120" s="70"/>
      <c r="AO120" s="70"/>
      <c r="AP120" s="70"/>
      <c r="AQ120" s="70"/>
      <c r="AR120" s="70"/>
      <c r="AS120" s="70"/>
      <c r="AT120" s="70"/>
      <c r="AU120" s="194"/>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195"/>
      <c r="CB120" s="70"/>
      <c r="CC120" s="195"/>
      <c r="CD120" s="70"/>
      <c r="CE120" s="70"/>
      <c r="CF120" s="70"/>
      <c r="CG120" s="70"/>
      <c r="CH120" s="70"/>
      <c r="CI120" s="70"/>
      <c r="CJ120" s="70"/>
      <c r="CK120" s="70"/>
      <c r="CL120" s="70"/>
    </row>
    <row r="121" ht="15" customHeight="1">
      <c r="A121" s="15">
        <v>12</v>
      </c>
      <c r="B121" t="s" s="102">
        <v>32</v>
      </c>
      <c r="C121" t="s" s="103">
        <v>501</v>
      </c>
      <c r="D121" s="429">
        <v>4</v>
      </c>
      <c r="E121" s="429">
        <v>1540</v>
      </c>
      <c r="F121" s="429">
        <v>2014</v>
      </c>
      <c r="G121" t="s" s="430">
        <v>502</v>
      </c>
      <c r="H121" s="429">
        <v>385</v>
      </c>
      <c r="I121" s="429">
        <v>2014</v>
      </c>
      <c r="J121" t="s" s="430">
        <v>502</v>
      </c>
      <c r="K121" s="429">
        <v>5</v>
      </c>
      <c r="L121" s="429">
        <v>2014</v>
      </c>
      <c r="M121" t="s" s="430">
        <v>502</v>
      </c>
      <c r="N121" s="429">
        <v>70</v>
      </c>
      <c r="O121" s="429">
        <v>2017</v>
      </c>
      <c r="P121" t="s" s="430">
        <v>503</v>
      </c>
      <c r="Q121" s="429">
        <v>90</v>
      </c>
      <c r="R121" s="429">
        <v>2017</v>
      </c>
      <c r="S121" t="s" s="430">
        <v>504</v>
      </c>
      <c r="T121" s="429">
        <v>10</v>
      </c>
      <c r="U121" s="429">
        <v>2017</v>
      </c>
      <c r="V121" t="s" s="430">
        <v>504</v>
      </c>
      <c r="W121" s="429">
        <v>70</v>
      </c>
      <c r="X121" s="429">
        <v>2017</v>
      </c>
      <c r="Y121" t="s" s="430">
        <v>504</v>
      </c>
      <c r="Z121" t="s" s="430">
        <v>505</v>
      </c>
      <c r="AA121" s="429">
        <v>2017</v>
      </c>
      <c r="AB121" t="s" s="430">
        <v>504</v>
      </c>
      <c r="AC121" t="s" s="431">
        <v>506</v>
      </c>
      <c r="AD121" t="s" s="431">
        <v>506</v>
      </c>
      <c r="AE121" t="s" s="432">
        <v>507</v>
      </c>
      <c r="AF121" t="s" s="432">
        <v>374</v>
      </c>
      <c r="AG121" s="429">
        <v>85</v>
      </c>
      <c r="AH121" t="s" s="433">
        <v>356</v>
      </c>
      <c r="AI121" s="434">
        <v>90</v>
      </c>
      <c r="AJ121" s="435">
        <f t="shared" si="76" ref="AJ121:AS122">((200*50)/1185.8)</f>
        <v>8.433125316242201</v>
      </c>
      <c r="AK121" t="s" s="431">
        <v>508</v>
      </c>
      <c r="AL121" s="436">
        <v>2.75</v>
      </c>
      <c r="AM121" s="437">
        <v>7</v>
      </c>
      <c r="AN121" s="429">
        <v>8</v>
      </c>
      <c r="AO121" s="438"/>
      <c r="AP121" t="s" s="440">
        <v>509</v>
      </c>
      <c r="AQ121" t="s" s="433">
        <v>229</v>
      </c>
      <c r="AR121" s="434">
        <v>90</v>
      </c>
      <c r="AS121" s="435">
        <f t="shared" si="76"/>
        <v>8.433125316242201</v>
      </c>
      <c r="AT121" s="441"/>
      <c r="AU121" s="436">
        <v>2.75</v>
      </c>
      <c r="AV121" s="437">
        <v>7</v>
      </c>
      <c r="AW121" s="429">
        <v>8</v>
      </c>
      <c r="AX121" t="s" s="430">
        <v>510</v>
      </c>
      <c r="AY121" t="s" s="431">
        <v>511</v>
      </c>
      <c r="AZ121" s="429">
        <v>1</v>
      </c>
      <c r="BA121" s="429">
        <v>2</v>
      </c>
      <c r="BB121" t="s" s="430">
        <v>374</v>
      </c>
      <c r="BC121" s="429">
        <v>1</v>
      </c>
      <c r="BD121" s="437">
        <v>3</v>
      </c>
      <c r="BE121" s="429">
        <v>2</v>
      </c>
      <c r="BF121" s="429">
        <v>2</v>
      </c>
      <c r="BG121" t="s" s="430">
        <v>197</v>
      </c>
      <c r="BH121" t="s" s="430">
        <v>197</v>
      </c>
      <c r="BI121" s="429">
        <v>2</v>
      </c>
      <c r="BJ121" t="s" s="430">
        <v>197</v>
      </c>
      <c r="BK121" s="429">
        <v>2</v>
      </c>
      <c r="BL121" t="s" s="430">
        <v>197</v>
      </c>
      <c r="BM121" t="s" s="430">
        <v>200</v>
      </c>
      <c r="BN121" s="429">
        <v>90</v>
      </c>
      <c r="BO121" t="s" s="430">
        <v>504</v>
      </c>
      <c r="BP121" t="s" s="431">
        <v>511</v>
      </c>
      <c r="BQ121" t="s" s="433">
        <v>200</v>
      </c>
      <c r="BR121" s="434">
        <v>5</v>
      </c>
      <c r="BS121" t="s" s="430">
        <v>375</v>
      </c>
      <c r="BT121" t="s" s="430">
        <v>512</v>
      </c>
      <c r="BU121" t="s" s="431">
        <v>511</v>
      </c>
      <c r="BV121" t="s" s="432">
        <v>513</v>
      </c>
      <c r="BW121" t="s" s="431">
        <v>514</v>
      </c>
      <c r="BX121" t="s" s="433">
        <v>230</v>
      </c>
      <c r="BY121" s="434">
        <v>20</v>
      </c>
      <c r="BZ121" s="442">
        <f t="shared" si="78" ref="BZ121:BZ122">2500000/1185.8</f>
        <v>2108.281329060550</v>
      </c>
      <c r="CA121" s="443">
        <v>687</v>
      </c>
      <c r="CB121" s="435">
        <f>275000/1185.8</f>
        <v>231.910946196660</v>
      </c>
      <c r="CC121" s="444">
        <v>76</v>
      </c>
      <c r="CD121" s="429">
        <v>2</v>
      </c>
      <c r="CE121" s="434">
        <v>1</v>
      </c>
      <c r="CF121" t="s" s="431">
        <v>515</v>
      </c>
      <c r="CG121" s="438"/>
      <c r="CH121" s="438"/>
      <c r="CI121" t="s" s="431">
        <v>511</v>
      </c>
      <c r="CJ121" s="429">
        <v>4</v>
      </c>
      <c r="CK121" t="s" s="431">
        <v>516</v>
      </c>
      <c r="CL121" t="s" s="431">
        <v>516</v>
      </c>
    </row>
    <row r="122" ht="15" customHeight="1">
      <c r="A122" s="19"/>
      <c r="B122" s="105"/>
      <c r="C122" s="106"/>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t="s" s="445">
        <v>262</v>
      </c>
      <c r="AI122" s="446">
        <v>10</v>
      </c>
      <c r="AJ122" s="447">
        <f t="shared" si="76"/>
        <v>8.433125316242201</v>
      </c>
      <c r="AK122" t="s" s="448">
        <v>517</v>
      </c>
      <c r="AL122" s="449">
        <v>2.75</v>
      </c>
      <c r="AM122" s="450">
        <v>7</v>
      </c>
      <c r="AN122" s="450">
        <v>24</v>
      </c>
      <c r="AO122" s="107"/>
      <c r="AP122" s="451"/>
      <c r="AQ122" t="s" s="445">
        <v>262</v>
      </c>
      <c r="AR122" s="446">
        <v>10</v>
      </c>
      <c r="AS122" s="452">
        <f t="shared" si="76"/>
        <v>8.433125316242201</v>
      </c>
      <c r="AT122" s="453"/>
      <c r="AU122" s="449">
        <v>2.75</v>
      </c>
      <c r="AV122" s="450">
        <v>7</v>
      </c>
      <c r="AW122" s="450">
        <v>24</v>
      </c>
      <c r="AX122" s="107"/>
      <c r="AY122" s="107"/>
      <c r="AZ122" s="107"/>
      <c r="BA122" s="107"/>
      <c r="BB122" s="107"/>
      <c r="BC122" s="107"/>
      <c r="BD122" s="107"/>
      <c r="BE122" s="107"/>
      <c r="BF122" s="107"/>
      <c r="BG122" s="107"/>
      <c r="BH122" s="107"/>
      <c r="BI122" s="107"/>
      <c r="BJ122" s="107"/>
      <c r="BK122" s="107"/>
      <c r="BL122" s="107"/>
      <c r="BM122" t="s" s="445">
        <v>518</v>
      </c>
      <c r="BN122" s="450">
        <v>10</v>
      </c>
      <c r="BO122" s="107"/>
      <c r="BP122" s="107"/>
      <c r="BQ122" t="s" s="445">
        <v>230</v>
      </c>
      <c r="BR122" s="446">
        <v>5</v>
      </c>
      <c r="BS122" s="450">
        <v>0</v>
      </c>
      <c r="BT122" s="107"/>
      <c r="BU122" s="107"/>
      <c r="BV122" s="454"/>
      <c r="BW122" s="107"/>
      <c r="BX122" t="s" s="455">
        <v>337</v>
      </c>
      <c r="BY122" s="456">
        <v>80</v>
      </c>
      <c r="BZ122" s="457">
        <f t="shared" si="78"/>
        <v>2108.281329060550</v>
      </c>
      <c r="CA122" s="458">
        <v>687</v>
      </c>
      <c r="CB122" s="459">
        <f>350000/1185.8</f>
        <v>295.159386068477</v>
      </c>
      <c r="CC122" s="460">
        <v>96</v>
      </c>
      <c r="CD122" t="s" s="461">
        <v>519</v>
      </c>
      <c r="CE122" t="s" s="445">
        <v>351</v>
      </c>
      <c r="CF122" t="s" s="448">
        <v>520</v>
      </c>
      <c r="CG122" t="s" s="462">
        <v>521</v>
      </c>
      <c r="CH122" s="107"/>
      <c r="CI122" s="107"/>
      <c r="CJ122" s="107"/>
      <c r="CK122" s="107"/>
      <c r="CL122" s="107"/>
    </row>
    <row r="123" ht="15" customHeight="1">
      <c r="A123" s="19"/>
      <c r="B123" s="105"/>
      <c r="C123" s="106"/>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463"/>
      <c r="AM123" s="107"/>
      <c r="AN123" s="107"/>
      <c r="AO123" s="107"/>
      <c r="AP123" s="107"/>
      <c r="AQ123" s="107"/>
      <c r="AR123" s="107"/>
      <c r="AS123" s="107"/>
      <c r="AT123" s="107"/>
      <c r="AU123" s="463"/>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t="s" s="445">
        <v>229</v>
      </c>
      <c r="BR123" s="446">
        <v>90</v>
      </c>
      <c r="BS123" t="s" s="464">
        <v>522</v>
      </c>
      <c r="BT123" s="465"/>
      <c r="BU123" s="107"/>
      <c r="BV123" s="107"/>
      <c r="BW123" s="466"/>
      <c r="BX123" t="s" s="467">
        <v>435</v>
      </c>
      <c r="BY123" t="s" s="468">
        <v>523</v>
      </c>
      <c r="BZ123" s="106"/>
      <c r="CA123" s="469"/>
      <c r="CB123" s="107"/>
      <c r="CC123" s="469"/>
      <c r="CD123" s="107"/>
      <c r="CE123" s="107"/>
      <c r="CF123" s="107"/>
      <c r="CG123" s="107"/>
      <c r="CH123" s="107"/>
      <c r="CI123" s="107"/>
      <c r="CJ123" s="107"/>
      <c r="CK123" s="107"/>
      <c r="CL123" s="107"/>
    </row>
    <row r="124" ht="15" customHeight="1">
      <c r="A124" s="19"/>
      <c r="B124" s="105"/>
      <c r="C124" s="106"/>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463"/>
      <c r="AM124" s="107"/>
      <c r="AN124" s="107"/>
      <c r="AO124" s="107"/>
      <c r="AP124" s="107"/>
      <c r="AQ124" s="107"/>
      <c r="AR124" s="107"/>
      <c r="AS124" s="107"/>
      <c r="AT124" s="107"/>
      <c r="AU124" s="463"/>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470"/>
      <c r="BY124" s="470"/>
      <c r="BZ124" s="107"/>
      <c r="CA124" s="469"/>
      <c r="CB124" s="107"/>
      <c r="CC124" s="469"/>
      <c r="CD124" s="107"/>
      <c r="CE124" s="107"/>
      <c r="CF124" s="107"/>
      <c r="CG124" s="107"/>
      <c r="CH124" s="107"/>
      <c r="CI124" s="107"/>
      <c r="CJ124" s="107"/>
      <c r="CK124" s="107"/>
      <c r="CL124" s="107"/>
    </row>
    <row r="125" ht="15" customHeight="1">
      <c r="A125" s="19"/>
      <c r="B125" s="105"/>
      <c r="C125" s="106"/>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463"/>
      <c r="AM125" s="107"/>
      <c r="AN125" s="107"/>
      <c r="AO125" s="107"/>
      <c r="AP125" s="107"/>
      <c r="AQ125" s="107"/>
      <c r="AR125" s="107"/>
      <c r="AS125" s="107"/>
      <c r="AT125" s="107"/>
      <c r="AU125" s="463"/>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469"/>
      <c r="CB125" s="107"/>
      <c r="CC125" s="469"/>
      <c r="CD125" s="107"/>
      <c r="CE125" s="107"/>
      <c r="CF125" s="107"/>
      <c r="CG125" s="107"/>
      <c r="CH125" s="107"/>
      <c r="CI125" s="107"/>
      <c r="CJ125" s="107"/>
      <c r="CK125" s="107"/>
      <c r="CL125" s="107"/>
    </row>
    <row r="126" ht="15" customHeight="1">
      <c r="A126" s="19"/>
      <c r="B126" s="105"/>
      <c r="C126" s="106"/>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463"/>
      <c r="AM126" s="107"/>
      <c r="AN126" s="107"/>
      <c r="AO126" s="107"/>
      <c r="AP126" s="107"/>
      <c r="AQ126" s="107"/>
      <c r="AR126" s="107"/>
      <c r="AS126" s="107"/>
      <c r="AT126" s="107"/>
      <c r="AU126" s="463"/>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469"/>
      <c r="CB126" s="107"/>
      <c r="CC126" s="469"/>
      <c r="CD126" s="107"/>
      <c r="CE126" s="107"/>
      <c r="CF126" s="107"/>
      <c r="CG126" s="107"/>
      <c r="CH126" s="107"/>
      <c r="CI126" s="107"/>
      <c r="CJ126" s="107"/>
      <c r="CK126" s="107"/>
      <c r="CL126" s="107"/>
    </row>
    <row r="127" ht="15" customHeight="1">
      <c r="A127" s="23"/>
      <c r="B127" s="108"/>
      <c r="C127" s="109"/>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471"/>
      <c r="AM127" s="110"/>
      <c r="AN127" s="110"/>
      <c r="AO127" s="110"/>
      <c r="AP127" s="110"/>
      <c r="AQ127" s="110"/>
      <c r="AR127" s="110"/>
      <c r="AS127" s="110"/>
      <c r="AT127" s="110"/>
      <c r="AU127" s="471"/>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c r="BP127" s="110"/>
      <c r="BQ127" s="110"/>
      <c r="BR127" s="110"/>
      <c r="BS127" s="110"/>
      <c r="BT127" s="110"/>
      <c r="BU127" s="110"/>
      <c r="BV127" s="110"/>
      <c r="BW127" s="110"/>
      <c r="BX127" s="110"/>
      <c r="BY127" s="110"/>
      <c r="BZ127" s="110"/>
      <c r="CA127" s="472"/>
      <c r="CB127" s="110"/>
      <c r="CC127" s="472"/>
      <c r="CD127" s="110"/>
      <c r="CE127" s="110"/>
      <c r="CF127" s="110"/>
      <c r="CG127" s="110"/>
      <c r="CH127" s="110"/>
      <c r="CI127" s="110"/>
      <c r="CJ127" s="110"/>
      <c r="CK127" s="110"/>
      <c r="CL127" s="110"/>
    </row>
    <row r="128" ht="15" customHeight="1">
      <c r="A128" s="15">
        <v>13</v>
      </c>
      <c r="B128" t="s" s="111">
        <v>34</v>
      </c>
      <c r="C128" t="s" s="473">
        <v>524</v>
      </c>
      <c r="D128" s="285">
        <v>4</v>
      </c>
      <c r="E128" s="474">
        <v>204720</v>
      </c>
      <c r="F128" s="285">
        <v>2012</v>
      </c>
      <c r="G128" t="s" s="112">
        <v>525</v>
      </c>
      <c r="H128" s="474">
        <v>40944</v>
      </c>
      <c r="I128" s="285">
        <v>2012</v>
      </c>
      <c r="J128" t="s" s="112">
        <v>525</v>
      </c>
      <c r="K128" s="285">
        <v>5</v>
      </c>
      <c r="L128" s="285">
        <v>2010</v>
      </c>
      <c r="M128" t="s" s="112">
        <v>526</v>
      </c>
      <c r="N128" t="s" s="286">
        <v>197</v>
      </c>
      <c r="O128" s="475"/>
      <c r="P128" s="475"/>
      <c r="Q128" t="s" s="286">
        <v>197</v>
      </c>
      <c r="R128" s="475"/>
      <c r="S128" s="475"/>
      <c r="T128" t="s" s="286">
        <v>197</v>
      </c>
      <c r="U128" s="475"/>
      <c r="V128" s="475"/>
      <c r="W128" t="s" s="286">
        <v>197</v>
      </c>
      <c r="X128" s="475"/>
      <c r="Y128" s="475"/>
      <c r="Z128" t="s" s="286">
        <v>197</v>
      </c>
      <c r="AA128" s="475"/>
      <c r="AB128" s="475"/>
      <c r="AC128" t="s" s="476">
        <v>527</v>
      </c>
      <c r="AD128" t="s" s="476">
        <v>528</v>
      </c>
      <c r="AE128" t="s" s="476">
        <v>529</v>
      </c>
      <c r="AF128" t="s" s="476">
        <v>530</v>
      </c>
      <c r="AG128" s="477">
        <v>0.7</v>
      </c>
      <c r="AH128" t="s" s="112">
        <v>357</v>
      </c>
      <c r="AI128" s="284">
        <v>40</v>
      </c>
      <c r="AJ128" s="478">
        <f>(15/123.66)*25</f>
        <v>3.03250849102377</v>
      </c>
      <c r="AK128" t="s" s="479">
        <v>508</v>
      </c>
      <c r="AL128" s="480">
        <v>1.11</v>
      </c>
      <c r="AM128" s="285">
        <v>7</v>
      </c>
      <c r="AN128" t="s" s="481">
        <v>531</v>
      </c>
      <c r="AO128" s="123"/>
      <c r="AP128" t="s" s="479">
        <v>532</v>
      </c>
      <c r="AQ128" t="s" s="82">
        <v>357</v>
      </c>
      <c r="AR128" s="285">
        <v>80</v>
      </c>
      <c r="AS128" t="s" s="479">
        <v>533</v>
      </c>
      <c r="AT128" t="s" s="479">
        <v>508</v>
      </c>
      <c r="AU128" s="480"/>
      <c r="AV128" s="285">
        <v>7</v>
      </c>
      <c r="AW128" t="s" s="481">
        <v>531</v>
      </c>
      <c r="AX128" s="123"/>
      <c r="AY128" t="s" s="479">
        <v>532</v>
      </c>
      <c r="AZ128" s="285">
        <v>1</v>
      </c>
      <c r="BA128" s="285">
        <v>1</v>
      </c>
      <c r="BB128" t="s" s="482">
        <v>534</v>
      </c>
      <c r="BC128" s="285">
        <v>1</v>
      </c>
      <c r="BD128" t="s" s="483">
        <v>535</v>
      </c>
      <c r="BE128" s="285">
        <v>2</v>
      </c>
      <c r="BF128" s="285">
        <v>2</v>
      </c>
      <c r="BG128" s="123"/>
      <c r="BH128" s="123"/>
      <c r="BI128" s="285">
        <v>2</v>
      </c>
      <c r="BJ128" s="123"/>
      <c r="BK128" s="285">
        <v>2</v>
      </c>
      <c r="BL128" s="123"/>
      <c r="BM128" t="s" s="82">
        <v>200</v>
      </c>
      <c r="BN128" s="285">
        <v>5</v>
      </c>
      <c r="BO128" t="s" s="112">
        <v>536</v>
      </c>
      <c r="BP128" s="123"/>
      <c r="BQ128" t="s" s="82">
        <v>200</v>
      </c>
      <c r="BR128" s="285">
        <v>20</v>
      </c>
      <c r="BS128" t="s" s="82">
        <v>197</v>
      </c>
      <c r="BT128" s="123"/>
      <c r="BU128" t="s" s="112">
        <v>537</v>
      </c>
      <c r="BV128" t="s" s="82">
        <v>197</v>
      </c>
      <c r="BW128" t="s" s="82">
        <v>197</v>
      </c>
      <c r="BX128" t="s" s="82">
        <v>230</v>
      </c>
      <c r="BY128" s="285">
        <v>25</v>
      </c>
      <c r="BZ128" s="340">
        <f>500000/123.66</f>
        <v>4043.344654698370</v>
      </c>
      <c r="CA128" s="341">
        <v>1490</v>
      </c>
      <c r="CB128" s="340">
        <f t="shared" si="86" ref="CB128:CB130">15000/123.66</f>
        <v>121.300339640951</v>
      </c>
      <c r="CC128" s="341">
        <v>45</v>
      </c>
      <c r="CD128" s="285">
        <v>2</v>
      </c>
      <c r="CE128" s="285">
        <v>1</v>
      </c>
      <c r="CF128" t="s" s="484">
        <v>538</v>
      </c>
      <c r="CG128" s="123"/>
      <c r="CH128" s="123"/>
      <c r="CI128" t="s" s="486">
        <v>539</v>
      </c>
      <c r="CJ128" t="s" s="82">
        <v>540</v>
      </c>
      <c r="CK128" t="s" s="485">
        <v>541</v>
      </c>
      <c r="CL128" t="s" s="485">
        <v>541</v>
      </c>
    </row>
    <row r="129" ht="15" customHeight="1">
      <c r="A129" s="19"/>
      <c r="B129" s="113"/>
      <c r="C129" s="58"/>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t="s" s="303">
        <v>265</v>
      </c>
      <c r="AI129" s="299">
        <v>60</v>
      </c>
      <c r="AJ129" s="447">
        <f>(50/123.66)</f>
        <v>0.404334465469837</v>
      </c>
      <c r="AK129" t="s" s="448">
        <v>498</v>
      </c>
      <c r="AL129" s="449">
        <v>0.15</v>
      </c>
      <c r="AM129" t="s" s="487">
        <v>542</v>
      </c>
      <c r="AN129" t="s" s="487">
        <v>543</v>
      </c>
      <c r="AO129" s="59"/>
      <c r="AP129" s="59"/>
      <c r="AQ129" t="s" s="303">
        <v>227</v>
      </c>
      <c r="AR129" s="299">
        <v>20</v>
      </c>
      <c r="AS129" s="298">
        <v>0</v>
      </c>
      <c r="AT129" s="59"/>
      <c r="AU129" s="125"/>
      <c r="AV129" t="s" s="303">
        <v>197</v>
      </c>
      <c r="AW129" t="s" s="303">
        <v>197</v>
      </c>
      <c r="AX129" s="59"/>
      <c r="AY129" s="59"/>
      <c r="AZ129" s="59"/>
      <c r="BA129" s="59"/>
      <c r="BB129" s="488"/>
      <c r="BC129" s="59"/>
      <c r="BD129" s="59"/>
      <c r="BE129" s="59"/>
      <c r="BF129" s="59"/>
      <c r="BG129" s="59"/>
      <c r="BH129" s="59"/>
      <c r="BI129" s="59"/>
      <c r="BJ129" s="59"/>
      <c r="BK129" s="59"/>
      <c r="BL129" s="59"/>
      <c r="BM129" t="s" s="448">
        <v>288</v>
      </c>
      <c r="BN129" s="299">
        <v>95</v>
      </c>
      <c r="BO129" s="59"/>
      <c r="BP129" s="59"/>
      <c r="BQ129" t="s" s="303">
        <v>230</v>
      </c>
      <c r="BR129" s="299">
        <v>65</v>
      </c>
      <c r="BS129" s="299">
        <v>0</v>
      </c>
      <c r="BT129" s="59"/>
      <c r="BU129" s="59"/>
      <c r="BV129" s="59"/>
      <c r="BW129" s="59"/>
      <c r="BX129" t="s" s="303">
        <v>357</v>
      </c>
      <c r="BY129" s="299">
        <v>25</v>
      </c>
      <c r="BZ129" s="489">
        <f>400000/123.66</f>
        <v>3234.675723758690</v>
      </c>
      <c r="CA129" s="490">
        <v>1192</v>
      </c>
      <c r="CB129" s="489">
        <f t="shared" si="86"/>
        <v>121.300339640951</v>
      </c>
      <c r="CC129" s="490">
        <v>45</v>
      </c>
      <c r="CD129" s="299">
        <v>2</v>
      </c>
      <c r="CE129" s="299">
        <v>1</v>
      </c>
      <c r="CF129" s="491"/>
      <c r="CG129" s="59"/>
      <c r="CH129" s="59"/>
      <c r="CI129" s="59"/>
      <c r="CJ129" s="59"/>
      <c r="CK129" s="59"/>
      <c r="CL129" s="59"/>
    </row>
    <row r="130" ht="15" customHeight="1">
      <c r="A130" s="19"/>
      <c r="B130" s="113"/>
      <c r="C130" s="58"/>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125"/>
      <c r="AM130" s="59"/>
      <c r="AN130" s="59"/>
      <c r="AO130" s="59"/>
      <c r="AP130" s="59"/>
      <c r="AQ130" s="59"/>
      <c r="AR130" s="492"/>
      <c r="AS130" s="59"/>
      <c r="AT130" s="59"/>
      <c r="AU130" s="125"/>
      <c r="AV130" s="59"/>
      <c r="AW130" s="59"/>
      <c r="AX130" s="59"/>
      <c r="AY130" s="59"/>
      <c r="AZ130" s="59"/>
      <c r="BA130" s="59"/>
      <c r="BB130" s="488"/>
      <c r="BC130" s="59"/>
      <c r="BD130" s="59"/>
      <c r="BE130" s="59"/>
      <c r="BF130" s="59"/>
      <c r="BG130" s="59"/>
      <c r="BH130" s="59"/>
      <c r="BI130" s="59"/>
      <c r="BJ130" s="59"/>
      <c r="BK130" s="59"/>
      <c r="BL130" s="59"/>
      <c r="BM130" s="59"/>
      <c r="BN130" s="59"/>
      <c r="BO130" s="59"/>
      <c r="BP130" s="59"/>
      <c r="BQ130" t="s" s="303">
        <v>544</v>
      </c>
      <c r="BR130" s="299">
        <v>15</v>
      </c>
      <c r="BS130" s="299">
        <v>0</v>
      </c>
      <c r="BT130" s="59"/>
      <c r="BU130" s="59"/>
      <c r="BV130" s="59"/>
      <c r="BW130" s="59"/>
      <c r="BX130" t="s" s="303">
        <v>337</v>
      </c>
      <c r="BY130" s="299">
        <v>50</v>
      </c>
      <c r="BZ130" s="489">
        <f>300000/123.66</f>
        <v>2426.006792819020</v>
      </c>
      <c r="CA130" s="490">
        <v>894</v>
      </c>
      <c r="CB130" s="489">
        <f t="shared" si="86"/>
        <v>121.300339640951</v>
      </c>
      <c r="CC130" s="490">
        <v>45</v>
      </c>
      <c r="CD130" s="299">
        <v>2</v>
      </c>
      <c r="CE130" s="299">
        <v>1</v>
      </c>
      <c r="CF130" s="491"/>
      <c r="CG130" s="59"/>
      <c r="CH130" s="59"/>
      <c r="CI130" s="59"/>
      <c r="CJ130" s="59"/>
      <c r="CK130" s="59"/>
      <c r="CL130" s="59"/>
    </row>
    <row r="131" ht="15" customHeight="1">
      <c r="A131" s="19"/>
      <c r="B131" s="113"/>
      <c r="C131" s="58"/>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125"/>
      <c r="AM131" s="59"/>
      <c r="AN131" s="59"/>
      <c r="AO131" s="59"/>
      <c r="AP131" s="59"/>
      <c r="AQ131" s="59"/>
      <c r="AR131" s="493"/>
      <c r="AS131" s="299">
        <f>(15*25)/123.66</f>
        <v>3.03250849102377</v>
      </c>
      <c r="AT131" s="59"/>
      <c r="AU131" s="345">
        <v>1.11</v>
      </c>
      <c r="AV131" s="59"/>
      <c r="AW131" s="59"/>
      <c r="AX131" s="59"/>
      <c r="AY131" s="59"/>
      <c r="AZ131" s="59"/>
      <c r="BA131" s="59"/>
      <c r="BB131" s="488"/>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298"/>
      <c r="CA131" s="251"/>
      <c r="CB131" s="59"/>
      <c r="CC131" s="125"/>
      <c r="CD131" s="59"/>
      <c r="CE131" s="59"/>
      <c r="CF131" s="59"/>
      <c r="CG131" s="59"/>
      <c r="CH131" s="59"/>
      <c r="CI131" s="59"/>
      <c r="CJ131" s="59"/>
      <c r="CK131" s="59"/>
      <c r="CL131" s="59"/>
    </row>
    <row r="132" ht="15" customHeight="1">
      <c r="A132" s="19"/>
      <c r="B132" s="113"/>
      <c r="C132" s="58"/>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125"/>
      <c r="AM132" s="59"/>
      <c r="AN132" s="59"/>
      <c r="AO132" s="59"/>
      <c r="AP132" s="59"/>
      <c r="AQ132" s="59"/>
      <c r="AR132" s="59"/>
      <c r="AS132" s="299">
        <f>(20*25)/123.66</f>
        <v>4.04334465469837</v>
      </c>
      <c r="AT132" s="59"/>
      <c r="AU132" s="125"/>
      <c r="AV132" s="59"/>
      <c r="AW132" s="59"/>
      <c r="AX132" s="59"/>
      <c r="AY132" s="59"/>
      <c r="AZ132" s="59"/>
      <c r="BA132" s="59"/>
      <c r="BB132" s="488"/>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125"/>
      <c r="CB132" s="59"/>
      <c r="CC132" s="125"/>
      <c r="CD132" s="59"/>
      <c r="CE132" s="59"/>
      <c r="CF132" s="59"/>
      <c r="CG132" s="59"/>
      <c r="CH132" s="59"/>
      <c r="CI132" s="59"/>
      <c r="CJ132" s="59"/>
      <c r="CK132" s="59"/>
      <c r="CL132" s="59"/>
    </row>
    <row r="133" ht="15" customHeight="1">
      <c r="A133" s="19"/>
      <c r="B133" s="113"/>
      <c r="C133" s="58"/>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125"/>
      <c r="AM133" s="59"/>
      <c r="AN133" s="59"/>
      <c r="AO133" s="59"/>
      <c r="AP133" s="59"/>
      <c r="AQ133" s="59"/>
      <c r="AR133" s="59"/>
      <c r="AS133" s="59"/>
      <c r="AT133" s="59"/>
      <c r="AU133" s="125"/>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125"/>
      <c r="CB133" s="59"/>
      <c r="CC133" s="125"/>
      <c r="CD133" s="59"/>
      <c r="CE133" s="59"/>
      <c r="CF133" s="59"/>
      <c r="CG133" s="59"/>
      <c r="CH133" s="59"/>
      <c r="CI133" s="59"/>
      <c r="CJ133" s="59"/>
      <c r="CK133" s="59"/>
      <c r="CL133" s="59"/>
    </row>
    <row r="134" ht="15" customHeight="1">
      <c r="A134" s="19"/>
      <c r="B134" s="113"/>
      <c r="C134" s="58"/>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125"/>
      <c r="AM134" s="59"/>
      <c r="AN134" s="59"/>
      <c r="AO134" s="59"/>
      <c r="AP134" s="59"/>
      <c r="AQ134" s="59"/>
      <c r="AR134" s="59"/>
      <c r="AS134" s="59"/>
      <c r="AT134" s="59"/>
      <c r="AU134" s="125"/>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125"/>
      <c r="CB134" s="59"/>
      <c r="CC134" s="125"/>
      <c r="CD134" s="59"/>
      <c r="CE134" s="59"/>
      <c r="CF134" s="59"/>
      <c r="CG134" s="59"/>
      <c r="CH134" s="59"/>
      <c r="CI134" s="59"/>
      <c r="CJ134" s="59"/>
      <c r="CK134" s="59"/>
      <c r="CL134" s="59"/>
    </row>
    <row r="135" ht="15" customHeight="1">
      <c r="A135" s="19"/>
      <c r="B135" s="113"/>
      <c r="C135" s="58"/>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125"/>
      <c r="AM135" s="59"/>
      <c r="AN135" s="59"/>
      <c r="AO135" s="59"/>
      <c r="AP135" s="59"/>
      <c r="AQ135" s="59"/>
      <c r="AR135" s="59"/>
      <c r="AS135" s="59"/>
      <c r="AT135" s="59"/>
      <c r="AU135" s="125"/>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125"/>
      <c r="CB135" s="59"/>
      <c r="CC135" s="125"/>
      <c r="CD135" s="59"/>
      <c r="CE135" s="59"/>
      <c r="CF135" s="59"/>
      <c r="CG135" s="59"/>
      <c r="CH135" s="59"/>
      <c r="CI135" s="59"/>
      <c r="CJ135" s="59"/>
      <c r="CK135" s="59"/>
      <c r="CL135" s="59"/>
    </row>
    <row r="136" ht="15" customHeight="1">
      <c r="A136" s="19"/>
      <c r="B136" s="113"/>
      <c r="C136" s="58"/>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125"/>
      <c r="AM136" s="59"/>
      <c r="AN136" s="59"/>
      <c r="AO136" s="59"/>
      <c r="AP136" s="59"/>
      <c r="AQ136" s="59"/>
      <c r="AR136" s="59"/>
      <c r="AS136" s="59"/>
      <c r="AT136" s="59"/>
      <c r="AU136" s="125"/>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125"/>
      <c r="CB136" s="59"/>
      <c r="CC136" s="125"/>
      <c r="CD136" s="59"/>
      <c r="CE136" s="59"/>
      <c r="CF136" s="59"/>
      <c r="CG136" s="59"/>
      <c r="CH136" s="59"/>
      <c r="CI136" s="59"/>
      <c r="CJ136" s="59"/>
      <c r="CK136" s="59"/>
      <c r="CL136" s="59"/>
    </row>
    <row r="137" ht="15" customHeight="1">
      <c r="A137" s="19"/>
      <c r="B137" s="113"/>
      <c r="C137" s="58"/>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125"/>
      <c r="AM137" s="59"/>
      <c r="AN137" s="59"/>
      <c r="AO137" s="59"/>
      <c r="AP137" s="59"/>
      <c r="AQ137" s="59"/>
      <c r="AR137" s="59"/>
      <c r="AS137" s="59"/>
      <c r="AT137" s="59"/>
      <c r="AU137" s="125"/>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125"/>
      <c r="CB137" s="59"/>
      <c r="CC137" s="125"/>
      <c r="CD137" s="59"/>
      <c r="CE137" s="59"/>
      <c r="CF137" s="59"/>
      <c r="CG137" s="59"/>
      <c r="CH137" s="59"/>
      <c r="CI137" s="59"/>
      <c r="CJ137" s="59"/>
      <c r="CK137" s="59"/>
      <c r="CL137" s="59"/>
    </row>
    <row r="138" ht="15" customHeight="1">
      <c r="A138" s="23"/>
      <c r="B138" s="114"/>
      <c r="C138" s="63"/>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310"/>
      <c r="AM138" s="64"/>
      <c r="AN138" s="64"/>
      <c r="AO138" s="64"/>
      <c r="AP138" s="64"/>
      <c r="AQ138" s="64"/>
      <c r="AR138" s="64"/>
      <c r="AS138" s="64"/>
      <c r="AT138" s="64"/>
      <c r="AU138" s="310"/>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311"/>
      <c r="CB138" s="64"/>
      <c r="CC138" s="311"/>
      <c r="CD138" s="64"/>
      <c r="CE138" s="64"/>
      <c r="CF138" s="64"/>
      <c r="CG138" s="64"/>
      <c r="CH138" s="64"/>
      <c r="CI138" s="64"/>
      <c r="CJ138" s="64"/>
      <c r="CK138" s="64"/>
      <c r="CL138" s="64"/>
    </row>
    <row r="139" ht="15" customHeight="1">
      <c r="A139" s="15">
        <v>14</v>
      </c>
      <c r="B139" t="s" s="115">
        <v>38</v>
      </c>
      <c r="C139" t="s" s="17">
        <v>545</v>
      </c>
      <c r="D139" s="165">
        <v>3</v>
      </c>
      <c r="E139" s="165">
        <v>12175</v>
      </c>
      <c r="F139" s="166">
        <v>2015</v>
      </c>
      <c r="G139" t="s" s="18">
        <v>546</v>
      </c>
      <c r="H139" s="165">
        <v>2769</v>
      </c>
      <c r="I139" s="166">
        <v>2007</v>
      </c>
      <c r="J139" t="s" s="18">
        <v>547</v>
      </c>
      <c r="K139" s="166">
        <v>5.1</v>
      </c>
      <c r="L139" s="167">
        <v>2015</v>
      </c>
      <c r="M139" t="s" s="18">
        <v>548</v>
      </c>
      <c r="N139" s="167">
        <v>40.2</v>
      </c>
      <c r="O139" t="s" s="171">
        <v>549</v>
      </c>
      <c r="P139" t="s" s="18">
        <v>550</v>
      </c>
      <c r="Q139" s="167">
        <v>59.8</v>
      </c>
      <c r="R139" s="167">
        <v>2013</v>
      </c>
      <c r="S139" t="s" s="18">
        <v>551</v>
      </c>
      <c r="T139" s="167">
        <v>80</v>
      </c>
      <c r="U139" s="167">
        <v>2016</v>
      </c>
      <c r="V139" t="s" s="18">
        <v>552</v>
      </c>
      <c r="W139" s="167">
        <v>50</v>
      </c>
      <c r="X139" s="167">
        <v>2016</v>
      </c>
      <c r="Y139" t="s" s="18">
        <v>553</v>
      </c>
      <c r="Z139" s="167">
        <v>40</v>
      </c>
      <c r="AA139" s="166">
        <v>2016</v>
      </c>
      <c r="AB139" t="s" s="18">
        <v>553</v>
      </c>
      <c r="AC139" t="s" s="18">
        <v>554</v>
      </c>
      <c r="AD139" t="s" s="18">
        <v>555</v>
      </c>
      <c r="AE139" s="165">
        <v>4500</v>
      </c>
      <c r="AF139" t="s" s="171">
        <v>197</v>
      </c>
      <c r="AG139" s="167">
        <v>55</v>
      </c>
      <c r="AH139" t="s" s="171">
        <v>200</v>
      </c>
      <c r="AI139" s="167">
        <v>36.2</v>
      </c>
      <c r="AJ139" s="172">
        <f>39.8/19.83</f>
        <v>2.00706001008573</v>
      </c>
      <c r="AK139" t="s" s="171">
        <v>215</v>
      </c>
      <c r="AL139" s="197">
        <v>0.66</v>
      </c>
      <c r="AM139" s="166">
        <v>7</v>
      </c>
      <c r="AN139" s="167">
        <v>6</v>
      </c>
      <c r="AO139" t="s" s="171">
        <v>556</v>
      </c>
      <c r="AP139" t="s" s="171">
        <v>557</v>
      </c>
      <c r="AQ139" t="s" s="171">
        <v>200</v>
      </c>
      <c r="AR139" s="167">
        <v>36.2</v>
      </c>
      <c r="AS139" s="172">
        <f t="shared" si="95" ref="AS139:AS140">27.4/19.83</f>
        <v>1.38174483106404</v>
      </c>
      <c r="AT139" t="s" s="171">
        <v>215</v>
      </c>
      <c r="AU139" s="197">
        <v>0.43</v>
      </c>
      <c r="AV139" s="166">
        <v>7</v>
      </c>
      <c r="AW139" s="167">
        <v>6</v>
      </c>
      <c r="AX139" t="s" s="18">
        <v>558</v>
      </c>
      <c r="AY139" t="s" s="18">
        <v>558</v>
      </c>
      <c r="AZ139" s="167">
        <v>1</v>
      </c>
      <c r="BA139" s="167">
        <v>2</v>
      </c>
      <c r="BB139" s="169"/>
      <c r="BC139" s="167">
        <v>1</v>
      </c>
      <c r="BD139" s="167">
        <v>3</v>
      </c>
      <c r="BE139" s="167">
        <v>2</v>
      </c>
      <c r="BF139" s="167">
        <v>2</v>
      </c>
      <c r="BG139" s="169"/>
      <c r="BH139" s="168"/>
      <c r="BI139" s="167">
        <v>2</v>
      </c>
      <c r="BJ139" s="169"/>
      <c r="BK139" s="167">
        <v>1</v>
      </c>
      <c r="BL139" t="s" s="171">
        <v>559</v>
      </c>
      <c r="BM139" t="s" s="171">
        <v>200</v>
      </c>
      <c r="BN139" s="167">
        <v>15</v>
      </c>
      <c r="BO139" t="s" s="18">
        <v>560</v>
      </c>
      <c r="BP139" t="s" s="171">
        <v>561</v>
      </c>
      <c r="BQ139" t="s" s="171">
        <v>200</v>
      </c>
      <c r="BR139" s="167">
        <v>79</v>
      </c>
      <c r="BS139" s="168"/>
      <c r="BT139" t="s" s="171">
        <v>562</v>
      </c>
      <c r="BU139" t="s" s="18">
        <v>563</v>
      </c>
      <c r="BV139" t="s" s="170">
        <v>564</v>
      </c>
      <c r="BW139" t="s" s="18">
        <v>197</v>
      </c>
      <c r="BX139" t="s" s="171">
        <v>230</v>
      </c>
      <c r="BY139" s="167">
        <v>43.4</v>
      </c>
      <c r="BZ139" s="172">
        <f>7258.29/19.83</f>
        <v>366.025718608169</v>
      </c>
      <c r="CA139" s="176">
        <v>118</v>
      </c>
      <c r="CB139" t="s" s="171">
        <v>565</v>
      </c>
      <c r="CC139" t="s" s="494">
        <v>566</v>
      </c>
      <c r="CD139" t="s" s="18">
        <v>567</v>
      </c>
      <c r="CE139" s="167">
        <v>2</v>
      </c>
      <c r="CF139" s="168"/>
      <c r="CG139" t="s" s="171">
        <v>317</v>
      </c>
      <c r="CH139" t="s" s="171">
        <v>568</v>
      </c>
      <c r="CI139" t="s" s="171">
        <v>569</v>
      </c>
      <c r="CJ139" t="s" s="171">
        <v>570</v>
      </c>
      <c r="CK139" t="s" s="171">
        <v>571</v>
      </c>
      <c r="CL139" t="s" s="171">
        <v>571</v>
      </c>
    </row>
    <row r="140" ht="15" customHeight="1">
      <c r="A140" s="19"/>
      <c r="B140" s="116"/>
      <c r="C140" s="190"/>
      <c r="D140" s="179"/>
      <c r="E140" s="179"/>
      <c r="F140" s="179"/>
      <c r="G140" s="179"/>
      <c r="H140" s="179"/>
      <c r="I140" s="179"/>
      <c r="J140" s="179"/>
      <c r="K140" s="180"/>
      <c r="L140" s="180"/>
      <c r="M140" s="180"/>
      <c r="N140" s="34"/>
      <c r="O140" s="34"/>
      <c r="P140" s="34"/>
      <c r="Q140" s="34"/>
      <c r="R140" s="34"/>
      <c r="S140" s="34"/>
      <c r="T140" s="34"/>
      <c r="U140" s="34"/>
      <c r="V140" s="34"/>
      <c r="W140" s="34"/>
      <c r="X140" s="34"/>
      <c r="Y140" s="34"/>
      <c r="Z140" s="34"/>
      <c r="AA140" s="34"/>
      <c r="AB140" s="34"/>
      <c r="AC140" s="34"/>
      <c r="AD140" s="34"/>
      <c r="AE140" s="34"/>
      <c r="AF140" s="34"/>
      <c r="AG140" s="34"/>
      <c r="AH140" t="s" s="209">
        <v>230</v>
      </c>
      <c r="AI140" s="208">
        <v>36.2</v>
      </c>
      <c r="AJ140" s="202">
        <f>27.4/19.83</f>
        <v>1.38174483106404</v>
      </c>
      <c r="AK140" t="s" s="209">
        <v>215</v>
      </c>
      <c r="AL140" s="188">
        <v>0.43</v>
      </c>
      <c r="AM140" s="22"/>
      <c r="AN140" s="22"/>
      <c r="AO140" t="s" s="182">
        <v>572</v>
      </c>
      <c r="AP140" t="s" s="182">
        <v>573</v>
      </c>
      <c r="AQ140" t="s" s="209">
        <v>230</v>
      </c>
      <c r="AR140" s="208">
        <v>36.2</v>
      </c>
      <c r="AS140" s="202">
        <f t="shared" si="95"/>
        <v>1.38174483106404</v>
      </c>
      <c r="AT140" t="s" s="209">
        <v>215</v>
      </c>
      <c r="AU140" s="188">
        <v>0.43</v>
      </c>
      <c r="AV140" s="22"/>
      <c r="AW140" s="22"/>
      <c r="AX140" s="34"/>
      <c r="AY140" s="34"/>
      <c r="AZ140" s="34"/>
      <c r="BA140" s="34"/>
      <c r="BB140" s="34"/>
      <c r="BC140" s="34"/>
      <c r="BD140" s="34"/>
      <c r="BE140" s="34"/>
      <c r="BF140" s="34"/>
      <c r="BG140" s="34"/>
      <c r="BH140" s="34"/>
      <c r="BI140" s="34"/>
      <c r="BJ140" s="34"/>
      <c r="BK140" s="34"/>
      <c r="BL140" s="34"/>
      <c r="BM140" t="s" s="182">
        <v>230</v>
      </c>
      <c r="BN140" s="183">
        <v>5</v>
      </c>
      <c r="BO140" s="34"/>
      <c r="BP140" s="34"/>
      <c r="BQ140" t="s" s="182">
        <v>230</v>
      </c>
      <c r="BR140" s="183">
        <v>15</v>
      </c>
      <c r="BS140" s="208">
        <v>0</v>
      </c>
      <c r="BT140" s="34"/>
      <c r="BU140" s="34"/>
      <c r="BV140" s="211"/>
      <c r="BW140" s="34"/>
      <c r="BX140" t="s" s="182">
        <v>337</v>
      </c>
      <c r="BY140" s="183">
        <v>45.4</v>
      </c>
      <c r="BZ140" s="202">
        <f>4344/19.83</f>
        <v>219.062027231467</v>
      </c>
      <c r="CA140" s="187">
        <v>70</v>
      </c>
      <c r="CB140" t="s" s="182">
        <v>565</v>
      </c>
      <c r="CC140" t="s" s="171">
        <v>566</v>
      </c>
      <c r="CD140" t="s" s="209">
        <v>567</v>
      </c>
      <c r="CE140" s="183">
        <v>2</v>
      </c>
      <c r="CF140" s="34"/>
      <c r="CG140" t="s" s="182">
        <v>317</v>
      </c>
      <c r="CH140" s="34"/>
      <c r="CI140" s="34"/>
      <c r="CJ140" s="34"/>
      <c r="CK140" s="34"/>
      <c r="CL140" s="34"/>
    </row>
    <row r="141" ht="15" customHeight="1">
      <c r="A141" s="19"/>
      <c r="B141" s="116"/>
      <c r="C141" s="190"/>
      <c r="D141" s="179"/>
      <c r="E141" s="179"/>
      <c r="F141" s="179"/>
      <c r="G141" s="179"/>
      <c r="H141" s="179"/>
      <c r="I141" s="179"/>
      <c r="J141" s="179"/>
      <c r="K141" s="180"/>
      <c r="L141" s="180"/>
      <c r="M141" s="180"/>
      <c r="N141" s="34"/>
      <c r="O141" s="34"/>
      <c r="P141" s="34"/>
      <c r="Q141" s="34"/>
      <c r="R141" s="34"/>
      <c r="S141" s="34"/>
      <c r="T141" s="34"/>
      <c r="U141" s="34"/>
      <c r="V141" s="34"/>
      <c r="W141" s="34"/>
      <c r="X141" s="34"/>
      <c r="Y141" s="34"/>
      <c r="Z141" s="34"/>
      <c r="AA141" s="34"/>
      <c r="AB141" s="34"/>
      <c r="AC141" s="34"/>
      <c r="AD141" s="34"/>
      <c r="AE141" s="34"/>
      <c r="AF141" s="34"/>
      <c r="AG141" s="34"/>
      <c r="AH141" t="s" s="182">
        <v>229</v>
      </c>
      <c r="AI141" s="183">
        <v>1.4</v>
      </c>
      <c r="AJ141" s="202">
        <f t="shared" si="100" ref="AJ141:AS141">10/19.83</f>
        <v>0.504286434694907</v>
      </c>
      <c r="AK141" t="s" s="182">
        <v>574</v>
      </c>
      <c r="AL141" s="181">
        <v>0.17</v>
      </c>
      <c r="AM141" s="183">
        <v>7</v>
      </c>
      <c r="AN141" s="183">
        <v>6</v>
      </c>
      <c r="AO141" s="34"/>
      <c r="AP141" s="34"/>
      <c r="AQ141" t="s" s="182">
        <v>229</v>
      </c>
      <c r="AR141" s="183">
        <v>1.4</v>
      </c>
      <c r="AS141" s="202">
        <f t="shared" si="100"/>
        <v>0.504286434694907</v>
      </c>
      <c r="AT141" t="s" s="182">
        <v>215</v>
      </c>
      <c r="AU141" s="181">
        <v>0.17</v>
      </c>
      <c r="AV141" s="183">
        <v>7</v>
      </c>
      <c r="AW141" s="183">
        <v>6</v>
      </c>
      <c r="AX141" s="34"/>
      <c r="AY141" s="34"/>
      <c r="AZ141" s="34"/>
      <c r="BA141" s="34"/>
      <c r="BB141" s="34"/>
      <c r="BC141" s="34"/>
      <c r="BD141" s="34"/>
      <c r="BE141" s="34"/>
      <c r="BF141" s="34"/>
      <c r="BG141" s="34"/>
      <c r="BH141" s="34"/>
      <c r="BI141" s="34"/>
      <c r="BJ141" s="34"/>
      <c r="BK141" s="34"/>
      <c r="BL141" s="34"/>
      <c r="BM141" t="s" s="182">
        <v>337</v>
      </c>
      <c r="BN141" s="183">
        <v>80</v>
      </c>
      <c r="BO141" s="34"/>
      <c r="BP141" s="34"/>
      <c r="BQ141" t="s" s="182">
        <v>229</v>
      </c>
      <c r="BR141" s="183">
        <v>5</v>
      </c>
      <c r="BS141" s="183">
        <v>0</v>
      </c>
      <c r="BT141" s="34"/>
      <c r="BU141" s="34"/>
      <c r="BV141" s="211"/>
      <c r="BW141" s="34"/>
      <c r="BX141" t="s" s="182">
        <v>210</v>
      </c>
      <c r="BY141" s="183">
        <v>10.7</v>
      </c>
      <c r="BZ141" s="202">
        <f>1000/19.83</f>
        <v>50.4286434694907</v>
      </c>
      <c r="CA141" s="187">
        <v>16</v>
      </c>
      <c r="CB141" s="202">
        <f>500/19.83</f>
        <v>25.2143217347453</v>
      </c>
      <c r="CC141" s="187">
        <v>8</v>
      </c>
      <c r="CD141" t="s" s="209">
        <v>567</v>
      </c>
      <c r="CE141" s="183">
        <v>2</v>
      </c>
      <c r="CF141" s="34"/>
      <c r="CG141" t="s" s="182">
        <v>317</v>
      </c>
      <c r="CH141" s="34"/>
      <c r="CI141" s="34"/>
      <c r="CJ141" s="34"/>
      <c r="CK141" s="34"/>
      <c r="CL141" s="34"/>
    </row>
    <row r="142" ht="15" customHeight="1">
      <c r="A142" s="19"/>
      <c r="B142" s="116"/>
      <c r="C142" s="190"/>
      <c r="D142" s="179"/>
      <c r="E142" s="179"/>
      <c r="F142" s="179"/>
      <c r="G142" s="179"/>
      <c r="H142" s="179"/>
      <c r="I142" s="179"/>
      <c r="J142" s="179"/>
      <c r="K142" s="180"/>
      <c r="L142" s="180"/>
      <c r="M142" s="180"/>
      <c r="N142" s="34"/>
      <c r="O142" s="34"/>
      <c r="P142" s="34"/>
      <c r="Q142" s="34"/>
      <c r="R142" s="34"/>
      <c r="S142" s="34"/>
      <c r="T142" s="34"/>
      <c r="U142" s="34"/>
      <c r="V142" s="34"/>
      <c r="W142" s="34"/>
      <c r="X142" s="34"/>
      <c r="Y142" s="34"/>
      <c r="Z142" s="34"/>
      <c r="AA142" s="34"/>
      <c r="AB142" s="34"/>
      <c r="AC142" s="34"/>
      <c r="AD142" s="34"/>
      <c r="AE142" s="34"/>
      <c r="AF142" s="34"/>
      <c r="AG142" s="34"/>
      <c r="AH142" t="s" s="182">
        <v>337</v>
      </c>
      <c r="AI142" s="183">
        <v>0.2</v>
      </c>
      <c r="AJ142" s="202">
        <f t="shared" si="104" ref="AJ142:AS142">7.5/19.83</f>
        <v>0.37821482602118</v>
      </c>
      <c r="AK142" t="s" s="182">
        <v>574</v>
      </c>
      <c r="AL142" s="181">
        <v>0.12</v>
      </c>
      <c r="AM142" s="183">
        <v>7</v>
      </c>
      <c r="AN142" t="s" s="182">
        <v>197</v>
      </c>
      <c r="AO142" s="34"/>
      <c r="AP142" s="34"/>
      <c r="AQ142" t="s" s="182">
        <v>337</v>
      </c>
      <c r="AR142" s="183">
        <v>0.2</v>
      </c>
      <c r="AS142" s="202">
        <f t="shared" si="104"/>
        <v>0.37821482602118</v>
      </c>
      <c r="AT142" t="s" s="182">
        <v>574</v>
      </c>
      <c r="AU142" s="181">
        <v>0.12</v>
      </c>
      <c r="AV142" s="183">
        <v>7</v>
      </c>
      <c r="AW142" t="s" s="182">
        <v>197</v>
      </c>
      <c r="AX142" s="34"/>
      <c r="AY142" s="34"/>
      <c r="AZ142" s="34"/>
      <c r="BA142" s="34"/>
      <c r="BB142" s="34"/>
      <c r="BC142" s="34"/>
      <c r="BD142" s="34"/>
      <c r="BE142" s="34"/>
      <c r="BF142" s="34"/>
      <c r="BG142" s="34"/>
      <c r="BH142" s="34"/>
      <c r="BI142" s="34"/>
      <c r="BJ142" s="34"/>
      <c r="BK142" s="34"/>
      <c r="BL142" s="34"/>
      <c r="BM142" s="34"/>
      <c r="BN142" s="34"/>
      <c r="BO142" s="34"/>
      <c r="BP142" s="34"/>
      <c r="BQ142" t="s" s="182">
        <v>312</v>
      </c>
      <c r="BR142" s="183">
        <v>1</v>
      </c>
      <c r="BS142" s="34"/>
      <c r="BT142" s="34"/>
      <c r="BU142" s="34"/>
      <c r="BV142" s="34"/>
      <c r="BW142" s="34"/>
      <c r="BX142" t="s" s="495">
        <v>575</v>
      </c>
      <c r="BY142" s="496">
        <v>0.5</v>
      </c>
      <c r="BZ142" s="202">
        <f>200000/19.83</f>
        <v>10085.7286938981</v>
      </c>
      <c r="CA142" s="187">
        <v>3242</v>
      </c>
      <c r="CB142" s="202">
        <f>1500/19.83</f>
        <v>75.64296520423601</v>
      </c>
      <c r="CC142" s="187">
        <v>23</v>
      </c>
      <c r="CD142" t="s" s="209">
        <v>289</v>
      </c>
      <c r="CE142" s="183">
        <v>1</v>
      </c>
      <c r="CF142" t="s" s="182">
        <v>576</v>
      </c>
      <c r="CG142" s="34"/>
      <c r="CH142" s="34"/>
      <c r="CI142" s="34"/>
      <c r="CJ142" s="34"/>
      <c r="CK142" s="34"/>
      <c r="CL142" s="34"/>
    </row>
    <row r="143" ht="15" customHeight="1">
      <c r="A143" s="19"/>
      <c r="B143" s="116"/>
      <c r="C143" s="190"/>
      <c r="D143" s="179"/>
      <c r="E143" s="179"/>
      <c r="F143" s="179"/>
      <c r="G143" s="179"/>
      <c r="H143" s="179"/>
      <c r="I143" s="179"/>
      <c r="J143" s="179"/>
      <c r="K143" s="180"/>
      <c r="L143" s="180"/>
      <c r="M143" s="180"/>
      <c r="N143" s="34"/>
      <c r="O143" s="34"/>
      <c r="P143" s="34"/>
      <c r="Q143" s="34"/>
      <c r="R143" s="34"/>
      <c r="S143" s="34"/>
      <c r="T143" s="34"/>
      <c r="U143" s="34"/>
      <c r="V143" s="34"/>
      <c r="W143" s="34"/>
      <c r="X143" s="34"/>
      <c r="Y143" s="34"/>
      <c r="Z143" s="34"/>
      <c r="AA143" s="34"/>
      <c r="AB143" s="34"/>
      <c r="AC143" s="34"/>
      <c r="AD143" s="34"/>
      <c r="AE143" s="34"/>
      <c r="AF143" s="34"/>
      <c r="AG143" s="34"/>
      <c r="AH143" t="s" s="182">
        <v>577</v>
      </c>
      <c r="AI143" s="183">
        <v>26</v>
      </c>
      <c r="AJ143" s="202">
        <f>(10*50/19.83)</f>
        <v>25.2143217347453</v>
      </c>
      <c r="AK143" t="s" s="182">
        <v>215</v>
      </c>
      <c r="AL143" s="181">
        <v>8.35</v>
      </c>
      <c r="AM143" s="208">
        <v>7</v>
      </c>
      <c r="AN143" s="208">
        <v>4</v>
      </c>
      <c r="AO143" s="34"/>
      <c r="AP143" s="34"/>
      <c r="AQ143" t="s" s="182">
        <v>577</v>
      </c>
      <c r="AR143" s="183">
        <v>26</v>
      </c>
      <c r="AS143" s="202">
        <f>(10*50)/19.83</f>
        <v>25.2143217347453</v>
      </c>
      <c r="AT143" t="s" s="182">
        <v>215</v>
      </c>
      <c r="AU143" s="181">
        <v>8.35</v>
      </c>
      <c r="AV143" s="208">
        <v>7</v>
      </c>
      <c r="AW143" s="208">
        <v>4</v>
      </c>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184"/>
      <c r="BX143" t="s" s="497">
        <v>211</v>
      </c>
      <c r="BY143" s="498">
        <v>0</v>
      </c>
      <c r="BZ143" s="33"/>
      <c r="CA143" s="187"/>
      <c r="CB143" s="34"/>
      <c r="CC143" s="187"/>
      <c r="CD143" s="34"/>
      <c r="CE143" s="34"/>
      <c r="CF143" s="34"/>
      <c r="CG143" s="34"/>
      <c r="CH143" s="34"/>
      <c r="CI143" s="34"/>
      <c r="CJ143" s="34"/>
      <c r="CK143" s="34"/>
      <c r="CL143" s="34"/>
    </row>
    <row r="144" ht="15" customHeight="1">
      <c r="A144" s="23"/>
      <c r="B144" s="117"/>
      <c r="C144" s="191"/>
      <c r="D144" s="192"/>
      <c r="E144" s="192"/>
      <c r="F144" s="192"/>
      <c r="G144" s="192"/>
      <c r="H144" s="192"/>
      <c r="I144" s="192"/>
      <c r="J144" s="192"/>
      <c r="K144" s="193"/>
      <c r="L144" s="193"/>
      <c r="M144" s="193"/>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194"/>
      <c r="AM144" s="70"/>
      <c r="AN144" s="70"/>
      <c r="AO144" s="70"/>
      <c r="AP144" s="70"/>
      <c r="AQ144" s="70"/>
      <c r="AR144" s="70"/>
      <c r="AS144" s="70"/>
      <c r="AT144" s="70"/>
      <c r="AU144" s="194"/>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499"/>
      <c r="BY144" s="499"/>
      <c r="BZ144" s="70"/>
      <c r="CA144" s="195"/>
      <c r="CB144" s="70"/>
      <c r="CC144" s="195"/>
      <c r="CD144" s="70"/>
      <c r="CE144" s="70"/>
      <c r="CF144" s="70"/>
      <c r="CG144" s="70"/>
      <c r="CH144" s="70"/>
      <c r="CI144" s="70"/>
      <c r="CJ144" s="70"/>
      <c r="CK144" s="70"/>
      <c r="CL144" s="70"/>
    </row>
    <row r="145" ht="96" customHeight="1">
      <c r="A145" s="52">
        <v>15</v>
      </c>
      <c r="B145" t="s" s="111">
        <v>40</v>
      </c>
      <c r="C145" t="s" s="500">
        <v>578</v>
      </c>
      <c r="D145" s="285">
        <v>1</v>
      </c>
      <c r="E145" s="474">
        <v>21349</v>
      </c>
      <c r="F145" s="285">
        <v>2016</v>
      </c>
      <c r="G145" t="s" s="82">
        <v>579</v>
      </c>
      <c r="H145" s="474">
        <v>4270</v>
      </c>
      <c r="I145" s="285">
        <v>2016</v>
      </c>
      <c r="J145" t="s" s="83">
        <v>580</v>
      </c>
      <c r="K145" s="285">
        <v>5</v>
      </c>
      <c r="L145" s="285">
        <v>2016</v>
      </c>
      <c r="M145" t="s" s="83">
        <v>581</v>
      </c>
      <c r="N145" s="285">
        <v>20</v>
      </c>
      <c r="O145" s="285">
        <v>2017</v>
      </c>
      <c r="P145" t="s" s="82">
        <v>582</v>
      </c>
      <c r="Q145" s="285">
        <v>80</v>
      </c>
      <c r="R145" s="285">
        <v>2017</v>
      </c>
      <c r="S145" t="s" s="112">
        <v>582</v>
      </c>
      <c r="T145" s="285">
        <v>40</v>
      </c>
      <c r="U145" s="285">
        <v>2017</v>
      </c>
      <c r="V145" t="s" s="112">
        <v>582</v>
      </c>
      <c r="W145" s="285">
        <v>23</v>
      </c>
      <c r="X145" s="285">
        <v>2017</v>
      </c>
      <c r="Y145" t="s" s="112">
        <v>582</v>
      </c>
      <c r="Z145" s="285">
        <v>17</v>
      </c>
      <c r="AA145" s="285">
        <v>2017</v>
      </c>
      <c r="AB145" t="s" s="112">
        <v>582</v>
      </c>
      <c r="AC145" s="501">
        <v>14315.7</v>
      </c>
      <c r="AD145" t="s" s="483">
        <v>583</v>
      </c>
      <c r="AE145" t="s" s="112">
        <v>584</v>
      </c>
      <c r="AF145" t="s" s="112">
        <v>584</v>
      </c>
      <c r="AG145" s="502">
        <v>0.799</v>
      </c>
      <c r="AH145" t="s" s="112">
        <v>200</v>
      </c>
      <c r="AI145" s="285">
        <v>10</v>
      </c>
      <c r="AJ145" s="503">
        <f t="shared" si="110" ref="AJ145:AS145">750/172.42</f>
        <v>4.3498434056374</v>
      </c>
      <c r="AK145" t="s" s="82">
        <v>215</v>
      </c>
      <c r="AL145" s="122"/>
      <c r="AM145" s="285">
        <v>7</v>
      </c>
      <c r="AN145" s="285">
        <v>20</v>
      </c>
      <c r="AO145" t="s" s="504">
        <v>585</v>
      </c>
      <c r="AP145" t="s" s="112">
        <v>586</v>
      </c>
      <c r="AQ145" t="s" s="112">
        <v>200</v>
      </c>
      <c r="AR145" s="285">
        <v>20</v>
      </c>
      <c r="AS145" s="503">
        <f t="shared" si="110"/>
        <v>4.3498434056374</v>
      </c>
      <c r="AT145" t="s" s="112">
        <v>215</v>
      </c>
      <c r="AU145" s="505"/>
      <c r="AV145" s="285">
        <v>7</v>
      </c>
      <c r="AW145" s="285">
        <v>20</v>
      </c>
      <c r="AX145" t="s" s="82">
        <v>587</v>
      </c>
      <c r="AY145" t="s" s="112">
        <v>588</v>
      </c>
      <c r="AZ145" s="285">
        <v>1</v>
      </c>
      <c r="BA145" s="285">
        <v>2</v>
      </c>
      <c r="BB145" s="123"/>
      <c r="BC145" s="285">
        <v>2</v>
      </c>
      <c r="BD145" s="123"/>
      <c r="BE145" s="123"/>
      <c r="BF145" s="285">
        <v>1</v>
      </c>
      <c r="BG145" t="s" s="292">
        <v>589</v>
      </c>
      <c r="BH145" t="s" s="283">
        <v>590</v>
      </c>
      <c r="BI145" s="285">
        <v>2</v>
      </c>
      <c r="BJ145" s="123"/>
      <c r="BK145" s="285">
        <v>1</v>
      </c>
      <c r="BL145" t="s" s="283">
        <v>591</v>
      </c>
      <c r="BM145" t="s" s="82">
        <v>230</v>
      </c>
      <c r="BN145" s="285">
        <v>6</v>
      </c>
      <c r="BO145" t="s" s="82">
        <v>587</v>
      </c>
      <c r="BP145" t="s" s="82">
        <v>592</v>
      </c>
      <c r="BQ145" t="s" s="82">
        <v>200</v>
      </c>
      <c r="BR145" s="285">
        <v>60</v>
      </c>
      <c r="BS145" s="123"/>
      <c r="BT145" t="s" s="112">
        <v>587</v>
      </c>
      <c r="BU145" t="s" s="82">
        <v>593</v>
      </c>
      <c r="BV145" t="s" s="506">
        <v>594</v>
      </c>
      <c r="BW145" t="s" s="506">
        <v>594</v>
      </c>
      <c r="BX145" t="s" s="112">
        <v>230</v>
      </c>
      <c r="BY145" s="285">
        <v>5</v>
      </c>
      <c r="BZ145" s="340">
        <f>450000/172.42</f>
        <v>2609.906043382440</v>
      </c>
      <c r="CA145" s="341">
        <v>615</v>
      </c>
      <c r="CB145" t="s" s="483">
        <v>595</v>
      </c>
      <c r="CC145" s="507">
        <v>25</v>
      </c>
      <c r="CD145" s="285">
        <v>2</v>
      </c>
      <c r="CE145" s="285">
        <v>1</v>
      </c>
      <c r="CF145" t="s" s="508">
        <v>596</v>
      </c>
      <c r="CG145" s="123"/>
      <c r="CH145" s="123"/>
      <c r="CI145" t="s" s="112">
        <v>597</v>
      </c>
      <c r="CJ145" s="285">
        <v>4</v>
      </c>
      <c r="CK145" t="s" s="82">
        <v>598</v>
      </c>
      <c r="CL145" t="s" s="82">
        <v>598</v>
      </c>
    </row>
    <row r="146" ht="26.1" customHeight="1">
      <c r="A146" s="56"/>
      <c r="B146" s="113"/>
      <c r="C146" s="58"/>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t="s" s="303">
        <v>230</v>
      </c>
      <c r="AI146" s="299">
        <v>10</v>
      </c>
      <c r="AJ146" s="509">
        <f t="shared" si="113" ref="AJ146:AS146">550/172.42</f>
        <v>3.18988516413409</v>
      </c>
      <c r="AK146" t="s" s="303">
        <v>215</v>
      </c>
      <c r="AL146" s="345">
        <v>0.75</v>
      </c>
      <c r="AM146" s="299">
        <v>7</v>
      </c>
      <c r="AN146" s="299">
        <v>20</v>
      </c>
      <c r="AO146" s="59"/>
      <c r="AP146" s="59"/>
      <c r="AQ146" t="s" s="303">
        <v>230</v>
      </c>
      <c r="AR146" s="299">
        <v>10</v>
      </c>
      <c r="AS146" s="509">
        <f t="shared" si="113"/>
        <v>3.18988516413409</v>
      </c>
      <c r="AT146" t="s" s="303">
        <v>215</v>
      </c>
      <c r="AU146" s="345">
        <v>0.75</v>
      </c>
      <c r="AV146" s="299">
        <v>7</v>
      </c>
      <c r="AW146" s="299">
        <v>20</v>
      </c>
      <c r="AX146" s="59"/>
      <c r="AY146" s="59"/>
      <c r="AZ146" s="59"/>
      <c r="BA146" s="59"/>
      <c r="BB146" s="59"/>
      <c r="BC146" s="59"/>
      <c r="BD146" s="59"/>
      <c r="BE146" s="59"/>
      <c r="BF146" s="59"/>
      <c r="BG146" s="302"/>
      <c r="BH146" s="59"/>
      <c r="BI146" s="59"/>
      <c r="BJ146" s="59"/>
      <c r="BK146" s="59"/>
      <c r="BL146" s="59"/>
      <c r="BM146" t="s" s="303">
        <v>337</v>
      </c>
      <c r="BN146" s="299">
        <v>2</v>
      </c>
      <c r="BO146" s="59"/>
      <c r="BP146" s="59"/>
      <c r="BQ146" t="s" s="303">
        <v>230</v>
      </c>
      <c r="BR146" s="299">
        <v>30</v>
      </c>
      <c r="BS146" t="s" s="303">
        <v>197</v>
      </c>
      <c r="BT146" s="59"/>
      <c r="BU146" s="59"/>
      <c r="BV146" s="510"/>
      <c r="BW146" s="510"/>
      <c r="BX146" t="s" s="303">
        <v>357</v>
      </c>
      <c r="BY146" s="299">
        <v>5</v>
      </c>
      <c r="BZ146" s="489">
        <f>300000/172.42</f>
        <v>1739.937362254960</v>
      </c>
      <c r="CA146" s="490">
        <v>410</v>
      </c>
      <c r="CB146" t="s" s="247">
        <v>599</v>
      </c>
      <c r="CC146" s="490"/>
      <c r="CD146" s="299">
        <v>5</v>
      </c>
      <c r="CE146" s="299">
        <v>2</v>
      </c>
      <c r="CF146" s="59"/>
      <c r="CG146" t="s" s="247">
        <v>600</v>
      </c>
      <c r="CH146" s="59"/>
      <c r="CI146" s="59"/>
      <c r="CJ146" s="59"/>
      <c r="CK146" s="59"/>
      <c r="CL146" s="59"/>
    </row>
    <row r="147" ht="26.1" customHeight="1">
      <c r="A147" s="56"/>
      <c r="B147" s="113"/>
      <c r="C147" s="58"/>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t="s" s="303">
        <v>229</v>
      </c>
      <c r="AI147" s="299">
        <v>30</v>
      </c>
      <c r="AJ147" s="509">
        <f t="shared" si="116" ref="AJ147:AS147">400/172.42</f>
        <v>2.31991648300661</v>
      </c>
      <c r="AK147" t="s" s="303">
        <v>215</v>
      </c>
      <c r="AL147" s="345">
        <v>0.55</v>
      </c>
      <c r="AM147" s="299">
        <v>7</v>
      </c>
      <c r="AN147" s="299">
        <v>20</v>
      </c>
      <c r="AO147" s="59"/>
      <c r="AP147" s="59"/>
      <c r="AQ147" t="s" s="303">
        <v>229</v>
      </c>
      <c r="AR147" s="299">
        <v>15</v>
      </c>
      <c r="AS147" s="509">
        <f t="shared" si="116"/>
        <v>2.31991648300661</v>
      </c>
      <c r="AT147" t="s" s="303">
        <v>215</v>
      </c>
      <c r="AU147" s="345">
        <v>0.55</v>
      </c>
      <c r="AV147" s="299">
        <v>7</v>
      </c>
      <c r="AW147" s="299">
        <v>20</v>
      </c>
      <c r="AX147" s="59"/>
      <c r="AY147" s="59"/>
      <c r="AZ147" s="59"/>
      <c r="BA147" s="59"/>
      <c r="BB147" s="59"/>
      <c r="BC147" s="59"/>
      <c r="BD147" s="59"/>
      <c r="BE147" s="59"/>
      <c r="BF147" s="59"/>
      <c r="BG147" s="302"/>
      <c r="BH147" s="59"/>
      <c r="BI147" s="59"/>
      <c r="BJ147" s="59"/>
      <c r="BK147" s="59"/>
      <c r="BL147" s="59"/>
      <c r="BM147" t="s" s="303">
        <v>312</v>
      </c>
      <c r="BN147" s="299">
        <v>92</v>
      </c>
      <c r="BO147" s="59"/>
      <c r="BP147" s="59"/>
      <c r="BQ147" t="s" s="303">
        <v>210</v>
      </c>
      <c r="BR147" s="299">
        <v>10</v>
      </c>
      <c r="BS147" s="59"/>
      <c r="BT147" s="59"/>
      <c r="BU147" s="59"/>
      <c r="BV147" s="59"/>
      <c r="BW147" s="59"/>
      <c r="BX147" t="s" s="303">
        <v>337</v>
      </c>
      <c r="BY147" s="299">
        <v>10</v>
      </c>
      <c r="BZ147" s="489">
        <f>100000/172.42</f>
        <v>579.979120751653</v>
      </c>
      <c r="CA147" s="490">
        <v>137</v>
      </c>
      <c r="CB147" t="s" s="247">
        <v>599</v>
      </c>
      <c r="CC147" s="490"/>
      <c r="CD147" s="299">
        <v>5</v>
      </c>
      <c r="CE147" s="299">
        <v>2</v>
      </c>
      <c r="CF147" s="59"/>
      <c r="CG147" t="s" s="247">
        <v>601</v>
      </c>
      <c r="CH147" s="59"/>
      <c r="CI147" s="59"/>
      <c r="CJ147" s="59"/>
      <c r="CK147" s="59"/>
      <c r="CL147" s="59"/>
    </row>
    <row r="148" ht="26.1" customHeight="1">
      <c r="A148" s="56"/>
      <c r="B148" s="113"/>
      <c r="C148" s="58"/>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t="s" s="303">
        <v>337</v>
      </c>
      <c r="AI148" s="299">
        <v>10</v>
      </c>
      <c r="AJ148" s="511">
        <f t="shared" si="119" ref="AJ148:AS149">(200/10)/172.42</f>
        <v>0.115995824150331</v>
      </c>
      <c r="AK148" t="s" s="303">
        <v>442</v>
      </c>
      <c r="AL148" s="345">
        <v>0.03</v>
      </c>
      <c r="AM148" s="299">
        <v>7</v>
      </c>
      <c r="AN148" s="299">
        <v>24</v>
      </c>
      <c r="AO148" s="59"/>
      <c r="AP148" s="59"/>
      <c r="AQ148" t="s" s="303">
        <v>337</v>
      </c>
      <c r="AR148" s="299">
        <v>5</v>
      </c>
      <c r="AS148" s="511">
        <f t="shared" si="119"/>
        <v>0.115995824150331</v>
      </c>
      <c r="AT148" t="s" s="303">
        <v>442</v>
      </c>
      <c r="AU148" s="345">
        <v>0.03</v>
      </c>
      <c r="AV148" s="299">
        <v>7</v>
      </c>
      <c r="AW148" s="299">
        <v>24</v>
      </c>
      <c r="AX148" s="59"/>
      <c r="AY148" s="59"/>
      <c r="AZ148" s="59"/>
      <c r="BA148" s="59"/>
      <c r="BB148" s="59"/>
      <c r="BC148" s="59"/>
      <c r="BD148" s="59"/>
      <c r="BE148" s="59"/>
      <c r="BF148" s="59"/>
      <c r="BG148" s="302"/>
      <c r="BH148" s="59"/>
      <c r="BI148" s="59"/>
      <c r="BJ148" s="59"/>
      <c r="BK148" s="59"/>
      <c r="BL148" s="59"/>
      <c r="BM148" s="59"/>
      <c r="BN148" s="59"/>
      <c r="BO148" s="59"/>
      <c r="BP148" s="59"/>
      <c r="BQ148" s="59"/>
      <c r="BR148" s="59"/>
      <c r="BS148" s="59"/>
      <c r="BT148" s="59"/>
      <c r="BU148" s="59"/>
      <c r="BV148" s="59"/>
      <c r="BW148" s="59"/>
      <c r="BX148" t="s" s="303">
        <v>210</v>
      </c>
      <c r="BY148" s="299">
        <v>80</v>
      </c>
      <c r="BZ148" s="489">
        <f>50000/172.42</f>
        <v>289.989560375826</v>
      </c>
      <c r="CA148" s="490">
        <v>68</v>
      </c>
      <c r="CB148" t="s" s="247">
        <v>599</v>
      </c>
      <c r="CC148" s="490"/>
      <c r="CD148" s="299">
        <v>5</v>
      </c>
      <c r="CE148" s="299">
        <v>2</v>
      </c>
      <c r="CF148" s="59"/>
      <c r="CG148" t="s" s="303">
        <v>602</v>
      </c>
      <c r="CH148" s="59"/>
      <c r="CI148" s="59"/>
      <c r="CJ148" s="59"/>
      <c r="CK148" s="59"/>
      <c r="CL148" s="59"/>
    </row>
    <row r="149" ht="48.75" customHeight="1">
      <c r="A149" s="56"/>
      <c r="B149" s="113"/>
      <c r="C149" s="58"/>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t="s" s="303">
        <v>210</v>
      </c>
      <c r="AI149" s="299">
        <v>30</v>
      </c>
      <c r="AJ149" s="509">
        <f t="shared" si="119"/>
        <v>0.115995824150331</v>
      </c>
      <c r="AK149" t="s" s="512">
        <v>442</v>
      </c>
      <c r="AL149" s="513">
        <v>0.03</v>
      </c>
      <c r="AM149" s="299">
        <v>7</v>
      </c>
      <c r="AN149" s="299">
        <v>24</v>
      </c>
      <c r="AO149" s="59"/>
      <c r="AP149" s="59"/>
      <c r="AQ149" t="s" s="303">
        <v>210</v>
      </c>
      <c r="AR149" s="299">
        <v>50</v>
      </c>
      <c r="AS149" s="509">
        <f t="shared" si="119"/>
        <v>0.115995824150331</v>
      </c>
      <c r="AT149" t="s" s="303">
        <v>215</v>
      </c>
      <c r="AU149" s="513">
        <v>0.03</v>
      </c>
      <c r="AV149" s="299">
        <v>7</v>
      </c>
      <c r="AW149" s="299">
        <v>24</v>
      </c>
      <c r="AX149" s="59"/>
      <c r="AY149" s="59"/>
      <c r="AZ149" s="59"/>
      <c r="BA149" s="59"/>
      <c r="BB149" s="59"/>
      <c r="BC149" s="59"/>
      <c r="BD149" s="59"/>
      <c r="BE149" s="59"/>
      <c r="BF149" s="59"/>
      <c r="BG149" s="302"/>
      <c r="BH149" s="59"/>
      <c r="BI149" s="59"/>
      <c r="BJ149" s="59"/>
      <c r="BK149" s="59"/>
      <c r="BL149" s="59"/>
      <c r="BM149" s="59"/>
      <c r="BN149" s="59"/>
      <c r="BO149" s="59"/>
      <c r="BP149" s="59"/>
      <c r="BQ149" s="59"/>
      <c r="BR149" s="59"/>
      <c r="BS149" s="59"/>
      <c r="BT149" s="59"/>
      <c r="BU149" s="59"/>
      <c r="BV149" s="59"/>
      <c r="BW149" s="59"/>
      <c r="BX149" t="s" s="347">
        <v>462</v>
      </c>
      <c r="BY149" t="s" s="354">
        <v>197</v>
      </c>
      <c r="BZ149" s="489">
        <f>200000/172.42</f>
        <v>1159.958241503310</v>
      </c>
      <c r="CA149" s="490">
        <v>273</v>
      </c>
      <c r="CB149" t="s" s="514">
        <v>599</v>
      </c>
      <c r="CC149" s="515"/>
      <c r="CD149" t="s" s="514">
        <v>603</v>
      </c>
      <c r="CE149" s="299">
        <v>2</v>
      </c>
      <c r="CF149" s="59"/>
      <c r="CG149" t="s" s="247">
        <v>604</v>
      </c>
      <c r="CH149" s="59"/>
      <c r="CI149" s="59"/>
      <c r="CJ149" s="59"/>
      <c r="CK149" s="59"/>
      <c r="CL149" s="59"/>
    </row>
    <row r="150" ht="26.1" customHeight="1">
      <c r="A150" s="56"/>
      <c r="B150" s="113"/>
      <c r="C150" s="58"/>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t="s" s="303">
        <v>227</v>
      </c>
      <c r="AI150" s="299">
        <v>10</v>
      </c>
      <c r="AJ150" s="298">
        <v>0</v>
      </c>
      <c r="AK150" s="59"/>
      <c r="AL150" s="125"/>
      <c r="AM150" s="59"/>
      <c r="AN150" s="59"/>
      <c r="AO150" s="59"/>
      <c r="AP150" s="59"/>
      <c r="AQ150" t="s" s="303">
        <v>227</v>
      </c>
      <c r="AR150" s="299">
        <v>3.9</v>
      </c>
      <c r="AS150" s="298">
        <v>0</v>
      </c>
      <c r="AT150" s="59"/>
      <c r="AU150" s="125"/>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355"/>
      <c r="BX150" t="s" s="368">
        <v>211</v>
      </c>
      <c r="BY150" s="372">
        <v>0</v>
      </c>
      <c r="BZ150" s="58"/>
      <c r="CA150" s="125"/>
      <c r="CB150" s="59"/>
      <c r="CC150" s="125"/>
      <c r="CD150" s="59"/>
      <c r="CE150" s="59"/>
      <c r="CF150" s="59"/>
      <c r="CG150" s="59"/>
      <c r="CH150" s="59"/>
      <c r="CI150" s="59"/>
      <c r="CJ150" s="59"/>
      <c r="CK150" s="59"/>
      <c r="CL150" s="59"/>
    </row>
    <row r="151" ht="26.1" customHeight="1">
      <c r="A151" s="119"/>
      <c r="B151" s="114"/>
      <c r="C151" s="63"/>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310"/>
      <c r="AM151" s="64"/>
      <c r="AN151" s="64"/>
      <c r="AO151" s="64"/>
      <c r="AP151" s="64"/>
      <c r="AQ151" s="64"/>
      <c r="AR151" s="64"/>
      <c r="AS151" s="64"/>
      <c r="AT151" s="64"/>
      <c r="AU151" s="310"/>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516"/>
      <c r="BY151" s="516"/>
      <c r="BZ151" s="64"/>
      <c r="CA151" s="311"/>
      <c r="CB151" s="64"/>
      <c r="CC151" s="311"/>
      <c r="CD151" s="64"/>
      <c r="CE151" s="64"/>
      <c r="CF151" s="64"/>
      <c r="CG151" s="64"/>
      <c r="CH151" s="64"/>
      <c r="CI151" s="64"/>
      <c r="CJ151" s="64"/>
      <c r="CK151" s="64"/>
      <c r="CL151" s="64"/>
    </row>
    <row r="152" ht="15" customHeight="1">
      <c r="A152" s="15">
        <v>16</v>
      </c>
      <c r="B152" t="s" s="115">
        <v>43</v>
      </c>
      <c r="C152" t="s" s="17">
        <v>605</v>
      </c>
      <c r="D152" s="165">
        <v>4</v>
      </c>
      <c r="E152" s="165">
        <v>12000</v>
      </c>
      <c r="F152" t="s" s="18">
        <v>606</v>
      </c>
      <c r="G152" t="s" s="18">
        <v>607</v>
      </c>
      <c r="H152" s="165">
        <v>4000</v>
      </c>
      <c r="I152" t="s" s="18">
        <v>606</v>
      </c>
      <c r="J152" t="s" s="18">
        <v>608</v>
      </c>
      <c r="K152" s="167">
        <v>3</v>
      </c>
      <c r="L152" s="167">
        <v>2017</v>
      </c>
      <c r="M152" t="s" s="18">
        <v>609</v>
      </c>
      <c r="N152" s="167">
        <v>45</v>
      </c>
      <c r="O152" s="167">
        <v>2017</v>
      </c>
      <c r="P152" t="s" s="18">
        <v>609</v>
      </c>
      <c r="Q152" s="167">
        <v>65</v>
      </c>
      <c r="R152" s="167">
        <v>2017</v>
      </c>
      <c r="S152" t="s" s="18">
        <v>609</v>
      </c>
      <c r="T152" s="167">
        <v>50</v>
      </c>
      <c r="U152" s="167">
        <v>2017</v>
      </c>
      <c r="V152" t="s" s="18">
        <v>609</v>
      </c>
      <c r="W152" s="167">
        <v>45</v>
      </c>
      <c r="X152" s="167">
        <v>2017</v>
      </c>
      <c r="Y152" t="s" s="18">
        <v>609</v>
      </c>
      <c r="Z152" s="167">
        <v>5</v>
      </c>
      <c r="AA152" s="166">
        <v>2017</v>
      </c>
      <c r="AB152" t="s" s="18">
        <v>609</v>
      </c>
      <c r="AC152" t="s" s="18">
        <v>610</v>
      </c>
      <c r="AD152" t="s" s="18">
        <v>611</v>
      </c>
      <c r="AE152" s="167">
        <v>1000</v>
      </c>
      <c r="AF152" s="167">
        <v>7000</v>
      </c>
      <c r="AG152" s="238">
        <v>0.9</v>
      </c>
      <c r="AH152" t="s" s="171">
        <v>200</v>
      </c>
      <c r="AI152" s="167">
        <v>65</v>
      </c>
      <c r="AJ152" s="172">
        <f t="shared" si="125" ref="AJ152:AS154">20/46.49</f>
        <v>0.430200043020004</v>
      </c>
      <c r="AK152" t="s" s="171">
        <v>215</v>
      </c>
      <c r="AL152" s="197">
        <v>0.19</v>
      </c>
      <c r="AM152" s="166">
        <v>7</v>
      </c>
      <c r="AN152" s="167">
        <v>24</v>
      </c>
      <c r="AO152" t="s" s="171">
        <v>612</v>
      </c>
      <c r="AP152" t="s" s="18">
        <v>613</v>
      </c>
      <c r="AQ152" t="s" s="171">
        <v>200</v>
      </c>
      <c r="AR152" s="167">
        <v>65</v>
      </c>
      <c r="AS152" s="172">
        <f t="shared" si="125"/>
        <v>0.430200043020004</v>
      </c>
      <c r="AT152" t="s" s="171">
        <v>215</v>
      </c>
      <c r="AU152" s="197">
        <v>0.19</v>
      </c>
      <c r="AV152" s="167">
        <v>7</v>
      </c>
      <c r="AW152" s="167">
        <v>24</v>
      </c>
      <c r="AX152" t="s" s="18">
        <v>614</v>
      </c>
      <c r="AY152" t="s" s="171">
        <v>615</v>
      </c>
      <c r="AZ152" s="167">
        <v>1</v>
      </c>
      <c r="BA152" s="167">
        <v>2</v>
      </c>
      <c r="BB152" t="s" s="18">
        <v>374</v>
      </c>
      <c r="BC152" s="167">
        <v>1</v>
      </c>
      <c r="BD152" s="167">
        <v>3</v>
      </c>
      <c r="BE152" s="167">
        <v>1</v>
      </c>
      <c r="BF152" s="167">
        <v>1</v>
      </c>
      <c r="BG152" t="s" s="170">
        <v>616</v>
      </c>
      <c r="BH152" t="s" s="171">
        <v>617</v>
      </c>
      <c r="BI152" s="313">
        <v>2</v>
      </c>
      <c r="BJ152" t="s" s="18">
        <v>374</v>
      </c>
      <c r="BK152" s="167">
        <v>1</v>
      </c>
      <c r="BL152" t="s" s="171">
        <v>618</v>
      </c>
      <c r="BM152" t="s" s="171">
        <v>200</v>
      </c>
      <c r="BN152" s="167">
        <v>5</v>
      </c>
      <c r="BO152" t="s" s="18">
        <v>619</v>
      </c>
      <c r="BP152" t="s" s="18">
        <v>620</v>
      </c>
      <c r="BQ152" t="s" s="171">
        <v>200</v>
      </c>
      <c r="BR152" s="167">
        <v>5</v>
      </c>
      <c r="BS152" s="168"/>
      <c r="BT152" t="s" s="18">
        <v>621</v>
      </c>
      <c r="BU152" t="s" s="18">
        <v>622</v>
      </c>
      <c r="BV152" t="s" s="170">
        <v>623</v>
      </c>
      <c r="BW152" t="s" s="170">
        <v>624</v>
      </c>
      <c r="BX152" t="s" s="171">
        <v>337</v>
      </c>
      <c r="BY152" s="238">
        <v>0.01</v>
      </c>
      <c r="BZ152" s="172">
        <f>20000/46.49</f>
        <v>430.200043020004</v>
      </c>
      <c r="CA152" s="176">
        <v>189</v>
      </c>
      <c r="CB152" s="167">
        <f>750/46.49</f>
        <v>16.1325016132502</v>
      </c>
      <c r="CC152" s="176">
        <v>7</v>
      </c>
      <c r="CD152" s="167">
        <v>1</v>
      </c>
      <c r="CE152" s="167">
        <v>2</v>
      </c>
      <c r="CF152" s="168"/>
      <c r="CG152" s="167">
        <v>1</v>
      </c>
      <c r="CH152" t="s" s="18">
        <v>625</v>
      </c>
      <c r="CI152" t="s" s="18">
        <v>626</v>
      </c>
      <c r="CJ152" s="166">
        <v>4</v>
      </c>
      <c r="CK152" t="s" s="171">
        <v>200</v>
      </c>
      <c r="CL152" t="s" s="18">
        <v>627</v>
      </c>
    </row>
    <row r="153" ht="15" customHeight="1">
      <c r="A153" s="19"/>
      <c r="B153" s="120"/>
      <c r="C153" s="190"/>
      <c r="D153" s="179"/>
      <c r="E153" s="179"/>
      <c r="F153" s="179"/>
      <c r="G153" s="179"/>
      <c r="H153" s="179"/>
      <c r="I153" s="179"/>
      <c r="J153" s="179"/>
      <c r="K153" s="180"/>
      <c r="L153" s="180"/>
      <c r="M153" s="180"/>
      <c r="N153" s="34"/>
      <c r="O153" s="34"/>
      <c r="P153" s="34"/>
      <c r="Q153" s="34"/>
      <c r="R153" s="34"/>
      <c r="S153" s="34"/>
      <c r="T153" s="34"/>
      <c r="U153" s="34"/>
      <c r="V153" s="34"/>
      <c r="W153" s="34"/>
      <c r="X153" s="34"/>
      <c r="Y153" s="34"/>
      <c r="Z153" s="34"/>
      <c r="AA153" s="34"/>
      <c r="AB153" s="34"/>
      <c r="AC153" s="34"/>
      <c r="AD153" s="34"/>
      <c r="AE153" s="34"/>
      <c r="AF153" s="34"/>
      <c r="AG153" s="34"/>
      <c r="AH153" t="s" s="182">
        <v>230</v>
      </c>
      <c r="AI153" s="183">
        <v>20</v>
      </c>
      <c r="AJ153" s="202">
        <f t="shared" si="125"/>
        <v>0.430200043020004</v>
      </c>
      <c r="AK153" t="s" s="182">
        <v>215</v>
      </c>
      <c r="AL153" s="181">
        <v>0.19</v>
      </c>
      <c r="AM153" s="183">
        <v>7</v>
      </c>
      <c r="AN153" s="183">
        <v>24</v>
      </c>
      <c r="AO153" s="34"/>
      <c r="AP153" s="34"/>
      <c r="AQ153" t="s" s="182">
        <v>230</v>
      </c>
      <c r="AR153" s="183">
        <v>20</v>
      </c>
      <c r="AS153" s="202">
        <f t="shared" si="125"/>
        <v>0.430200043020004</v>
      </c>
      <c r="AT153" t="s" s="182">
        <v>215</v>
      </c>
      <c r="AU153" s="181">
        <v>0.19</v>
      </c>
      <c r="AV153" s="208">
        <v>7</v>
      </c>
      <c r="AW153" s="208">
        <v>24</v>
      </c>
      <c r="AX153" s="34"/>
      <c r="AY153" s="34"/>
      <c r="AZ153" s="34"/>
      <c r="BA153" s="34"/>
      <c r="BB153" s="34"/>
      <c r="BC153" s="34"/>
      <c r="BD153" s="34"/>
      <c r="BE153" s="34"/>
      <c r="BF153" s="34"/>
      <c r="BG153" s="211"/>
      <c r="BH153" s="34"/>
      <c r="BI153" s="316"/>
      <c r="BJ153" s="22"/>
      <c r="BK153" s="22"/>
      <c r="BL153" s="34"/>
      <c r="BM153" t="s" s="182">
        <v>230</v>
      </c>
      <c r="BN153" s="183">
        <v>10</v>
      </c>
      <c r="BO153" s="34"/>
      <c r="BP153" s="34"/>
      <c r="BQ153" t="s" s="182">
        <v>230</v>
      </c>
      <c r="BR153" s="183">
        <v>85</v>
      </c>
      <c r="BS153" t="s" s="182">
        <v>628</v>
      </c>
      <c r="BT153" s="34"/>
      <c r="BU153" s="34"/>
      <c r="BV153" s="211"/>
      <c r="BW153" s="211"/>
      <c r="BX153" t="s" s="182">
        <v>629</v>
      </c>
      <c r="BY153" s="517">
        <v>0.99</v>
      </c>
      <c r="BZ153" s="210">
        <f>12000/46.49</f>
        <v>258.120025812003</v>
      </c>
      <c r="CA153" s="212">
        <v>114</v>
      </c>
      <c r="CB153" t="s" s="182">
        <v>630</v>
      </c>
      <c r="CC153" t="s" s="182">
        <v>631</v>
      </c>
      <c r="CD153" t="s" s="209">
        <v>632</v>
      </c>
      <c r="CE153" s="183">
        <v>2</v>
      </c>
      <c r="CF153" s="34"/>
      <c r="CG153" s="183">
        <v>1</v>
      </c>
      <c r="CH153" s="34"/>
      <c r="CI153" s="34"/>
      <c r="CJ153" s="34"/>
      <c r="CK153" s="34"/>
      <c r="CL153" s="34"/>
    </row>
    <row r="154" ht="15" customHeight="1">
      <c r="A154" s="19"/>
      <c r="B154" s="120"/>
      <c r="C154" s="190"/>
      <c r="D154" s="179"/>
      <c r="E154" s="179"/>
      <c r="F154" s="179"/>
      <c r="G154" s="179"/>
      <c r="H154" s="179"/>
      <c r="I154" s="179"/>
      <c r="J154" s="179"/>
      <c r="K154" s="180"/>
      <c r="L154" s="180"/>
      <c r="M154" s="180"/>
      <c r="N154" s="34"/>
      <c r="O154" s="34"/>
      <c r="P154" s="34"/>
      <c r="Q154" s="34"/>
      <c r="R154" s="34"/>
      <c r="S154" s="34"/>
      <c r="T154" s="34"/>
      <c r="U154" s="34"/>
      <c r="V154" s="34"/>
      <c r="W154" s="34"/>
      <c r="X154" s="34"/>
      <c r="Y154" s="34"/>
      <c r="Z154" s="34"/>
      <c r="AA154" s="34"/>
      <c r="AB154" s="34"/>
      <c r="AC154" s="34"/>
      <c r="AD154" s="34"/>
      <c r="AE154" s="34"/>
      <c r="AF154" s="34"/>
      <c r="AG154" s="34"/>
      <c r="AH154" t="s" s="182">
        <v>229</v>
      </c>
      <c r="AI154" s="183">
        <v>15</v>
      </c>
      <c r="AJ154" s="202">
        <f t="shared" si="125"/>
        <v>0.430200043020004</v>
      </c>
      <c r="AK154" t="s" s="182">
        <v>215</v>
      </c>
      <c r="AL154" t="s" s="182">
        <v>633</v>
      </c>
      <c r="AM154" s="183">
        <v>7</v>
      </c>
      <c r="AN154" s="183">
        <v>24</v>
      </c>
      <c r="AO154" s="34"/>
      <c r="AP154" s="34"/>
      <c r="AQ154" t="s" s="182">
        <v>229</v>
      </c>
      <c r="AR154" s="183">
        <v>15</v>
      </c>
      <c r="AS154" s="202">
        <f t="shared" si="125"/>
        <v>0.430200043020004</v>
      </c>
      <c r="AT154" t="s" s="182">
        <v>215</v>
      </c>
      <c r="AU154" s="181">
        <v>0.19</v>
      </c>
      <c r="AV154" s="183">
        <v>7</v>
      </c>
      <c r="AW154" s="183">
        <v>24</v>
      </c>
      <c r="AX154" s="34"/>
      <c r="AY154" s="34"/>
      <c r="AZ154" s="34"/>
      <c r="BA154" s="34"/>
      <c r="BB154" s="34"/>
      <c r="BC154" s="34"/>
      <c r="BD154" s="34"/>
      <c r="BE154" s="34"/>
      <c r="BF154" s="34"/>
      <c r="BG154" s="211"/>
      <c r="BH154" s="34"/>
      <c r="BI154" s="211"/>
      <c r="BJ154" s="34"/>
      <c r="BK154" s="34"/>
      <c r="BL154" s="34"/>
      <c r="BM154" t="s" s="182">
        <v>634</v>
      </c>
      <c r="BN154" s="183">
        <v>85</v>
      </c>
      <c r="BO154" s="34"/>
      <c r="BP154" s="34"/>
      <c r="BQ154" t="s" s="182">
        <v>229</v>
      </c>
      <c r="BR154" s="183">
        <v>10</v>
      </c>
      <c r="BS154" t="s" s="182">
        <v>635</v>
      </c>
      <c r="BT154" s="34"/>
      <c r="BU154" s="34"/>
      <c r="BV154" s="211"/>
      <c r="BW154" s="211"/>
      <c r="BX154" s="34"/>
      <c r="BY154" s="34"/>
      <c r="BZ154" s="34"/>
      <c r="CA154" s="187"/>
      <c r="CB154" s="183">
        <f>12500/46.49</f>
        <v>268.875026887503</v>
      </c>
      <c r="CC154" s="187"/>
      <c r="CD154" s="34"/>
      <c r="CE154" s="34"/>
      <c r="CF154" s="34"/>
      <c r="CG154" s="34"/>
      <c r="CH154" s="34"/>
      <c r="CI154" s="34"/>
      <c r="CJ154" s="34"/>
      <c r="CK154" s="34"/>
      <c r="CL154" s="34"/>
    </row>
    <row r="155" ht="15" customHeight="1">
      <c r="A155" s="19"/>
      <c r="B155" s="120"/>
      <c r="C155" s="190"/>
      <c r="D155" s="179"/>
      <c r="E155" s="179"/>
      <c r="F155" s="179"/>
      <c r="G155" s="179"/>
      <c r="H155" s="179"/>
      <c r="I155" s="179"/>
      <c r="J155" s="179"/>
      <c r="K155" s="180"/>
      <c r="L155" s="180"/>
      <c r="M155" s="180"/>
      <c r="N155" s="34"/>
      <c r="O155" s="34"/>
      <c r="P155" s="34"/>
      <c r="Q155" s="34"/>
      <c r="R155" s="34"/>
      <c r="S155" s="34"/>
      <c r="T155" s="34"/>
      <c r="U155" s="34"/>
      <c r="V155" s="34"/>
      <c r="W155" s="34"/>
      <c r="X155" s="34"/>
      <c r="Y155" s="34"/>
      <c r="Z155" s="34"/>
      <c r="AA155" s="34"/>
      <c r="AB155" s="34"/>
      <c r="AC155" s="34"/>
      <c r="AD155" s="34"/>
      <c r="AE155" s="34"/>
      <c r="AF155" s="34"/>
      <c r="AG155" s="34"/>
      <c r="AH155" s="59"/>
      <c r="AI155" s="59"/>
      <c r="AJ155" s="22"/>
      <c r="AK155" s="22"/>
      <c r="AL155" t="s" s="209">
        <v>636</v>
      </c>
      <c r="AM155" s="22"/>
      <c r="AN155" s="22"/>
      <c r="AO155" s="34"/>
      <c r="AP155" s="34"/>
      <c r="AQ155" t="s" s="182">
        <v>262</v>
      </c>
      <c r="AR155" t="s" s="182">
        <v>637</v>
      </c>
      <c r="AS155" s="202">
        <v>0</v>
      </c>
      <c r="AT155" s="34"/>
      <c r="AU155" s="181"/>
      <c r="AV155" s="183">
        <v>7</v>
      </c>
      <c r="AW155" s="183">
        <v>24</v>
      </c>
      <c r="AX155" s="34"/>
      <c r="AY155" s="34"/>
      <c r="AZ155" s="34"/>
      <c r="BA155" s="34"/>
      <c r="BB155" s="34"/>
      <c r="BC155" s="34"/>
      <c r="BD155" s="34"/>
      <c r="BE155" s="34"/>
      <c r="BF155" s="34"/>
      <c r="BG155" s="211"/>
      <c r="BH155" s="34"/>
      <c r="BI155" s="34"/>
      <c r="BJ155" s="34"/>
      <c r="BK155" s="34"/>
      <c r="BL155" s="34"/>
      <c r="BM155" s="316"/>
      <c r="BN155" s="316"/>
      <c r="BO155" s="34"/>
      <c r="BP155" s="34"/>
      <c r="BQ155" s="34"/>
      <c r="BR155" s="34"/>
      <c r="BS155" s="34"/>
      <c r="BT155" s="34"/>
      <c r="BU155" s="34"/>
      <c r="BV155" s="211"/>
      <c r="BW155" s="34"/>
      <c r="BX155" s="34"/>
      <c r="BY155" s="34"/>
      <c r="BZ155" s="34"/>
      <c r="CA155" s="187"/>
      <c r="CB155" s="183">
        <f>22500/46.49</f>
        <v>483.975048397505</v>
      </c>
      <c r="CC155" s="187"/>
      <c r="CD155" s="34"/>
      <c r="CE155" s="34"/>
      <c r="CF155" s="34"/>
      <c r="CG155" s="34"/>
      <c r="CH155" s="34"/>
      <c r="CI155" s="34"/>
      <c r="CJ155" s="34"/>
      <c r="CK155" s="34"/>
      <c r="CL155" s="34"/>
    </row>
    <row r="156" ht="15" customHeight="1">
      <c r="A156" s="19"/>
      <c r="B156" s="120"/>
      <c r="C156" s="190"/>
      <c r="D156" s="179"/>
      <c r="E156" s="179"/>
      <c r="F156" s="179"/>
      <c r="G156" s="179"/>
      <c r="H156" s="179"/>
      <c r="I156" s="179"/>
      <c r="J156" s="179"/>
      <c r="K156" s="180"/>
      <c r="L156" s="180"/>
      <c r="M156" s="180"/>
      <c r="N156" s="34"/>
      <c r="O156" s="34"/>
      <c r="P156" s="34"/>
      <c r="Q156" s="34"/>
      <c r="R156" s="34"/>
      <c r="S156" s="34"/>
      <c r="T156" s="34"/>
      <c r="U156" s="34"/>
      <c r="V156" s="34"/>
      <c r="W156" s="34"/>
      <c r="X156" s="34"/>
      <c r="Y156" s="34"/>
      <c r="Z156" s="34"/>
      <c r="AA156" s="34"/>
      <c r="AB156" s="34"/>
      <c r="AC156" s="34"/>
      <c r="AD156" s="34"/>
      <c r="AE156" s="34"/>
      <c r="AF156" s="34"/>
      <c r="AG156" s="34"/>
      <c r="AH156" t="s" s="182">
        <v>265</v>
      </c>
      <c r="AI156" t="s" s="182">
        <v>638</v>
      </c>
      <c r="AJ156" s="34"/>
      <c r="AK156" s="34"/>
      <c r="AL156" s="181"/>
      <c r="AM156" s="34"/>
      <c r="AN156" s="34"/>
      <c r="AO156" s="34"/>
      <c r="AP156" s="34"/>
      <c r="AQ156" s="34"/>
      <c r="AR156" s="22"/>
      <c r="AS156" s="34"/>
      <c r="AT156" s="34"/>
      <c r="AU156" s="181"/>
      <c r="AV156" s="34"/>
      <c r="AW156" s="34"/>
      <c r="AX156" s="34"/>
      <c r="AY156" s="34"/>
      <c r="AZ156" s="34"/>
      <c r="BA156" s="34"/>
      <c r="BB156" s="34"/>
      <c r="BC156" s="34"/>
      <c r="BD156" s="34"/>
      <c r="BE156" s="34"/>
      <c r="BF156" s="34"/>
      <c r="BG156" s="34"/>
      <c r="BH156" s="34"/>
      <c r="BI156" s="34"/>
      <c r="BJ156" s="34"/>
      <c r="BK156" s="34"/>
      <c r="BL156" s="34"/>
      <c r="BM156" s="316"/>
      <c r="BN156" s="316"/>
      <c r="BO156" s="34"/>
      <c r="BP156" s="34"/>
      <c r="BQ156" s="34"/>
      <c r="BR156" s="34"/>
      <c r="BS156" s="34"/>
      <c r="BT156" s="34"/>
      <c r="BU156" s="34"/>
      <c r="BV156" s="34"/>
      <c r="BW156" s="34"/>
      <c r="BX156" s="34"/>
      <c r="BY156" s="34"/>
      <c r="BZ156" s="34"/>
      <c r="CA156" s="187"/>
      <c r="CB156" s="34"/>
      <c r="CC156" s="187"/>
      <c r="CD156" s="34"/>
      <c r="CE156" s="34"/>
      <c r="CF156" s="34"/>
      <c r="CG156" s="34"/>
      <c r="CH156" s="34"/>
      <c r="CI156" s="34"/>
      <c r="CJ156" s="34"/>
      <c r="CK156" s="34"/>
      <c r="CL156" s="34"/>
    </row>
    <row r="157" ht="15" customHeight="1">
      <c r="A157" s="19"/>
      <c r="B157" s="120"/>
      <c r="C157" s="190"/>
      <c r="D157" s="179"/>
      <c r="E157" s="179"/>
      <c r="F157" s="179"/>
      <c r="G157" s="179"/>
      <c r="H157" s="179"/>
      <c r="I157" s="179"/>
      <c r="J157" s="179"/>
      <c r="K157" s="180"/>
      <c r="L157" s="180"/>
      <c r="M157" s="180"/>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181"/>
      <c r="AM157" s="34"/>
      <c r="AN157" s="34"/>
      <c r="AO157" s="34"/>
      <c r="AP157" s="34"/>
      <c r="AQ157" t="s" s="182">
        <v>639</v>
      </c>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518"/>
      <c r="BN157" s="518"/>
      <c r="BO157" s="34"/>
      <c r="BP157" s="34"/>
      <c r="BQ157" s="34"/>
      <c r="BR157" s="34"/>
      <c r="BS157" s="34"/>
      <c r="BT157" s="34"/>
      <c r="BU157" s="34"/>
      <c r="BV157" s="34"/>
      <c r="BW157" s="34"/>
      <c r="BX157" s="34"/>
      <c r="BY157" s="34"/>
      <c r="BZ157" s="34"/>
      <c r="CA157" s="187"/>
      <c r="CB157" s="34"/>
      <c r="CC157" s="187"/>
      <c r="CD157" s="34"/>
      <c r="CE157" s="34"/>
      <c r="CF157" s="34"/>
      <c r="CG157" s="34"/>
      <c r="CH157" s="34"/>
      <c r="CI157" s="34"/>
      <c r="CJ157" s="34"/>
      <c r="CK157" s="34"/>
      <c r="CL157" s="34"/>
    </row>
    <row r="158" ht="13.75" customHeight="1">
      <c r="A158" s="19"/>
      <c r="B158" s="120"/>
      <c r="C158" s="190"/>
      <c r="D158" s="179"/>
      <c r="E158" s="179"/>
      <c r="F158" s="179"/>
      <c r="G158" s="179"/>
      <c r="H158" s="179"/>
      <c r="I158" s="179"/>
      <c r="J158" s="179"/>
      <c r="K158" s="180"/>
      <c r="L158" s="180"/>
      <c r="M158" s="180"/>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181"/>
      <c r="AM158" s="34"/>
      <c r="AN158" s="34"/>
      <c r="AO158" s="34"/>
      <c r="AP158" s="34"/>
      <c r="AQ158" s="34"/>
      <c r="AR158" s="34"/>
      <c r="AS158" s="34"/>
      <c r="AT158" s="34"/>
      <c r="AU158" s="181"/>
      <c r="AV158" s="34"/>
      <c r="AW158" s="34"/>
      <c r="AX158" s="34"/>
      <c r="AY158" s="34"/>
      <c r="AZ158" s="34"/>
      <c r="BA158" s="34"/>
      <c r="BB158" s="34"/>
      <c r="BC158" s="34"/>
      <c r="BD158" s="34"/>
      <c r="BE158" s="34"/>
      <c r="BF158" s="34"/>
      <c r="BG158" s="34"/>
      <c r="BH158" s="34"/>
      <c r="BI158" s="34"/>
      <c r="BJ158" s="34"/>
      <c r="BK158" s="34"/>
      <c r="BL158" s="34"/>
      <c r="BM158" s="409"/>
      <c r="BN158" s="409"/>
      <c r="BO158" s="34"/>
      <c r="BP158" s="34"/>
      <c r="BQ158" s="34"/>
      <c r="BR158" s="34"/>
      <c r="BS158" s="34"/>
      <c r="BT158" s="34"/>
      <c r="BU158" s="34"/>
      <c r="BV158" s="34"/>
      <c r="BW158" s="34"/>
      <c r="BX158" s="34"/>
      <c r="BY158" s="34"/>
      <c r="BZ158" s="34"/>
      <c r="CA158" s="187"/>
      <c r="CB158" s="34"/>
      <c r="CC158" s="187"/>
      <c r="CD158" s="34"/>
      <c r="CE158" s="34"/>
      <c r="CF158" s="34"/>
      <c r="CG158" s="34"/>
      <c r="CH158" s="34"/>
      <c r="CI158" s="34"/>
      <c r="CJ158" s="34"/>
      <c r="CK158" s="34"/>
      <c r="CL158" s="34"/>
    </row>
    <row r="159" ht="13.75" customHeight="1">
      <c r="A159" s="19"/>
      <c r="B159" s="120"/>
      <c r="C159" s="190"/>
      <c r="D159" s="179"/>
      <c r="E159" s="179"/>
      <c r="F159" s="179"/>
      <c r="G159" s="179"/>
      <c r="H159" s="179"/>
      <c r="I159" s="179"/>
      <c r="J159" s="179"/>
      <c r="K159" s="180"/>
      <c r="L159" s="180"/>
      <c r="M159" s="180"/>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181"/>
      <c r="AM159" s="34"/>
      <c r="AN159" s="34"/>
      <c r="AO159" s="34"/>
      <c r="AP159" s="34"/>
      <c r="AQ159" s="34"/>
      <c r="AR159" s="34"/>
      <c r="AS159" s="34"/>
      <c r="AT159" s="34"/>
      <c r="AU159" s="181"/>
      <c r="AV159" s="34"/>
      <c r="AW159" s="34"/>
      <c r="AX159" s="34"/>
      <c r="AY159" s="34"/>
      <c r="AZ159" s="34"/>
      <c r="BA159" s="34"/>
      <c r="BB159" s="34"/>
      <c r="BC159" s="34"/>
      <c r="BD159" s="34"/>
      <c r="BE159" s="34"/>
      <c r="BF159" s="34"/>
      <c r="BG159" s="34"/>
      <c r="BH159" s="34"/>
      <c r="BI159" s="34"/>
      <c r="BJ159" s="34"/>
      <c r="BK159" s="34"/>
      <c r="BL159" s="34"/>
      <c r="BM159" s="316"/>
      <c r="BN159" s="316"/>
      <c r="BO159" s="34"/>
      <c r="BP159" s="34"/>
      <c r="BQ159" s="34"/>
      <c r="BR159" s="34"/>
      <c r="BS159" s="34"/>
      <c r="BT159" s="34"/>
      <c r="BU159" s="34"/>
      <c r="BV159" s="34"/>
      <c r="BW159" s="34"/>
      <c r="BX159" s="34"/>
      <c r="BY159" s="34"/>
      <c r="BZ159" s="34"/>
      <c r="CA159" s="187"/>
      <c r="CB159" s="34"/>
      <c r="CC159" s="187"/>
      <c r="CD159" s="34"/>
      <c r="CE159" s="34"/>
      <c r="CF159" s="34"/>
      <c r="CG159" s="34"/>
      <c r="CH159" s="34"/>
      <c r="CI159" s="34"/>
      <c r="CJ159" s="34"/>
      <c r="CK159" s="34"/>
      <c r="CL159" s="34"/>
    </row>
    <row r="160" ht="13.75" customHeight="1">
      <c r="A160" s="19"/>
      <c r="B160" s="120"/>
      <c r="C160" s="190"/>
      <c r="D160" s="179"/>
      <c r="E160" s="179"/>
      <c r="F160" s="179"/>
      <c r="G160" s="179"/>
      <c r="H160" s="179"/>
      <c r="I160" s="179"/>
      <c r="J160" s="179"/>
      <c r="K160" s="180"/>
      <c r="L160" s="180"/>
      <c r="M160" s="180"/>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181"/>
      <c r="AM160" s="34"/>
      <c r="AN160" s="34"/>
      <c r="AO160" s="34"/>
      <c r="AP160" s="34"/>
      <c r="AQ160" s="34"/>
      <c r="AR160" s="34"/>
      <c r="AS160" s="34"/>
      <c r="AT160" s="34"/>
      <c r="AU160" s="181"/>
      <c r="AV160" s="34"/>
      <c r="AW160" s="34"/>
      <c r="AX160" s="34"/>
      <c r="AY160" s="34"/>
      <c r="AZ160" s="34"/>
      <c r="BA160" s="34"/>
      <c r="BB160" s="34"/>
      <c r="BC160" s="34"/>
      <c r="BD160" s="34"/>
      <c r="BE160" s="34"/>
      <c r="BF160" s="34"/>
      <c r="BG160" s="34"/>
      <c r="BH160" s="34"/>
      <c r="BI160" s="34"/>
      <c r="BJ160" s="34"/>
      <c r="BK160" s="34"/>
      <c r="BL160" s="34"/>
      <c r="BM160" s="316"/>
      <c r="BN160" s="316"/>
      <c r="BO160" s="34"/>
      <c r="BP160" s="34"/>
      <c r="BQ160" s="34"/>
      <c r="BR160" s="34"/>
      <c r="BS160" s="34"/>
      <c r="BT160" s="34"/>
      <c r="BU160" s="34"/>
      <c r="BV160" s="34"/>
      <c r="BW160" s="34"/>
      <c r="BX160" s="34"/>
      <c r="BY160" s="34"/>
      <c r="BZ160" s="34"/>
      <c r="CA160" s="187"/>
      <c r="CB160" s="34"/>
      <c r="CC160" s="187"/>
      <c r="CD160" s="34"/>
      <c r="CE160" s="34"/>
      <c r="CF160" s="34"/>
      <c r="CG160" s="34"/>
      <c r="CH160" s="34"/>
      <c r="CI160" s="34"/>
      <c r="CJ160" s="34"/>
      <c r="CK160" s="34"/>
      <c r="CL160" s="34"/>
    </row>
    <row r="161" ht="13.75" customHeight="1">
      <c r="A161" s="19"/>
      <c r="B161" s="120"/>
      <c r="C161" s="190"/>
      <c r="D161" s="179"/>
      <c r="E161" s="179"/>
      <c r="F161" s="179"/>
      <c r="G161" s="179"/>
      <c r="H161" s="179"/>
      <c r="I161" s="179"/>
      <c r="J161" s="179"/>
      <c r="K161" s="180"/>
      <c r="L161" s="180"/>
      <c r="M161" s="180"/>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181"/>
      <c r="AM161" s="34"/>
      <c r="AN161" s="34"/>
      <c r="AO161" s="34"/>
      <c r="AP161" s="34"/>
      <c r="AQ161" s="34"/>
      <c r="AR161" s="34"/>
      <c r="AS161" s="34"/>
      <c r="AT161" s="34"/>
      <c r="AU161" s="181"/>
      <c r="AV161" s="34"/>
      <c r="AW161" s="34"/>
      <c r="AX161" s="34"/>
      <c r="AY161" s="34"/>
      <c r="AZ161" s="34"/>
      <c r="BA161" s="34"/>
      <c r="BB161" s="34"/>
      <c r="BC161" s="34"/>
      <c r="BD161" s="34"/>
      <c r="BE161" s="34"/>
      <c r="BF161" s="34"/>
      <c r="BG161" s="34"/>
      <c r="BH161" s="34"/>
      <c r="BI161" s="34"/>
      <c r="BJ161" s="34"/>
      <c r="BK161" s="34"/>
      <c r="BL161" s="34"/>
      <c r="BM161" s="316"/>
      <c r="BN161" s="316"/>
      <c r="BO161" s="34"/>
      <c r="BP161" s="34"/>
      <c r="BQ161" s="34"/>
      <c r="BR161" s="34"/>
      <c r="BS161" s="34"/>
      <c r="BT161" s="34"/>
      <c r="BU161" s="34"/>
      <c r="BV161" s="34"/>
      <c r="BW161" s="34"/>
      <c r="BX161" s="34"/>
      <c r="BY161" s="34"/>
      <c r="BZ161" s="34"/>
      <c r="CA161" s="187"/>
      <c r="CB161" s="34"/>
      <c r="CC161" s="187"/>
      <c r="CD161" s="34"/>
      <c r="CE161" s="34"/>
      <c r="CF161" s="34"/>
      <c r="CG161" s="34"/>
      <c r="CH161" s="34"/>
      <c r="CI161" s="34"/>
      <c r="CJ161" s="34"/>
      <c r="CK161" s="34"/>
      <c r="CL161" s="34"/>
    </row>
    <row r="162" ht="13.75" customHeight="1">
      <c r="A162" s="19"/>
      <c r="B162" s="120"/>
      <c r="C162" s="190"/>
      <c r="D162" s="179"/>
      <c r="E162" s="179"/>
      <c r="F162" s="179"/>
      <c r="G162" s="179"/>
      <c r="H162" s="179"/>
      <c r="I162" s="179"/>
      <c r="J162" s="179"/>
      <c r="K162" s="180"/>
      <c r="L162" s="180"/>
      <c r="M162" s="180"/>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181"/>
      <c r="AM162" s="34"/>
      <c r="AN162" s="34"/>
      <c r="AO162" s="34"/>
      <c r="AP162" s="34"/>
      <c r="AQ162" s="34"/>
      <c r="AR162" s="34"/>
      <c r="AS162" s="34"/>
      <c r="AT162" s="34"/>
      <c r="AU162" s="181"/>
      <c r="AV162" s="34"/>
      <c r="AW162" s="34"/>
      <c r="AX162" s="34"/>
      <c r="AY162" s="34"/>
      <c r="AZ162" s="34"/>
      <c r="BA162" s="34"/>
      <c r="BB162" s="34"/>
      <c r="BC162" s="34"/>
      <c r="BD162" s="34"/>
      <c r="BE162" s="34"/>
      <c r="BF162" s="34"/>
      <c r="BG162" s="34"/>
      <c r="BH162" s="34"/>
      <c r="BI162" s="34"/>
      <c r="BJ162" s="34"/>
      <c r="BK162" s="34"/>
      <c r="BL162" s="34"/>
      <c r="BM162" s="316"/>
      <c r="BN162" s="316"/>
      <c r="BO162" s="34"/>
      <c r="BP162" s="34"/>
      <c r="BQ162" s="34"/>
      <c r="BR162" s="34"/>
      <c r="BS162" s="34"/>
      <c r="BT162" s="34"/>
      <c r="BU162" s="34"/>
      <c r="BV162" s="34"/>
      <c r="BW162" s="34"/>
      <c r="BX162" s="34"/>
      <c r="BY162" s="34"/>
      <c r="BZ162" s="34"/>
      <c r="CA162" s="187"/>
      <c r="CB162" s="34"/>
      <c r="CC162" s="187"/>
      <c r="CD162" s="34"/>
      <c r="CE162" s="34"/>
      <c r="CF162" s="34"/>
      <c r="CG162" s="34"/>
      <c r="CH162" s="34"/>
      <c r="CI162" s="34"/>
      <c r="CJ162" s="34"/>
      <c r="CK162" s="34"/>
      <c r="CL162" s="34"/>
    </row>
    <row r="163" ht="13.55" customHeight="1">
      <c r="A163" s="23"/>
      <c r="B163" s="114"/>
      <c r="C163" s="63"/>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310"/>
      <c r="AM163" s="64"/>
      <c r="AN163" s="64"/>
      <c r="AO163" s="64"/>
      <c r="AP163" s="64"/>
      <c r="AQ163" s="64"/>
      <c r="AR163" s="64"/>
      <c r="AS163" s="64"/>
      <c r="AT163" s="64"/>
      <c r="AU163" s="310"/>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311"/>
      <c r="CB163" s="64"/>
      <c r="CC163" s="311"/>
      <c r="CD163" s="64"/>
      <c r="CE163" s="64"/>
      <c r="CF163" s="64"/>
      <c r="CG163" s="64"/>
      <c r="CH163" s="64"/>
      <c r="CI163" s="64"/>
      <c r="CJ163" s="64"/>
      <c r="CK163" s="64"/>
      <c r="CL163" s="64"/>
    </row>
    <row r="164" ht="13.55" customHeight="1">
      <c r="A164" s="121"/>
      <c r="B164" s="122"/>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2"/>
      <c r="AM164" s="123"/>
      <c r="AN164" s="123"/>
      <c r="AO164" s="123"/>
      <c r="AP164" s="123"/>
      <c r="AQ164" s="123"/>
      <c r="AR164" s="123"/>
      <c r="AS164" s="123"/>
      <c r="AT164" s="123"/>
      <c r="AU164" s="122"/>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2"/>
      <c r="CB164" s="123"/>
      <c r="CC164" s="122"/>
      <c r="CD164" s="123"/>
      <c r="CE164" s="123"/>
      <c r="CF164" s="123"/>
      <c r="CG164" s="123"/>
      <c r="CH164" s="123"/>
      <c r="CI164" s="123"/>
      <c r="CJ164" s="123"/>
      <c r="CK164" s="123"/>
      <c r="CL164" s="123"/>
    </row>
    <row r="165" ht="13.55" customHeight="1">
      <c r="A165" s="124"/>
      <c r="B165" s="125"/>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125"/>
      <c r="AM165" s="59"/>
      <c r="AN165" s="59"/>
      <c r="AO165" s="59"/>
      <c r="AP165" s="59"/>
      <c r="AQ165" s="59"/>
      <c r="AR165" s="59"/>
      <c r="AS165" s="59"/>
      <c r="AT165" s="59"/>
      <c r="AU165" s="125"/>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125"/>
      <c r="CB165" s="59"/>
      <c r="CC165" s="125"/>
      <c r="CD165" s="59"/>
      <c r="CE165" s="59"/>
      <c r="CF165" s="59"/>
      <c r="CG165" s="59"/>
      <c r="CH165" s="59"/>
      <c r="CI165" s="59"/>
      <c r="CJ165" s="59"/>
      <c r="CK165" s="59"/>
      <c r="CL165" s="59"/>
    </row>
    <row r="166" ht="13.55" customHeight="1">
      <c r="A166" s="124"/>
      <c r="B166" s="125"/>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125"/>
      <c r="AM166" s="59"/>
      <c r="AN166" s="59"/>
      <c r="AO166" s="59"/>
      <c r="AP166" s="59"/>
      <c r="AQ166" s="59"/>
      <c r="AR166" s="59"/>
      <c r="AS166" s="59"/>
      <c r="AT166" s="59"/>
      <c r="AU166" s="125"/>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125"/>
      <c r="CB166" s="59"/>
      <c r="CC166" s="125"/>
      <c r="CD166" s="59"/>
      <c r="CE166" s="59"/>
      <c r="CF166" s="59"/>
      <c r="CG166" s="59"/>
      <c r="CH166" s="59"/>
      <c r="CI166" s="59"/>
      <c r="CJ166" s="59"/>
      <c r="CK166" s="59"/>
      <c r="CL166" s="59"/>
    </row>
    <row r="167" ht="13.55" customHeight="1">
      <c r="A167" s="124"/>
      <c r="B167" s="125"/>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125"/>
      <c r="AM167" s="59"/>
      <c r="AN167" s="59"/>
      <c r="AO167" s="59"/>
      <c r="AP167" s="59"/>
      <c r="AQ167" s="59"/>
      <c r="AR167" s="59"/>
      <c r="AS167" s="59"/>
      <c r="AT167" s="59"/>
      <c r="AU167" s="125"/>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125"/>
      <c r="CB167" s="59"/>
      <c r="CC167" s="125"/>
      <c r="CD167" s="59"/>
      <c r="CE167" s="59"/>
      <c r="CF167" s="59"/>
      <c r="CG167" s="59"/>
      <c r="CH167" s="59"/>
      <c r="CI167" s="59"/>
      <c r="CJ167" s="59"/>
      <c r="CK167" s="59"/>
      <c r="CL167" s="59"/>
    </row>
    <row r="168" ht="13.55" customHeight="1">
      <c r="A168" s="124"/>
      <c r="B168" s="125"/>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125"/>
      <c r="AM168" s="59"/>
      <c r="AN168" s="59"/>
      <c r="AO168" s="59"/>
      <c r="AP168" s="59"/>
      <c r="AQ168" s="59"/>
      <c r="AR168" s="59"/>
      <c r="AS168" s="59"/>
      <c r="AT168" s="59"/>
      <c r="AU168" s="125"/>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125"/>
      <c r="CB168" s="59"/>
      <c r="CC168" s="125"/>
      <c r="CD168" s="59"/>
      <c r="CE168" s="59"/>
      <c r="CF168" s="59"/>
      <c r="CG168" s="59"/>
      <c r="CH168" s="59"/>
      <c r="CI168" s="59"/>
      <c r="CJ168" s="59"/>
      <c r="CK168" s="59"/>
      <c r="CL168" s="59"/>
    </row>
    <row r="169" ht="13.55" customHeight="1">
      <c r="A169" s="124"/>
      <c r="B169" s="125"/>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125"/>
      <c r="AM169" s="59"/>
      <c r="AN169" s="59"/>
      <c r="AO169" s="59"/>
      <c r="AP169" s="59"/>
      <c r="AQ169" s="59"/>
      <c r="AR169" s="59"/>
      <c r="AS169" s="59"/>
      <c r="AT169" s="59"/>
      <c r="AU169" s="125"/>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125"/>
      <c r="CB169" s="59"/>
      <c r="CC169" s="125"/>
      <c r="CD169" s="59"/>
      <c r="CE169" s="59"/>
      <c r="CF169" s="59"/>
      <c r="CG169" s="59"/>
      <c r="CH169" s="59"/>
      <c r="CI169" s="59"/>
      <c r="CJ169" s="59"/>
      <c r="CK169" s="59"/>
      <c r="CL169" s="59"/>
    </row>
    <row r="170" ht="13.55" customHeight="1">
      <c r="A170" s="124"/>
      <c r="B170" s="125"/>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125"/>
      <c r="AM170" s="59"/>
      <c r="AN170" s="59"/>
      <c r="AO170" s="59"/>
      <c r="AP170" s="59"/>
      <c r="AQ170" s="59"/>
      <c r="AR170" s="59"/>
      <c r="AS170" s="59"/>
      <c r="AT170" s="59"/>
      <c r="AU170" s="125"/>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125"/>
      <c r="CB170" s="59"/>
      <c r="CC170" s="125"/>
      <c r="CD170" s="59"/>
      <c r="CE170" s="59"/>
      <c r="CF170" s="59"/>
      <c r="CG170" s="59"/>
      <c r="CH170" s="59"/>
      <c r="CI170" s="59"/>
      <c r="CJ170" s="59"/>
      <c r="CK170" s="59"/>
      <c r="CL170" s="59"/>
    </row>
    <row r="171" ht="13.55" customHeight="1">
      <c r="A171" s="124"/>
      <c r="B171" s="125"/>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125"/>
      <c r="AM171" s="59"/>
      <c r="AN171" s="59"/>
      <c r="AO171" s="59"/>
      <c r="AP171" s="59"/>
      <c r="AQ171" s="59"/>
      <c r="AR171" s="59"/>
      <c r="AS171" s="59"/>
      <c r="AT171" s="59"/>
      <c r="AU171" s="125"/>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125"/>
      <c r="CB171" s="59"/>
      <c r="CC171" s="125"/>
      <c r="CD171" s="59"/>
      <c r="CE171" s="59"/>
      <c r="CF171" s="59"/>
      <c r="CG171" s="59"/>
      <c r="CH171" s="59"/>
      <c r="CI171" s="59"/>
      <c r="CJ171" s="59"/>
      <c r="CK171" s="59"/>
      <c r="CL171" s="59"/>
    </row>
    <row r="172" ht="13.55" customHeight="1">
      <c r="A172" s="124"/>
      <c r="B172" s="125"/>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125"/>
      <c r="AM172" s="59"/>
      <c r="AN172" s="59"/>
      <c r="AO172" s="59"/>
      <c r="AP172" s="59"/>
      <c r="AQ172" s="59"/>
      <c r="AR172" s="59"/>
      <c r="AS172" s="59"/>
      <c r="AT172" s="59"/>
      <c r="AU172" s="125"/>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125"/>
      <c r="CB172" s="59"/>
      <c r="CC172" s="125"/>
      <c r="CD172" s="59"/>
      <c r="CE172" s="59"/>
      <c r="CF172" s="59"/>
      <c r="CG172" s="59"/>
      <c r="CH172" s="59"/>
      <c r="CI172" s="59"/>
      <c r="CJ172" s="59"/>
      <c r="CK172" s="59"/>
      <c r="CL172" s="59"/>
    </row>
    <row r="173" ht="13.55" customHeight="1">
      <c r="A173" s="124"/>
      <c r="B173" s="125"/>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125"/>
      <c r="AM173" s="59"/>
      <c r="AN173" s="59"/>
      <c r="AO173" s="59"/>
      <c r="AP173" s="59"/>
      <c r="AQ173" s="59"/>
      <c r="AR173" s="59"/>
      <c r="AS173" s="59"/>
      <c r="AT173" s="59"/>
      <c r="AU173" s="125"/>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125"/>
      <c r="CB173" s="59"/>
      <c r="CC173" s="125"/>
      <c r="CD173" s="59"/>
      <c r="CE173" s="59"/>
      <c r="CF173" s="59"/>
      <c r="CG173" s="59"/>
      <c r="CH173" s="59"/>
      <c r="CI173" s="59"/>
      <c r="CJ173" s="59"/>
      <c r="CK173" s="59"/>
      <c r="CL173" s="59"/>
    </row>
    <row r="174" ht="13.55" customHeight="1">
      <c r="A174" s="124"/>
      <c r="B174" s="125"/>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125"/>
      <c r="AM174" s="59"/>
      <c r="AN174" s="59"/>
      <c r="AO174" s="59"/>
      <c r="AP174" s="59"/>
      <c r="AQ174" s="59"/>
      <c r="AR174" s="59"/>
      <c r="AS174" s="59"/>
      <c r="AT174" s="59"/>
      <c r="AU174" s="125"/>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125"/>
      <c r="CB174" s="59"/>
      <c r="CC174" s="125"/>
      <c r="CD174" s="59"/>
      <c r="CE174" s="59"/>
      <c r="CF174" s="59"/>
      <c r="CG174" s="59"/>
      <c r="CH174" s="59"/>
      <c r="CI174" s="59"/>
      <c r="CJ174" s="59"/>
      <c r="CK174" s="59"/>
      <c r="CL174" s="59"/>
    </row>
    <row r="175" ht="13.55" customHeight="1">
      <c r="A175" s="124"/>
      <c r="B175" s="125"/>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125"/>
      <c r="AM175" s="59"/>
      <c r="AN175" s="59"/>
      <c r="AO175" s="59"/>
      <c r="AP175" s="59"/>
      <c r="AQ175" s="59"/>
      <c r="AR175" s="59"/>
      <c r="AS175" s="59"/>
      <c r="AT175" s="59"/>
      <c r="AU175" s="125"/>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125"/>
      <c r="CB175" s="59"/>
      <c r="CC175" s="125"/>
      <c r="CD175" s="59"/>
      <c r="CE175" s="59"/>
      <c r="CF175" s="59"/>
      <c r="CG175" s="59"/>
      <c r="CH175" s="59"/>
      <c r="CI175" s="59"/>
      <c r="CJ175" s="59"/>
      <c r="CK175" s="59"/>
      <c r="CL175" s="59"/>
    </row>
    <row r="176" ht="13.55" customHeight="1">
      <c r="A176" s="124"/>
      <c r="B176" s="125"/>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125"/>
      <c r="AM176" s="59"/>
      <c r="AN176" s="59"/>
      <c r="AO176" s="59"/>
      <c r="AP176" s="59"/>
      <c r="AQ176" s="59"/>
      <c r="AR176" s="59"/>
      <c r="AS176" s="59"/>
      <c r="AT176" s="59"/>
      <c r="AU176" s="125"/>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125"/>
      <c r="CB176" s="59"/>
      <c r="CC176" s="125"/>
      <c r="CD176" s="59"/>
      <c r="CE176" s="59"/>
      <c r="CF176" s="59"/>
      <c r="CG176" s="59"/>
      <c r="CH176" s="59"/>
      <c r="CI176" s="59"/>
      <c r="CJ176" s="59"/>
      <c r="CK176" s="59"/>
      <c r="CL176" s="59"/>
    </row>
    <row r="177" ht="13.55" customHeight="1">
      <c r="A177" s="124"/>
      <c r="B177" s="125"/>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125"/>
      <c r="AM177" s="59"/>
      <c r="AN177" s="59"/>
      <c r="AO177" s="59"/>
      <c r="AP177" s="59"/>
      <c r="AQ177" s="59"/>
      <c r="AR177" s="59"/>
      <c r="AS177" s="59"/>
      <c r="AT177" s="59"/>
      <c r="AU177" s="125"/>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125"/>
      <c r="CB177" s="59"/>
      <c r="CC177" s="125"/>
      <c r="CD177" s="59"/>
      <c r="CE177" s="59"/>
      <c r="CF177" s="59"/>
      <c r="CG177" s="59"/>
      <c r="CH177" s="59"/>
      <c r="CI177" s="59"/>
      <c r="CJ177" s="59"/>
      <c r="CK177" s="59"/>
      <c r="CL177" s="59"/>
    </row>
    <row r="178" ht="13.55" customHeight="1">
      <c r="A178" s="124"/>
      <c r="B178" s="125"/>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125"/>
      <c r="AM178" s="59"/>
      <c r="AN178" s="59"/>
      <c r="AO178" s="59"/>
      <c r="AP178" s="59"/>
      <c r="AQ178" s="59"/>
      <c r="AR178" s="59"/>
      <c r="AS178" s="59"/>
      <c r="AT178" s="59"/>
      <c r="AU178" s="125"/>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125"/>
      <c r="CB178" s="59"/>
      <c r="CC178" s="125"/>
      <c r="CD178" s="59"/>
      <c r="CE178" s="59"/>
      <c r="CF178" s="59"/>
      <c r="CG178" s="59"/>
      <c r="CH178" s="59"/>
      <c r="CI178" s="59"/>
      <c r="CJ178" s="59"/>
      <c r="CK178" s="59"/>
      <c r="CL178" s="59"/>
    </row>
    <row r="179" ht="13.55" customHeight="1">
      <c r="A179" s="124"/>
      <c r="B179" s="125"/>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125"/>
      <c r="AM179" s="59"/>
      <c r="AN179" s="59"/>
      <c r="AO179" s="59"/>
      <c r="AP179" s="59"/>
      <c r="AQ179" s="59"/>
      <c r="AR179" s="59"/>
      <c r="AS179" s="59"/>
      <c r="AT179" s="59"/>
      <c r="AU179" s="125"/>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125"/>
      <c r="CB179" s="59"/>
      <c r="CC179" s="125"/>
      <c r="CD179" s="59"/>
      <c r="CE179" s="59"/>
      <c r="CF179" s="59"/>
      <c r="CG179" s="59"/>
      <c r="CH179" s="59"/>
      <c r="CI179" s="59"/>
      <c r="CJ179" s="59"/>
      <c r="CK179" s="59"/>
      <c r="CL179" s="59"/>
    </row>
    <row r="180" ht="13.55" customHeight="1">
      <c r="A180" s="124"/>
      <c r="B180" s="125"/>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125"/>
      <c r="AM180" s="59"/>
      <c r="AN180" s="59"/>
      <c r="AO180" s="59"/>
      <c r="AP180" s="59"/>
      <c r="AQ180" s="59"/>
      <c r="AR180" s="59"/>
      <c r="AS180" s="59"/>
      <c r="AT180" s="59"/>
      <c r="AU180" s="125"/>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125"/>
      <c r="CB180" s="59"/>
      <c r="CC180" s="125"/>
      <c r="CD180" s="59"/>
      <c r="CE180" s="59"/>
      <c r="CF180" s="59"/>
      <c r="CG180" s="59"/>
      <c r="CH180" s="59"/>
      <c r="CI180" s="59"/>
      <c r="CJ180" s="59"/>
      <c r="CK180" s="59"/>
      <c r="CL180" s="59"/>
    </row>
  </sheetData>
  <mergeCells count="157">
    <mergeCell ref="A152:A157"/>
    <mergeCell ref="A58:A60"/>
    <mergeCell ref="A72:A82"/>
    <mergeCell ref="A83:A84"/>
    <mergeCell ref="A92:A94"/>
    <mergeCell ref="A112:A120"/>
    <mergeCell ref="A121:A127"/>
    <mergeCell ref="AC1:AD1"/>
    <mergeCell ref="AE1:AF1"/>
    <mergeCell ref="C2:M2"/>
    <mergeCell ref="N2:AG2"/>
    <mergeCell ref="AC153:AD153"/>
    <mergeCell ref="B2:B4"/>
    <mergeCell ref="A5:A12"/>
    <mergeCell ref="A13:A18"/>
    <mergeCell ref="A19:A42"/>
    <mergeCell ref="A43:A49"/>
    <mergeCell ref="A50:A57"/>
    <mergeCell ref="B121:B127"/>
    <mergeCell ref="A128:A138"/>
    <mergeCell ref="A139:A144"/>
    <mergeCell ref="AE46:AF46"/>
    <mergeCell ref="AC46:AD46"/>
    <mergeCell ref="AH2:AN2"/>
    <mergeCell ref="AO2:AP2"/>
    <mergeCell ref="K1:M1"/>
    <mergeCell ref="N1:P1"/>
    <mergeCell ref="Q1:S1"/>
    <mergeCell ref="T1:V1"/>
    <mergeCell ref="W1:Y1"/>
    <mergeCell ref="Z1:AB1"/>
    <mergeCell ref="E1:G1"/>
    <mergeCell ref="H1:J1"/>
    <mergeCell ref="CH2:CI2"/>
    <mergeCell ref="CJ2:CK2"/>
    <mergeCell ref="C3:C4"/>
    <mergeCell ref="D3:D4"/>
    <mergeCell ref="E3:G3"/>
    <mergeCell ref="H3:J3"/>
    <mergeCell ref="K3:M3"/>
    <mergeCell ref="N3:P3"/>
    <mergeCell ref="Q3:S3"/>
    <mergeCell ref="T3:V3"/>
    <mergeCell ref="BM2:BN2"/>
    <mergeCell ref="BO2:BP2"/>
    <mergeCell ref="BQ2:BS2"/>
    <mergeCell ref="BT2:BU2"/>
    <mergeCell ref="BV2:BW2"/>
    <mergeCell ref="BX2:CG2"/>
    <mergeCell ref="AQ2:AW2"/>
    <mergeCell ref="AX2:AY2"/>
    <mergeCell ref="AZ2:BE2"/>
    <mergeCell ref="BF2:BH2"/>
    <mergeCell ref="BI2:BJ2"/>
    <mergeCell ref="BK2:BL2"/>
    <mergeCell ref="AJ3:AJ4"/>
    <mergeCell ref="AM3:AM4"/>
    <mergeCell ref="AN3:AN4"/>
    <mergeCell ref="AO3:AO4"/>
    <mergeCell ref="AP3:AP4"/>
    <mergeCell ref="AQ3:AQ4"/>
    <mergeCell ref="W3:Y3"/>
    <mergeCell ref="Z3:AB3"/>
    <mergeCell ref="AC3:AF3"/>
    <mergeCell ref="AG3:AG4"/>
    <mergeCell ref="AH3:AH4"/>
    <mergeCell ref="AI3:AI4"/>
    <mergeCell ref="AL3:AL4"/>
    <mergeCell ref="AR3:AR4"/>
    <mergeCell ref="AS3:AS4"/>
    <mergeCell ref="AV3:AV4"/>
    <mergeCell ref="AW3:AW4"/>
    <mergeCell ref="AX3:AX4"/>
    <mergeCell ref="AY3:AY4"/>
    <mergeCell ref="AZ3:AZ4"/>
    <mergeCell ref="BA3:BA4"/>
    <mergeCell ref="BB3:BB4"/>
    <mergeCell ref="AU3:AU4"/>
    <mergeCell ref="AO13:AO14"/>
    <mergeCell ref="AP13:AP14"/>
    <mergeCell ref="AY13:AY14"/>
    <mergeCell ref="BP13:BP14"/>
    <mergeCell ref="CH13:CH14"/>
    <mergeCell ref="CI13:CI14"/>
    <mergeCell ref="CF3:CF4"/>
    <mergeCell ref="CG3:CG4"/>
    <mergeCell ref="CH3:CH4"/>
    <mergeCell ref="CI3:CI4"/>
    <mergeCell ref="BX3:BX4"/>
    <mergeCell ref="BY3:BY4"/>
    <mergeCell ref="BZ3:BZ4"/>
    <mergeCell ref="CB3:CB4"/>
    <mergeCell ref="CD3:CD4"/>
    <mergeCell ref="CE3:CE4"/>
    <mergeCell ref="BR3:BR4"/>
    <mergeCell ref="BS3:BS4"/>
    <mergeCell ref="BT3:BT4"/>
    <mergeCell ref="BU3:BU4"/>
    <mergeCell ref="BV3:BV4"/>
    <mergeCell ref="BC3:BC4"/>
    <mergeCell ref="BD3:BD4"/>
    <mergeCell ref="BE3:BE4"/>
    <mergeCell ref="CL3:CL4"/>
    <mergeCell ref="CJ3:CJ4"/>
    <mergeCell ref="CK3:CK4"/>
    <mergeCell ref="BN3:BN4"/>
    <mergeCell ref="BO3:BO4"/>
    <mergeCell ref="BP3:BP4"/>
    <mergeCell ref="BQ3:BQ4"/>
    <mergeCell ref="BF3:BF4"/>
    <mergeCell ref="BG3:BG4"/>
    <mergeCell ref="BH3:BH4"/>
    <mergeCell ref="BI3:BI4"/>
    <mergeCell ref="BJ3:BJ4"/>
    <mergeCell ref="BK3:BK4"/>
    <mergeCell ref="BW3:BW4"/>
    <mergeCell ref="BL3:BL4"/>
    <mergeCell ref="BM3:BM4"/>
    <mergeCell ref="CA3:CA4"/>
    <mergeCell ref="CC3:CC4"/>
    <mergeCell ref="BX50:BX51"/>
    <mergeCell ref="AH58:AH59"/>
    <mergeCell ref="BB58:BB67"/>
    <mergeCell ref="BV58:BV62"/>
    <mergeCell ref="BW58:BW62"/>
    <mergeCell ref="CF58:CF60"/>
    <mergeCell ref="BB19:BB23"/>
    <mergeCell ref="BJ19:BJ20"/>
    <mergeCell ref="BL19:BL22"/>
    <mergeCell ref="BD43:BD44"/>
    <mergeCell ref="AQ50:AQ51"/>
    <mergeCell ref="AR50:AR51"/>
    <mergeCell ref="BJ50:BJ51"/>
    <mergeCell ref="CH112:CI112"/>
    <mergeCell ref="BV121:BV122"/>
    <mergeCell ref="BS123:BT123"/>
    <mergeCell ref="N128:P128"/>
    <mergeCell ref="Q128:S128"/>
    <mergeCell ref="T128:V128"/>
    <mergeCell ref="W128:Y128"/>
    <mergeCell ref="Z128:AB128"/>
    <mergeCell ref="BW83:BW84"/>
    <mergeCell ref="AH92:AH93"/>
    <mergeCell ref="AQ92:AQ93"/>
    <mergeCell ref="BG104:BG109"/>
    <mergeCell ref="BV104:BV107"/>
    <mergeCell ref="BW104:BW109"/>
    <mergeCell ref="AQ157:AW157"/>
    <mergeCell ref="BB128:BB132"/>
    <mergeCell ref="CF128:CF130"/>
    <mergeCell ref="BV139:BV141"/>
    <mergeCell ref="BG145:BG149"/>
    <mergeCell ref="BG152:BG155"/>
    <mergeCell ref="BV152:BV155"/>
    <mergeCell ref="BW152:BW154"/>
    <mergeCell ref="BV112:BV114"/>
    <mergeCell ref="BW112:BW114"/>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dimension ref="A1:AO178"/>
  <sheetViews>
    <sheetView workbookViewId="0" showGridLines="0" defaultGridColor="1"/>
  </sheetViews>
  <sheetFormatPr defaultColWidth="8.83333" defaultRowHeight="28.5" customHeight="1" outlineLevelRow="0" outlineLevelCol="0"/>
  <cols>
    <col min="1" max="1" width="6.35156" style="519" customWidth="1"/>
    <col min="2" max="2" width="13.5" style="519" customWidth="1"/>
    <col min="3" max="3" width="13.8516" style="519" customWidth="1"/>
    <col min="4" max="4" width="8.85156" style="519" customWidth="1"/>
    <col min="5" max="5" width="13" style="519" customWidth="1"/>
    <col min="6" max="15" width="8.85156" style="519" customWidth="1"/>
    <col min="16" max="16" width="13.8516" style="519" customWidth="1"/>
    <col min="17" max="28" width="8.85156" style="519" customWidth="1"/>
    <col min="29" max="29" width="11.6719" style="519" customWidth="1"/>
    <col min="30" max="30" width="8.85156" style="519" customWidth="1"/>
    <col min="31" max="31" width="11.8516" style="519" customWidth="1"/>
    <col min="32" max="32" width="12" style="519" customWidth="1"/>
    <col min="33" max="33" width="10.1719" style="519" customWidth="1"/>
    <col min="34" max="34" width="8.85156" style="519" customWidth="1"/>
    <col min="35" max="36" width="10.5" style="519" customWidth="1"/>
    <col min="37" max="37" width="16.5" style="519" customWidth="1"/>
    <col min="38" max="38" width="8.85156" style="519" customWidth="1"/>
    <col min="39" max="39" width="10.8516" style="519" customWidth="1"/>
    <col min="40" max="40" width="8.85156" style="519" customWidth="1"/>
    <col min="41" max="41" width="10.6719" style="519" customWidth="1"/>
    <col min="42" max="16384" width="8.85156" style="519" customWidth="1"/>
  </cols>
  <sheetData>
    <row r="1" ht="27" customHeight="1">
      <c r="A1" s="2"/>
      <c r="B1" s="3"/>
      <c r="C1" t="s" s="139">
        <v>640</v>
      </c>
      <c r="D1" t="s" s="139">
        <v>641</v>
      </c>
      <c r="E1" t="s" s="139">
        <v>642</v>
      </c>
      <c r="F1" t="s" s="139">
        <v>643</v>
      </c>
      <c r="G1" t="s" s="139">
        <v>644</v>
      </c>
      <c r="H1" t="s" s="139">
        <v>645</v>
      </c>
      <c r="I1" t="s" s="139">
        <v>646</v>
      </c>
      <c r="J1" t="s" s="139">
        <v>647</v>
      </c>
      <c r="K1" t="s" s="139">
        <v>648</v>
      </c>
      <c r="L1" t="s" s="139">
        <v>649</v>
      </c>
      <c r="M1" t="s" s="139">
        <v>650</v>
      </c>
      <c r="N1" t="s" s="139">
        <v>651</v>
      </c>
      <c r="O1" t="s" s="139">
        <v>652</v>
      </c>
      <c r="P1" t="s" s="139">
        <v>653</v>
      </c>
      <c r="Q1" t="s" s="139">
        <v>654</v>
      </c>
      <c r="R1" t="s" s="139">
        <v>655</v>
      </c>
      <c r="S1" t="s" s="139">
        <v>656</v>
      </c>
      <c r="T1" t="s" s="139">
        <v>657</v>
      </c>
      <c r="U1" t="s" s="139">
        <v>658</v>
      </c>
      <c r="V1" t="s" s="139">
        <v>659</v>
      </c>
      <c r="W1" t="s" s="520">
        <v>660</v>
      </c>
      <c r="X1" t="s" s="520">
        <v>661</v>
      </c>
      <c r="Y1" t="s" s="520">
        <v>662</v>
      </c>
      <c r="Z1" t="s" s="520">
        <v>663</v>
      </c>
      <c r="AA1" t="s" s="520">
        <v>664</v>
      </c>
      <c r="AB1" t="s" s="520">
        <v>665</v>
      </c>
      <c r="AC1" t="s" s="520">
        <v>666</v>
      </c>
      <c r="AD1" s="133"/>
      <c r="AE1" t="s" s="520">
        <v>667</v>
      </c>
      <c r="AF1" s="133"/>
      <c r="AG1" t="s" s="139">
        <v>668</v>
      </c>
      <c r="AH1" t="s" s="520">
        <v>669</v>
      </c>
      <c r="AI1" t="s" s="521">
        <v>670</v>
      </c>
      <c r="AJ1" t="s" s="521">
        <v>671</v>
      </c>
      <c r="AK1" s="522"/>
      <c r="AL1" s="59"/>
      <c r="AM1" s="59"/>
      <c r="AN1" s="59"/>
      <c r="AO1" s="59"/>
    </row>
    <row r="2" ht="27" customHeight="1">
      <c r="A2" s="6"/>
      <c r="B2" t="s" s="7">
        <v>2</v>
      </c>
      <c r="C2" s="151"/>
      <c r="D2" s="151"/>
      <c r="E2" t="s" s="150">
        <v>672</v>
      </c>
      <c r="F2" s="151"/>
      <c r="G2" s="151"/>
      <c r="H2" s="151"/>
      <c r="I2" s="151"/>
      <c r="J2" s="151"/>
      <c r="K2" s="151"/>
      <c r="L2" s="151"/>
      <c r="M2" s="151"/>
      <c r="N2" t="s" s="150">
        <v>673</v>
      </c>
      <c r="O2" s="151"/>
      <c r="P2" s="151"/>
      <c r="Q2" s="151"/>
      <c r="R2" s="151"/>
      <c r="S2" s="151"/>
      <c r="T2" s="151"/>
      <c r="U2" s="151"/>
      <c r="V2" s="151"/>
      <c r="W2" s="151"/>
      <c r="X2" s="151"/>
      <c r="Y2" s="151"/>
      <c r="Z2" s="151"/>
      <c r="AA2" s="151"/>
      <c r="AB2" s="151"/>
      <c r="AC2" s="151"/>
      <c r="AD2" s="151"/>
      <c r="AE2" s="151"/>
      <c r="AF2" s="151"/>
      <c r="AG2" t="s" s="147">
        <v>674</v>
      </c>
      <c r="AH2" s="149"/>
      <c r="AI2" t="s" s="150">
        <v>675</v>
      </c>
      <c r="AJ2" t="s" s="150">
        <v>675</v>
      </c>
      <c r="AK2" s="523"/>
      <c r="AL2" t="s" s="524">
        <v>676</v>
      </c>
      <c r="AM2" s="64"/>
      <c r="AN2" s="64"/>
      <c r="AO2" s="64"/>
    </row>
    <row r="3" ht="49.5" customHeight="1">
      <c r="A3" s="6"/>
      <c r="B3" s="10"/>
      <c r="C3" s="151"/>
      <c r="D3" s="151"/>
      <c r="E3" s="151"/>
      <c r="F3" s="151"/>
      <c r="G3" s="151"/>
      <c r="H3" t="s" s="150">
        <v>677</v>
      </c>
      <c r="I3" s="151"/>
      <c r="J3" s="151"/>
      <c r="K3" t="s" s="150">
        <v>678</v>
      </c>
      <c r="L3" s="151"/>
      <c r="M3" s="151"/>
      <c r="N3" t="s" s="150">
        <v>135</v>
      </c>
      <c r="O3" s="151"/>
      <c r="P3" s="151"/>
      <c r="Q3" t="s" s="150">
        <v>136</v>
      </c>
      <c r="R3" s="151"/>
      <c r="S3" s="151"/>
      <c r="T3" t="s" s="150">
        <v>137</v>
      </c>
      <c r="U3" s="151"/>
      <c r="V3" s="151"/>
      <c r="W3" t="s" s="150">
        <v>138</v>
      </c>
      <c r="X3" s="151"/>
      <c r="Y3" s="151"/>
      <c r="Z3" t="s" s="150">
        <v>139</v>
      </c>
      <c r="AA3" s="151"/>
      <c r="AB3" s="151"/>
      <c r="AC3" t="s" s="150">
        <v>140</v>
      </c>
      <c r="AD3" s="151"/>
      <c r="AE3" s="151"/>
      <c r="AF3" s="151"/>
      <c r="AG3" t="s" s="150">
        <v>141</v>
      </c>
      <c r="AH3" t="s" s="150">
        <v>679</v>
      </c>
      <c r="AI3" t="s" s="525">
        <v>680</v>
      </c>
      <c r="AJ3" t="s" s="525">
        <v>681</v>
      </c>
      <c r="AK3" t="s" s="525">
        <v>682</v>
      </c>
      <c r="AL3" t="s" s="526">
        <v>683</v>
      </c>
      <c r="AM3" t="s" s="526">
        <v>684</v>
      </c>
      <c r="AN3" t="s" s="526">
        <v>685</v>
      </c>
      <c r="AO3" t="s" s="526">
        <v>686</v>
      </c>
    </row>
    <row r="4" ht="32.25" customHeight="1">
      <c r="A4" s="13"/>
      <c r="B4" s="10"/>
      <c r="C4" t="s" s="150">
        <v>687</v>
      </c>
      <c r="D4" t="s" s="150">
        <v>688</v>
      </c>
      <c r="E4" t="s" s="150">
        <v>689</v>
      </c>
      <c r="F4" t="s" s="150">
        <v>184</v>
      </c>
      <c r="G4" t="s" s="150">
        <v>185</v>
      </c>
      <c r="H4" t="s" s="150">
        <v>690</v>
      </c>
      <c r="I4" t="s" s="150">
        <v>184</v>
      </c>
      <c r="J4" t="s" s="150">
        <v>185</v>
      </c>
      <c r="K4" t="s" s="150">
        <v>689</v>
      </c>
      <c r="L4" t="s" s="150">
        <v>184</v>
      </c>
      <c r="M4" t="s" s="150">
        <v>185</v>
      </c>
      <c r="N4" t="s" s="150">
        <v>186</v>
      </c>
      <c r="O4" t="s" s="150">
        <v>184</v>
      </c>
      <c r="P4" t="s" s="150">
        <v>185</v>
      </c>
      <c r="Q4" t="s" s="150">
        <v>186</v>
      </c>
      <c r="R4" t="s" s="150">
        <v>184</v>
      </c>
      <c r="S4" t="s" s="150">
        <v>185</v>
      </c>
      <c r="T4" t="s" s="150">
        <v>186</v>
      </c>
      <c r="U4" t="s" s="150">
        <v>184</v>
      </c>
      <c r="V4" t="s" s="150">
        <v>185</v>
      </c>
      <c r="W4" t="s" s="150">
        <v>186</v>
      </c>
      <c r="X4" t="s" s="150">
        <v>184</v>
      </c>
      <c r="Y4" t="s" s="150">
        <v>185</v>
      </c>
      <c r="Z4" t="s" s="150">
        <v>186</v>
      </c>
      <c r="AA4" t="s" s="150">
        <v>184</v>
      </c>
      <c r="AB4" t="s" s="150">
        <v>185</v>
      </c>
      <c r="AC4" t="s" s="158">
        <v>187</v>
      </c>
      <c r="AD4" t="s" s="158">
        <v>188</v>
      </c>
      <c r="AE4" t="s" s="158">
        <v>189</v>
      </c>
      <c r="AF4" t="s" s="158">
        <v>190</v>
      </c>
      <c r="AG4" s="151"/>
      <c r="AH4" s="151"/>
      <c r="AI4" s="527"/>
      <c r="AJ4" s="527"/>
      <c r="AK4" s="527"/>
      <c r="AL4" s="528"/>
      <c r="AM4" s="528"/>
      <c r="AN4" s="528"/>
      <c r="AO4" s="528"/>
    </row>
    <row r="5" ht="144" customHeight="1">
      <c r="A5" s="15">
        <v>1</v>
      </c>
      <c r="B5" t="s" s="16">
        <v>6</v>
      </c>
      <c r="C5" t="s" s="29">
        <v>691</v>
      </c>
      <c r="D5" t="s" s="171">
        <v>692</v>
      </c>
      <c r="E5" s="165">
        <v>3319849</v>
      </c>
      <c r="F5" s="166">
        <v>2017</v>
      </c>
      <c r="G5" t="s" s="171">
        <v>693</v>
      </c>
      <c r="H5" s="165">
        <v>812087</v>
      </c>
      <c r="I5" s="166">
        <v>2011</v>
      </c>
      <c r="J5" t="s" s="18">
        <v>694</v>
      </c>
      <c r="K5" t="s" s="18">
        <v>695</v>
      </c>
      <c r="L5" s="166">
        <v>2011</v>
      </c>
      <c r="M5" t="s" s="18">
        <v>694</v>
      </c>
      <c r="N5" s="166">
        <v>55.4</v>
      </c>
      <c r="O5" s="167">
        <v>2015</v>
      </c>
      <c r="P5" t="s" s="171">
        <v>696</v>
      </c>
      <c r="Q5" s="167">
        <v>77.2</v>
      </c>
      <c r="R5" s="167">
        <v>2015</v>
      </c>
      <c r="S5" t="s" s="18">
        <v>694</v>
      </c>
      <c r="T5" t="s" s="171">
        <v>197</v>
      </c>
      <c r="U5" t="s" s="171">
        <v>197</v>
      </c>
      <c r="V5" t="s" s="171">
        <v>197</v>
      </c>
      <c r="W5" t="s" s="18">
        <v>197</v>
      </c>
      <c r="X5" t="s" s="18">
        <v>197</v>
      </c>
      <c r="Y5" t="s" s="18">
        <v>197</v>
      </c>
      <c r="Z5" t="s" s="18">
        <v>197</v>
      </c>
      <c r="AA5" t="s" s="18">
        <v>197</v>
      </c>
      <c r="AB5" t="s" s="18">
        <v>197</v>
      </c>
      <c r="AC5" t="s" s="170">
        <v>199</v>
      </c>
      <c r="AD5" t="s" s="170">
        <v>199</v>
      </c>
      <c r="AE5" t="s" s="170">
        <v>697</v>
      </c>
      <c r="AF5" t="s" s="170">
        <v>697</v>
      </c>
      <c r="AG5" s="167">
        <v>27.9</v>
      </c>
      <c r="AH5" s="167">
        <v>60</v>
      </c>
      <c r="AI5" t="s" s="171">
        <v>698</v>
      </c>
      <c r="AJ5" t="s" s="171">
        <v>699</v>
      </c>
      <c r="AK5" t="s" s="171">
        <v>700</v>
      </c>
      <c r="AL5" s="529">
        <v>787.51</v>
      </c>
      <c r="AM5" s="529">
        <v>4215.627738060470</v>
      </c>
      <c r="AN5" s="529">
        <v>0.1</v>
      </c>
      <c r="AO5" s="529">
        <v>35000</v>
      </c>
    </row>
    <row r="6" ht="15" customHeight="1">
      <c r="A6" s="19"/>
      <c r="B6" s="20"/>
      <c r="C6" s="33"/>
      <c r="D6" s="34"/>
      <c r="E6" s="34"/>
      <c r="F6" s="34"/>
      <c r="G6" s="34"/>
      <c r="H6" s="34"/>
      <c r="I6" s="34"/>
      <c r="J6" s="22"/>
      <c r="K6" s="34"/>
      <c r="L6" s="34"/>
      <c r="M6" s="34"/>
      <c r="N6" s="34"/>
      <c r="O6" s="34"/>
      <c r="P6" s="34"/>
      <c r="Q6" s="34"/>
      <c r="R6" s="34"/>
      <c r="S6" s="34"/>
      <c r="T6" s="34"/>
      <c r="U6" s="34"/>
      <c r="V6" s="34"/>
      <c r="W6" s="22"/>
      <c r="X6" s="22"/>
      <c r="Y6" s="22"/>
      <c r="Z6" s="22"/>
      <c r="AA6" s="22"/>
      <c r="AB6" s="22"/>
      <c r="AC6" s="211"/>
      <c r="AD6" s="211"/>
      <c r="AE6" s="211"/>
      <c r="AF6" s="211"/>
      <c r="AG6" s="211"/>
      <c r="AH6" s="22"/>
      <c r="AI6" s="530">
        <v>1075</v>
      </c>
      <c r="AJ6" s="530">
        <v>1803</v>
      </c>
      <c r="AK6" s="530"/>
      <c r="AL6" t="s" s="389">
        <v>701</v>
      </c>
      <c r="AM6" s="59"/>
      <c r="AN6" t="s" s="531">
        <v>702</v>
      </c>
      <c r="AO6" s="59"/>
    </row>
    <row r="7" ht="15" customHeight="1">
      <c r="A7" s="19"/>
      <c r="B7" s="20"/>
      <c r="C7" s="33"/>
      <c r="D7" s="34"/>
      <c r="E7" s="34"/>
      <c r="F7" s="34"/>
      <c r="G7" s="34"/>
      <c r="H7" s="34"/>
      <c r="I7" s="34"/>
      <c r="J7" s="34"/>
      <c r="K7" s="34"/>
      <c r="L7" s="34"/>
      <c r="M7" s="34"/>
      <c r="N7" s="34"/>
      <c r="O7" s="34"/>
      <c r="P7" s="34"/>
      <c r="Q7" s="34"/>
      <c r="R7" s="34"/>
      <c r="S7" s="34"/>
      <c r="T7" s="34"/>
      <c r="U7" s="34"/>
      <c r="V7" s="34"/>
      <c r="W7" s="22"/>
      <c r="X7" s="22"/>
      <c r="Y7" s="22"/>
      <c r="Z7" s="22"/>
      <c r="AA7" s="22"/>
      <c r="AB7" s="22"/>
      <c r="AC7" s="211"/>
      <c r="AD7" s="211"/>
      <c r="AE7" s="211"/>
      <c r="AF7" s="211"/>
      <c r="AG7" s="211"/>
      <c r="AH7" s="22"/>
      <c r="AI7" s="530"/>
      <c r="AJ7" s="530"/>
      <c r="AK7" s="530"/>
      <c r="AL7" s="59"/>
      <c r="AM7" s="59"/>
      <c r="AN7" s="59"/>
      <c r="AO7" s="59"/>
    </row>
    <row r="8" ht="15" customHeight="1">
      <c r="A8" s="19"/>
      <c r="B8" s="20"/>
      <c r="C8" s="33"/>
      <c r="D8" s="34"/>
      <c r="E8" s="34"/>
      <c r="F8" s="34"/>
      <c r="G8" s="34"/>
      <c r="H8" s="34"/>
      <c r="I8" s="34"/>
      <c r="J8" s="34"/>
      <c r="K8" s="34"/>
      <c r="L8" s="34"/>
      <c r="M8" s="34"/>
      <c r="N8" s="34"/>
      <c r="O8" s="34"/>
      <c r="P8" s="34"/>
      <c r="Q8" s="34"/>
      <c r="R8" s="34"/>
      <c r="S8" s="34"/>
      <c r="T8" s="34"/>
      <c r="U8" s="34"/>
      <c r="V8" s="34"/>
      <c r="W8" s="22"/>
      <c r="X8" s="22"/>
      <c r="Y8" s="22"/>
      <c r="Z8" s="22"/>
      <c r="AA8" s="22"/>
      <c r="AB8" s="22"/>
      <c r="AC8" s="211"/>
      <c r="AD8" s="211"/>
      <c r="AE8" s="211"/>
      <c r="AF8" s="211"/>
      <c r="AG8" s="211"/>
      <c r="AH8" s="22"/>
      <c r="AI8" s="22"/>
      <c r="AJ8" s="530"/>
      <c r="AK8" s="530"/>
      <c r="AL8" s="59"/>
      <c r="AM8" s="59"/>
      <c r="AN8" s="59"/>
      <c r="AO8" s="59"/>
    </row>
    <row r="9" ht="15" customHeight="1">
      <c r="A9" s="19"/>
      <c r="B9" s="20"/>
      <c r="C9" s="33"/>
      <c r="D9" s="34"/>
      <c r="E9" s="34"/>
      <c r="F9" s="34"/>
      <c r="G9" s="34"/>
      <c r="H9" s="34"/>
      <c r="I9" s="34"/>
      <c r="J9" s="34"/>
      <c r="K9" s="34"/>
      <c r="L9" s="34"/>
      <c r="M9" s="34"/>
      <c r="N9" s="34"/>
      <c r="O9" s="34"/>
      <c r="P9" s="34"/>
      <c r="Q9" s="34"/>
      <c r="R9" s="34"/>
      <c r="S9" s="34"/>
      <c r="T9" s="34"/>
      <c r="U9" s="34"/>
      <c r="V9" s="34"/>
      <c r="W9" s="22"/>
      <c r="X9" s="22"/>
      <c r="Y9" s="22"/>
      <c r="Z9" s="22"/>
      <c r="AA9" s="22"/>
      <c r="AB9" s="22"/>
      <c r="AC9" s="22"/>
      <c r="AD9" s="22"/>
      <c r="AE9" s="22"/>
      <c r="AF9" s="22"/>
      <c r="AG9" s="34"/>
      <c r="AH9" s="22"/>
      <c r="AI9" s="530"/>
      <c r="AJ9" s="530"/>
      <c r="AK9" s="530"/>
      <c r="AL9" s="59"/>
      <c r="AM9" s="59"/>
      <c r="AN9" s="59"/>
      <c r="AO9" s="59"/>
    </row>
    <row r="10" ht="15" customHeight="1">
      <c r="A10" s="19"/>
      <c r="B10" s="20"/>
      <c r="C10" s="33"/>
      <c r="D10" s="34"/>
      <c r="E10" s="34"/>
      <c r="F10" s="34"/>
      <c r="G10" s="34"/>
      <c r="H10" s="34"/>
      <c r="I10" s="34"/>
      <c r="J10" s="34"/>
      <c r="K10" s="34"/>
      <c r="L10" s="34"/>
      <c r="M10" s="34"/>
      <c r="N10" s="34"/>
      <c r="O10" s="34"/>
      <c r="P10" s="34"/>
      <c r="Q10" s="34"/>
      <c r="R10" s="34"/>
      <c r="S10" s="34"/>
      <c r="T10" s="34"/>
      <c r="U10" s="34"/>
      <c r="V10" s="34"/>
      <c r="W10" s="22"/>
      <c r="X10" s="22"/>
      <c r="Y10" s="22"/>
      <c r="Z10" s="22"/>
      <c r="AA10" s="22"/>
      <c r="AB10" s="22"/>
      <c r="AC10" s="22"/>
      <c r="AD10" s="22"/>
      <c r="AE10" s="22"/>
      <c r="AF10" s="22"/>
      <c r="AG10" s="34"/>
      <c r="AH10" s="22"/>
      <c r="AI10" s="530"/>
      <c r="AJ10" s="530"/>
      <c r="AK10" s="530"/>
      <c r="AL10" s="59"/>
      <c r="AM10" s="59"/>
      <c r="AN10" s="59"/>
      <c r="AO10" s="59"/>
    </row>
    <row r="11" ht="15" customHeight="1">
      <c r="A11" s="19"/>
      <c r="B11" s="20"/>
      <c r="C11" s="33"/>
      <c r="D11" s="34"/>
      <c r="E11" s="34"/>
      <c r="F11" s="34"/>
      <c r="G11" s="34"/>
      <c r="H11" s="34"/>
      <c r="I11" s="34"/>
      <c r="J11" s="34"/>
      <c r="K11" s="34"/>
      <c r="L11" s="34"/>
      <c r="M11" s="34"/>
      <c r="N11" s="34"/>
      <c r="O11" s="34"/>
      <c r="P11" s="34"/>
      <c r="Q11" s="34"/>
      <c r="R11" s="34"/>
      <c r="S11" s="34"/>
      <c r="T11" s="34"/>
      <c r="U11" s="34"/>
      <c r="V11" s="34"/>
      <c r="W11" s="22"/>
      <c r="X11" s="22"/>
      <c r="Y11" s="22"/>
      <c r="Z11" s="22"/>
      <c r="AA11" s="22"/>
      <c r="AB11" s="22"/>
      <c r="AC11" s="22"/>
      <c r="AD11" s="22"/>
      <c r="AE11" s="22"/>
      <c r="AF11" s="22"/>
      <c r="AG11" s="34"/>
      <c r="AH11" s="22"/>
      <c r="AI11" s="530"/>
      <c r="AJ11" s="530"/>
      <c r="AK11" s="530"/>
      <c r="AL11" s="59"/>
      <c r="AM11" s="59"/>
      <c r="AN11" s="59"/>
      <c r="AO11" s="59"/>
    </row>
    <row r="12" ht="15" customHeight="1">
      <c r="A12" s="23"/>
      <c r="B12" s="24"/>
      <c r="C12" s="69"/>
      <c r="D12" s="70"/>
      <c r="E12" s="70"/>
      <c r="F12" s="70"/>
      <c r="G12" s="70"/>
      <c r="H12" s="70"/>
      <c r="I12" s="70"/>
      <c r="J12" s="70"/>
      <c r="K12" s="70"/>
      <c r="L12" s="70"/>
      <c r="M12" s="70"/>
      <c r="N12" s="70"/>
      <c r="O12" s="70"/>
      <c r="P12" s="70"/>
      <c r="Q12" s="70"/>
      <c r="R12" s="70"/>
      <c r="S12" s="70"/>
      <c r="T12" s="70"/>
      <c r="U12" s="70"/>
      <c r="V12" s="70"/>
      <c r="W12" s="26"/>
      <c r="X12" s="26"/>
      <c r="Y12" s="26"/>
      <c r="Z12" s="26"/>
      <c r="AA12" s="26"/>
      <c r="AB12" s="26"/>
      <c r="AC12" s="26"/>
      <c r="AD12" s="26"/>
      <c r="AE12" s="26"/>
      <c r="AF12" s="26"/>
      <c r="AG12" s="70"/>
      <c r="AH12" s="26"/>
      <c r="AI12" s="532"/>
      <c r="AJ12" s="532"/>
      <c r="AK12" s="532"/>
      <c r="AL12" s="64"/>
      <c r="AM12" s="64"/>
      <c r="AN12" s="64"/>
      <c r="AO12" s="64"/>
    </row>
    <row r="13" ht="48" customHeight="1">
      <c r="A13" s="27">
        <v>2</v>
      </c>
      <c r="B13" t="s" s="28">
        <v>10</v>
      </c>
      <c r="C13" t="s" s="29">
        <v>703</v>
      </c>
      <c r="D13" t="s" s="533">
        <v>704</v>
      </c>
      <c r="E13" s="166">
        <v>632013</v>
      </c>
      <c r="F13" s="166">
        <v>2011</v>
      </c>
      <c r="G13" t="s" s="18">
        <v>705</v>
      </c>
      <c r="H13" s="166">
        <v>195236</v>
      </c>
      <c r="I13" s="166">
        <v>2011</v>
      </c>
      <c r="J13" t="s" s="18">
        <v>705</v>
      </c>
      <c r="K13" s="166">
        <v>3</v>
      </c>
      <c r="L13" s="166">
        <v>2011</v>
      </c>
      <c r="M13" t="s" s="18">
        <v>705</v>
      </c>
      <c r="N13" s="166">
        <v>45</v>
      </c>
      <c r="O13" s="166">
        <v>2011</v>
      </c>
      <c r="P13" t="s" s="18">
        <v>705</v>
      </c>
      <c r="Q13" s="167">
        <v>55</v>
      </c>
      <c r="R13" s="167">
        <v>2011</v>
      </c>
      <c r="S13" t="s" s="18">
        <v>705</v>
      </c>
      <c r="T13" t="s" s="171">
        <v>223</v>
      </c>
      <c r="U13" t="s" s="171">
        <v>223</v>
      </c>
      <c r="V13" t="s" s="171">
        <v>223</v>
      </c>
      <c r="W13" t="s" s="171">
        <v>223</v>
      </c>
      <c r="X13" t="s" s="171">
        <v>223</v>
      </c>
      <c r="Y13" t="s" s="171">
        <v>223</v>
      </c>
      <c r="Z13" t="s" s="171">
        <v>223</v>
      </c>
      <c r="AA13" t="s" s="171">
        <v>223</v>
      </c>
      <c r="AB13" t="s" s="171">
        <v>223</v>
      </c>
      <c r="AC13" s="172">
        <f t="shared" si="0" ref="AC13:AD13">916/3.44</f>
        <v>266.279069767442</v>
      </c>
      <c r="AD13" s="172">
        <f t="shared" si="0"/>
        <v>266.279069767442</v>
      </c>
      <c r="AE13" s="172">
        <f t="shared" si="2" ref="AE13:AF13">3573/3.44</f>
        <v>1038.662790697670</v>
      </c>
      <c r="AF13" s="172">
        <f t="shared" si="2"/>
        <v>1038.662790697670</v>
      </c>
      <c r="AG13" s="167">
        <v>54.55</v>
      </c>
      <c r="AH13" s="167">
        <v>26.6</v>
      </c>
      <c r="AI13" t="s" s="171">
        <v>706</v>
      </c>
      <c r="AJ13" t="s" s="171">
        <v>707</v>
      </c>
      <c r="AK13" t="s" s="171">
        <v>708</v>
      </c>
      <c r="AL13" s="529">
        <v>392</v>
      </c>
      <c r="AM13" s="529">
        <v>1612</v>
      </c>
      <c r="AN13" s="529">
        <v>13</v>
      </c>
      <c r="AO13" s="529">
        <v>131</v>
      </c>
    </row>
    <row r="14" ht="15" customHeight="1">
      <c r="A14" s="31"/>
      <c r="B14" s="32"/>
      <c r="C14" s="33"/>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534"/>
      <c r="AJ14" s="534">
        <f>1500/3.44</f>
        <v>436.046511627907</v>
      </c>
      <c r="AK14" s="534"/>
      <c r="AL14" t="s" s="303">
        <v>709</v>
      </c>
      <c r="AM14" s="59"/>
      <c r="AN14" s="59"/>
      <c r="AO14" s="59"/>
    </row>
    <row r="15" ht="15" customHeight="1">
      <c r="A15" s="31"/>
      <c r="B15" s="32"/>
      <c r="C15" s="33"/>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534"/>
      <c r="AJ15" s="534"/>
      <c r="AK15" s="534"/>
      <c r="AL15" s="59"/>
      <c r="AM15" s="59"/>
      <c r="AN15" s="59"/>
      <c r="AO15" s="59"/>
    </row>
    <row r="16" ht="15" customHeight="1">
      <c r="A16" s="31"/>
      <c r="B16" s="32"/>
      <c r="C16" s="33"/>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534"/>
      <c r="AJ16" s="534"/>
      <c r="AK16" s="534"/>
      <c r="AL16" s="59"/>
      <c r="AM16" s="59"/>
      <c r="AN16" s="59"/>
      <c r="AO16" s="59"/>
    </row>
    <row r="17" ht="15" customHeight="1">
      <c r="A17" s="31"/>
      <c r="B17" s="32"/>
      <c r="C17" s="33"/>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534"/>
      <c r="AJ17" s="534"/>
      <c r="AK17" s="534"/>
      <c r="AL17" s="59"/>
      <c r="AM17" s="59"/>
      <c r="AN17" s="59"/>
      <c r="AO17" s="59"/>
    </row>
    <row r="18" ht="15" customHeight="1">
      <c r="A18" s="35"/>
      <c r="B18" s="24"/>
      <c r="C18" s="25"/>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532"/>
      <c r="AJ18" s="532"/>
      <c r="AK18" s="532"/>
      <c r="AL18" s="64"/>
      <c r="AM18" s="64"/>
      <c r="AN18" s="64"/>
      <c r="AO18" s="59"/>
    </row>
    <row r="19" ht="132" customHeight="1">
      <c r="A19" s="15">
        <v>3</v>
      </c>
      <c r="B19" t="s" s="16">
        <v>12</v>
      </c>
      <c r="C19" t="s" s="29">
        <v>710</v>
      </c>
      <c r="D19" t="s" s="171">
        <v>711</v>
      </c>
      <c r="E19" s="196">
        <v>6320446</v>
      </c>
      <c r="F19" s="167">
        <v>2010</v>
      </c>
      <c r="G19" t="s" s="171">
        <v>234</v>
      </c>
      <c r="H19" s="196">
        <v>2145379</v>
      </c>
      <c r="I19" s="167">
        <v>2010</v>
      </c>
      <c r="J19" t="s" s="171">
        <v>234</v>
      </c>
      <c r="K19" s="167">
        <v>2.9</v>
      </c>
      <c r="L19" s="167">
        <v>2010</v>
      </c>
      <c r="M19" t="s" s="171">
        <v>234</v>
      </c>
      <c r="N19" s="167">
        <v>46.7</v>
      </c>
      <c r="O19" s="167">
        <v>2010</v>
      </c>
      <c r="P19" t="s" s="171">
        <v>234</v>
      </c>
      <c r="Q19" s="167">
        <v>53.3</v>
      </c>
      <c r="R19" s="167">
        <v>2010</v>
      </c>
      <c r="S19" t="s" s="171">
        <v>234</v>
      </c>
      <c r="T19" s="167">
        <v>24.8</v>
      </c>
      <c r="U19" s="167">
        <v>2010</v>
      </c>
      <c r="V19" t="s" s="171">
        <v>234</v>
      </c>
      <c r="W19" s="166">
        <v>9.26</v>
      </c>
      <c r="X19" s="166">
        <v>2010</v>
      </c>
      <c r="Y19" t="s" s="18">
        <v>234</v>
      </c>
      <c r="Z19" s="169"/>
      <c r="AA19" s="169"/>
      <c r="AB19" s="169"/>
      <c r="AC19" t="s" s="18">
        <v>712</v>
      </c>
      <c r="AD19" t="s" s="18">
        <v>712</v>
      </c>
      <c r="AE19" s="236">
        <v>2675.2</v>
      </c>
      <c r="AF19" s="236">
        <v>2240.11</v>
      </c>
      <c r="AG19" s="167">
        <v>35</v>
      </c>
      <c r="AH19" s="166">
        <v>22.8</v>
      </c>
      <c r="AI19" t="s" s="483">
        <v>713</v>
      </c>
      <c r="AJ19" t="s" s="535">
        <v>714</v>
      </c>
      <c r="AK19" t="s" s="171">
        <v>715</v>
      </c>
      <c r="AL19" s="166">
        <v>1201</v>
      </c>
      <c r="AM19" s="166">
        <v>5263</v>
      </c>
      <c r="AN19" s="285">
        <v>0.85</v>
      </c>
      <c r="AO19" s="536">
        <v>90798</v>
      </c>
    </row>
    <row r="20" ht="15" customHeight="1">
      <c r="A20" s="19"/>
      <c r="B20" s="32"/>
      <c r="C20" s="21"/>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34"/>
      <c r="AH20" s="22"/>
      <c r="AI20" s="530"/>
      <c r="AJ20" s="530"/>
      <c r="AK20" s="530"/>
      <c r="AL20" t="s" s="303">
        <v>716</v>
      </c>
      <c r="AM20" s="59"/>
      <c r="AN20" t="s" s="303">
        <v>717</v>
      </c>
      <c r="AO20" s="59"/>
    </row>
    <row r="21" ht="15" customHeight="1">
      <c r="A21" s="19"/>
      <c r="B21" s="32"/>
      <c r="C21" s="21"/>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11"/>
      <c r="AD21" s="211"/>
      <c r="AE21" s="22"/>
      <c r="AF21" s="22"/>
      <c r="AG21" s="34"/>
      <c r="AH21" s="22"/>
      <c r="AI21" s="530"/>
      <c r="AJ21" s="530"/>
      <c r="AK21" s="530"/>
      <c r="AL21" s="59"/>
      <c r="AM21" s="59"/>
      <c r="AN21" t="s" s="537">
        <v>718</v>
      </c>
      <c r="AO21" s="59"/>
    </row>
    <row r="22" ht="15" customHeight="1">
      <c r="A22" s="19"/>
      <c r="B22" s="32"/>
      <c r="C22" s="2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34"/>
      <c r="AH22" s="22"/>
      <c r="AI22" s="530"/>
      <c r="AJ22" s="530"/>
      <c r="AK22" s="530"/>
      <c r="AL22" s="59"/>
      <c r="AM22" s="59"/>
      <c r="AN22" s="59"/>
      <c r="AO22" s="59"/>
    </row>
    <row r="23" ht="15" customHeight="1">
      <c r="A23" s="19"/>
      <c r="B23" s="32"/>
      <c r="C23" s="21"/>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34"/>
      <c r="AH23" s="22"/>
      <c r="AI23" s="530"/>
      <c r="AJ23" s="530"/>
      <c r="AK23" s="530"/>
      <c r="AL23" s="59"/>
      <c r="AM23" s="59"/>
      <c r="AN23" s="59"/>
      <c r="AO23" s="59"/>
    </row>
    <row r="24" ht="15" customHeight="1">
      <c r="A24" s="19"/>
      <c r="B24" s="32"/>
      <c r="C24" s="21"/>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34"/>
      <c r="AH24" s="22"/>
      <c r="AI24" s="530"/>
      <c r="AJ24" s="530"/>
      <c r="AK24" s="530"/>
      <c r="AL24" s="59"/>
      <c r="AM24" s="59"/>
      <c r="AN24" s="59"/>
      <c r="AO24" s="59"/>
    </row>
    <row r="25" ht="15" customHeight="1">
      <c r="A25" s="19"/>
      <c r="B25" s="32"/>
      <c r="C25" s="21"/>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34"/>
      <c r="AH25" s="22"/>
      <c r="AI25" s="530"/>
      <c r="AJ25" s="530"/>
      <c r="AK25" s="530"/>
      <c r="AL25" s="59"/>
      <c r="AM25" s="59"/>
      <c r="AN25" s="59"/>
      <c r="AO25" s="59"/>
    </row>
    <row r="26" ht="15" customHeight="1">
      <c r="A26" s="19"/>
      <c r="B26" s="32"/>
      <c r="C26" s="21"/>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34"/>
      <c r="AH26" s="22"/>
      <c r="AI26" s="530"/>
      <c r="AJ26" s="530"/>
      <c r="AK26" s="530"/>
      <c r="AL26" s="59"/>
      <c r="AM26" s="59"/>
      <c r="AN26" s="59"/>
      <c r="AO26" s="59"/>
    </row>
    <row r="27" ht="15" customHeight="1">
      <c r="A27" s="19"/>
      <c r="B27" s="32"/>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34"/>
      <c r="AH27" s="22"/>
      <c r="AI27" s="530"/>
      <c r="AJ27" s="530"/>
      <c r="AK27" s="530"/>
      <c r="AL27" s="59"/>
      <c r="AM27" s="59"/>
      <c r="AN27" s="59"/>
      <c r="AO27" s="59"/>
    </row>
    <row r="28" ht="15" customHeight="1">
      <c r="A28" s="19"/>
      <c r="B28" s="32"/>
      <c r="C28" s="21"/>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34"/>
      <c r="AH28" s="22"/>
      <c r="AI28" s="530"/>
      <c r="AJ28" s="530"/>
      <c r="AK28" s="530"/>
      <c r="AL28" s="59"/>
      <c r="AM28" s="59"/>
      <c r="AN28" s="59"/>
      <c r="AO28" s="59"/>
    </row>
    <row r="29" ht="15" customHeight="1">
      <c r="A29" s="19"/>
      <c r="B29" s="32"/>
      <c r="C29" s="21"/>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34"/>
      <c r="AH29" s="22"/>
      <c r="AI29" s="530"/>
      <c r="AJ29" s="530"/>
      <c r="AK29" s="530"/>
      <c r="AL29" s="59"/>
      <c r="AM29" s="59"/>
      <c r="AN29" s="59"/>
      <c r="AO29" s="59"/>
    </row>
    <row r="30" ht="15" customHeight="1">
      <c r="A30" s="19"/>
      <c r="B30" s="32"/>
      <c r="C30" s="21"/>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34"/>
      <c r="AH30" s="22"/>
      <c r="AI30" s="530"/>
      <c r="AJ30" s="530"/>
      <c r="AK30" s="530"/>
      <c r="AL30" s="59"/>
      <c r="AM30" s="59"/>
      <c r="AN30" s="59"/>
      <c r="AO30" s="59"/>
    </row>
    <row r="31" ht="15" customHeight="1">
      <c r="A31" s="19"/>
      <c r="B31" s="32"/>
      <c r="C31" s="21"/>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34"/>
      <c r="AH31" s="22"/>
      <c r="AI31" s="530"/>
      <c r="AJ31" s="530"/>
      <c r="AK31" s="530"/>
      <c r="AL31" s="59"/>
      <c r="AM31" s="59"/>
      <c r="AN31" s="59"/>
      <c r="AO31" s="59"/>
    </row>
    <row r="32" ht="15" customHeight="1">
      <c r="A32" s="19"/>
      <c r="B32" s="32"/>
      <c r="C32" s="21"/>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34"/>
      <c r="AH32" s="22"/>
      <c r="AI32" s="530"/>
      <c r="AJ32" s="530"/>
      <c r="AK32" s="530"/>
      <c r="AL32" s="59"/>
      <c r="AM32" s="59"/>
      <c r="AN32" s="59"/>
      <c r="AO32" s="59"/>
    </row>
    <row r="33" ht="15" customHeight="1">
      <c r="A33" s="19"/>
      <c r="B33" s="32"/>
      <c r="C33" s="21"/>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34"/>
      <c r="AH33" s="22"/>
      <c r="AI33" s="530"/>
      <c r="AJ33" s="530"/>
      <c r="AK33" s="530"/>
      <c r="AL33" s="59"/>
      <c r="AM33" s="59"/>
      <c r="AN33" s="59"/>
      <c r="AO33" s="59"/>
    </row>
    <row r="34" ht="15" customHeight="1">
      <c r="A34" s="19"/>
      <c r="B34" s="32"/>
      <c r="C34" s="21"/>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34"/>
      <c r="AH34" s="22"/>
      <c r="AI34" s="530"/>
      <c r="AJ34" s="530"/>
      <c r="AK34" s="530"/>
      <c r="AL34" s="59"/>
      <c r="AM34" s="59"/>
      <c r="AN34" s="59"/>
      <c r="AO34" s="59"/>
    </row>
    <row r="35" ht="15" customHeight="1">
      <c r="A35" s="19"/>
      <c r="B35" s="37"/>
      <c r="C35" s="538"/>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5"/>
      <c r="AH35" s="227"/>
      <c r="AI35" s="539"/>
      <c r="AJ35" s="539"/>
      <c r="AK35" s="539"/>
      <c r="AL35" s="59"/>
      <c r="AM35" s="59"/>
      <c r="AN35" s="59"/>
      <c r="AO35" s="59"/>
    </row>
    <row r="36" ht="15" customHeight="1">
      <c r="A36" s="19"/>
      <c r="B36" s="37"/>
      <c r="C36" s="538"/>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5"/>
      <c r="AH36" s="227"/>
      <c r="AI36" s="539"/>
      <c r="AJ36" s="539"/>
      <c r="AK36" s="539"/>
      <c r="AL36" s="59"/>
      <c r="AM36" s="59"/>
      <c r="AN36" s="59"/>
      <c r="AO36" s="59"/>
    </row>
    <row r="37" ht="15" customHeight="1">
      <c r="A37" s="19"/>
      <c r="B37" s="37"/>
      <c r="C37" s="538"/>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5"/>
      <c r="AH37" s="227"/>
      <c r="AI37" s="539"/>
      <c r="AJ37" s="539"/>
      <c r="AK37" s="539"/>
      <c r="AL37" s="59"/>
      <c r="AM37" s="59"/>
      <c r="AN37" s="59"/>
      <c r="AO37" s="59"/>
    </row>
    <row r="38" ht="15" customHeight="1">
      <c r="A38" s="19"/>
      <c r="B38" s="37"/>
      <c r="C38" s="538"/>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5"/>
      <c r="AH38" s="227"/>
      <c r="AI38" s="539"/>
      <c r="AJ38" s="539"/>
      <c r="AK38" s="539"/>
      <c r="AL38" s="59"/>
      <c r="AM38" s="59"/>
      <c r="AN38" s="59"/>
      <c r="AO38" s="59"/>
    </row>
    <row r="39" ht="15" customHeight="1">
      <c r="A39" s="19"/>
      <c r="B39" s="37"/>
      <c r="C39" s="538"/>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5"/>
      <c r="AH39" s="227"/>
      <c r="AI39" s="539"/>
      <c r="AJ39" s="539"/>
      <c r="AK39" s="539"/>
      <c r="AL39" s="59"/>
      <c r="AM39" s="59"/>
      <c r="AN39" s="59"/>
      <c r="AO39" s="59"/>
    </row>
    <row r="40" ht="15" customHeight="1">
      <c r="A40" s="19"/>
      <c r="B40" s="37"/>
      <c r="C40" s="538"/>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5"/>
      <c r="AH40" s="227"/>
      <c r="AI40" s="539"/>
      <c r="AJ40" s="539"/>
      <c r="AK40" s="539"/>
      <c r="AL40" s="59"/>
      <c r="AM40" s="59"/>
      <c r="AN40" s="59"/>
      <c r="AO40" s="59"/>
    </row>
    <row r="41" ht="15" customHeight="1">
      <c r="A41" s="19"/>
      <c r="B41" s="37"/>
      <c r="C41" s="538"/>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5"/>
      <c r="AH41" s="227"/>
      <c r="AI41" s="539"/>
      <c r="AJ41" s="539"/>
      <c r="AK41" s="539"/>
      <c r="AL41" s="59"/>
      <c r="AM41" s="59"/>
      <c r="AN41" s="59"/>
      <c r="AO41" s="59"/>
    </row>
    <row r="42" ht="15" customHeight="1">
      <c r="A42" s="23"/>
      <c r="B42" s="40"/>
      <c r="C42" s="540"/>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51"/>
      <c r="AH42" s="231"/>
      <c r="AI42" s="541"/>
      <c r="AJ42" s="541"/>
      <c r="AK42" s="541"/>
      <c r="AL42" s="64"/>
      <c r="AM42" s="64"/>
      <c r="AN42" s="64"/>
      <c r="AO42" s="64"/>
    </row>
    <row r="43" ht="36" customHeight="1">
      <c r="A43" s="15">
        <v>4</v>
      </c>
      <c r="B43" t="s" s="16">
        <v>14</v>
      </c>
      <c r="C43" t="s" s="29">
        <v>719</v>
      </c>
      <c r="D43" t="s" s="171">
        <v>711</v>
      </c>
      <c r="E43" t="s" s="18">
        <v>720</v>
      </c>
      <c r="F43" s="167">
        <v>2016</v>
      </c>
      <c r="G43" t="s" s="18">
        <v>721</v>
      </c>
      <c r="H43" s="165">
        <v>3573509</v>
      </c>
      <c r="I43" s="167">
        <v>2010</v>
      </c>
      <c r="J43" t="s" s="18">
        <v>722</v>
      </c>
      <c r="K43" s="166">
        <v>3.14</v>
      </c>
      <c r="L43" s="167">
        <v>2010</v>
      </c>
      <c r="M43" t="s" s="18">
        <v>723</v>
      </c>
      <c r="N43" s="167">
        <v>54.4</v>
      </c>
      <c r="O43" s="167">
        <v>2015</v>
      </c>
      <c r="P43" t="s" s="18">
        <v>724</v>
      </c>
      <c r="Q43" s="167">
        <v>45.6</v>
      </c>
      <c r="R43" s="167">
        <v>2015</v>
      </c>
      <c r="S43" t="s" s="18">
        <v>724</v>
      </c>
      <c r="T43" s="167">
        <v>40</v>
      </c>
      <c r="U43" s="168"/>
      <c r="V43" t="s" s="18">
        <v>279</v>
      </c>
      <c r="W43" s="166">
        <v>30</v>
      </c>
      <c r="X43" s="169"/>
      <c r="Y43" t="s" s="18">
        <v>279</v>
      </c>
      <c r="Z43" s="166">
        <v>15</v>
      </c>
      <c r="AA43" s="169"/>
      <c r="AB43" t="s" s="18">
        <v>279</v>
      </c>
      <c r="AC43" t="s" s="170">
        <v>725</v>
      </c>
      <c r="AD43" t="s" s="170">
        <v>725</v>
      </c>
      <c r="AE43" t="s" s="170">
        <v>726</v>
      </c>
      <c r="AF43" t="s" s="170">
        <v>726</v>
      </c>
      <c r="AG43" t="s" s="170">
        <v>727</v>
      </c>
      <c r="AH43" s="542">
        <v>0.116</v>
      </c>
      <c r="AI43" t="s" s="543">
        <v>728</v>
      </c>
      <c r="AJ43" t="s" s="544">
        <v>729</v>
      </c>
      <c r="AK43" t="s" s="170">
        <v>730</v>
      </c>
      <c r="AL43" s="545">
        <v>1521</v>
      </c>
      <c r="AM43" s="545">
        <v>7916</v>
      </c>
      <c r="AN43" s="545">
        <v>0.08</v>
      </c>
      <c r="AO43" s="545">
        <v>86500</v>
      </c>
    </row>
    <row r="44" ht="15" customHeight="1">
      <c r="A44" s="19"/>
      <c r="B44" s="44"/>
      <c r="C44" s="33"/>
      <c r="D44" s="34"/>
      <c r="E44" s="34"/>
      <c r="F44" s="34"/>
      <c r="G44" s="34"/>
      <c r="H44" s="34"/>
      <c r="I44" s="34"/>
      <c r="J44" s="34"/>
      <c r="K44" s="34"/>
      <c r="L44" s="34"/>
      <c r="M44" s="34"/>
      <c r="N44" s="34"/>
      <c r="O44" s="34"/>
      <c r="P44" s="34"/>
      <c r="Q44" s="34"/>
      <c r="R44" s="34"/>
      <c r="S44" s="34"/>
      <c r="T44" s="34"/>
      <c r="U44" s="34"/>
      <c r="V44" s="34"/>
      <c r="W44" s="22"/>
      <c r="X44" s="22"/>
      <c r="Y44" s="22"/>
      <c r="Z44" s="22"/>
      <c r="AA44" s="22"/>
      <c r="AB44" s="22"/>
      <c r="AC44" s="211"/>
      <c r="AD44" s="211"/>
      <c r="AE44" s="211"/>
      <c r="AF44" s="211"/>
      <c r="AG44" s="211"/>
      <c r="AH44" s="211"/>
      <c r="AI44" t="s" s="546">
        <v>731</v>
      </c>
      <c r="AJ44" s="547"/>
      <c r="AK44" s="547"/>
      <c r="AL44" s="59"/>
      <c r="AM44" s="59"/>
      <c r="AN44" t="s" s="303">
        <v>732</v>
      </c>
      <c r="AO44" s="59"/>
    </row>
    <row r="45" ht="15" customHeight="1">
      <c r="A45" s="19"/>
      <c r="B45" s="44"/>
      <c r="C45" s="33"/>
      <c r="D45" s="34"/>
      <c r="E45" s="34"/>
      <c r="F45" s="34"/>
      <c r="G45" s="34"/>
      <c r="H45" s="34"/>
      <c r="I45" s="34"/>
      <c r="J45" s="34"/>
      <c r="K45" s="34"/>
      <c r="L45" s="34"/>
      <c r="M45" s="34"/>
      <c r="N45" s="34"/>
      <c r="O45" s="34"/>
      <c r="P45" s="34"/>
      <c r="Q45" s="34"/>
      <c r="R45" s="34"/>
      <c r="S45" s="34"/>
      <c r="T45" s="34"/>
      <c r="U45" s="34"/>
      <c r="V45" s="34"/>
      <c r="W45" s="22"/>
      <c r="X45" s="22"/>
      <c r="Y45" s="22"/>
      <c r="Z45" s="22"/>
      <c r="AA45" s="22"/>
      <c r="AB45" s="22"/>
      <c r="AC45" s="22"/>
      <c r="AD45" s="22"/>
      <c r="AE45" s="211"/>
      <c r="AF45" s="211"/>
      <c r="AG45" s="34"/>
      <c r="AH45" s="22"/>
      <c r="AI45" t="s" s="209">
        <v>733</v>
      </c>
      <c r="AJ45" s="530"/>
      <c r="AK45" s="530"/>
      <c r="AL45" s="59"/>
      <c r="AM45" s="59"/>
      <c r="AN45" s="59"/>
      <c r="AO45" s="59"/>
    </row>
    <row r="46" ht="15" customHeight="1">
      <c r="A46" s="19"/>
      <c r="B46" s="44"/>
      <c r="C46" s="33"/>
      <c r="D46" s="34"/>
      <c r="E46" s="34"/>
      <c r="F46" s="34"/>
      <c r="G46" s="34"/>
      <c r="H46" s="34"/>
      <c r="I46" s="34"/>
      <c r="J46" s="34"/>
      <c r="K46" s="34"/>
      <c r="L46" s="34"/>
      <c r="M46" s="34"/>
      <c r="N46" s="34"/>
      <c r="O46" s="34"/>
      <c r="P46" s="34"/>
      <c r="Q46" s="34"/>
      <c r="R46" s="34"/>
      <c r="S46" s="34"/>
      <c r="T46" s="34"/>
      <c r="U46" s="34"/>
      <c r="V46" s="34"/>
      <c r="W46" s="22"/>
      <c r="X46" s="22"/>
      <c r="Y46" s="22"/>
      <c r="Z46" s="22"/>
      <c r="AA46" s="22"/>
      <c r="AB46" s="22"/>
      <c r="AC46" s="22"/>
      <c r="AD46" s="22"/>
      <c r="AE46" s="211"/>
      <c r="AF46" s="211"/>
      <c r="AG46" s="34"/>
      <c r="AH46" s="22"/>
      <c r="AI46" s="530"/>
      <c r="AJ46" s="530"/>
      <c r="AK46" s="530"/>
      <c r="AL46" s="59"/>
      <c r="AM46" s="59"/>
      <c r="AN46" s="59"/>
      <c r="AO46" s="59"/>
    </row>
    <row r="47" ht="15" customHeight="1">
      <c r="A47" s="23"/>
      <c r="B47" s="45"/>
      <c r="C47" s="69"/>
      <c r="D47" s="70"/>
      <c r="E47" s="70"/>
      <c r="F47" s="70"/>
      <c r="G47" s="70"/>
      <c r="H47" s="70"/>
      <c r="I47" s="70"/>
      <c r="J47" s="70"/>
      <c r="K47" s="70"/>
      <c r="L47" s="70"/>
      <c r="M47" s="70"/>
      <c r="N47" s="70"/>
      <c r="O47" s="70"/>
      <c r="P47" s="70"/>
      <c r="Q47" s="70"/>
      <c r="R47" s="70"/>
      <c r="S47" s="70"/>
      <c r="T47" s="70"/>
      <c r="U47" s="70"/>
      <c r="V47" s="70"/>
      <c r="W47" s="26"/>
      <c r="X47" s="26"/>
      <c r="Y47" s="26"/>
      <c r="Z47" s="26"/>
      <c r="AA47" s="26"/>
      <c r="AB47" s="26"/>
      <c r="AC47" s="26"/>
      <c r="AD47" s="26"/>
      <c r="AE47" s="252"/>
      <c r="AF47" s="252"/>
      <c r="AG47" s="70"/>
      <c r="AH47" s="26"/>
      <c r="AI47" s="532"/>
      <c r="AJ47" s="532"/>
      <c r="AK47" s="532"/>
      <c r="AL47" s="64"/>
      <c r="AM47" s="64"/>
      <c r="AN47" s="64"/>
      <c r="AO47" s="64"/>
    </row>
    <row r="48" ht="84" customHeight="1">
      <c r="A48" s="27">
        <v>5</v>
      </c>
      <c r="B48" t="s" s="28">
        <v>16</v>
      </c>
      <c r="C48" t="s" s="29">
        <v>16</v>
      </c>
      <c r="D48" t="s" s="171">
        <v>734</v>
      </c>
      <c r="E48" s="165">
        <v>2278022</v>
      </c>
      <c r="F48" s="166">
        <v>2017</v>
      </c>
      <c r="G48" t="s" s="18">
        <v>735</v>
      </c>
      <c r="H48" s="165">
        <v>604410</v>
      </c>
      <c r="I48" s="166">
        <v>2017</v>
      </c>
      <c r="J48" t="s" s="18">
        <v>735</v>
      </c>
      <c r="K48" s="166">
        <v>4</v>
      </c>
      <c r="L48" s="166">
        <v>2017</v>
      </c>
      <c r="M48" t="s" s="18">
        <v>735</v>
      </c>
      <c r="N48" s="167">
        <v>53.3</v>
      </c>
      <c r="O48" s="167">
        <v>2017</v>
      </c>
      <c r="P48" t="s" s="171">
        <v>736</v>
      </c>
      <c r="Q48" s="167">
        <v>68.2</v>
      </c>
      <c r="R48" s="167">
        <v>2017</v>
      </c>
      <c r="S48" t="s" s="171">
        <v>736</v>
      </c>
      <c r="T48" t="s" s="171">
        <v>197</v>
      </c>
      <c r="U48" t="s" s="171">
        <v>197</v>
      </c>
      <c r="V48" t="s" s="171">
        <v>197</v>
      </c>
      <c r="W48" t="s" s="171">
        <v>197</v>
      </c>
      <c r="X48" t="s" s="171">
        <v>197</v>
      </c>
      <c r="Y48" t="s" s="171">
        <v>197</v>
      </c>
      <c r="Z48" t="s" s="171">
        <v>197</v>
      </c>
      <c r="AA48" t="s" s="171">
        <v>197</v>
      </c>
      <c r="AB48" t="s" s="171">
        <v>197</v>
      </c>
      <c r="AC48" s="199">
        <f t="shared" si="5" ref="AC48:AD48">737717/1371.54</f>
        <v>537.874943494174</v>
      </c>
      <c r="AD48" s="199">
        <f t="shared" si="5"/>
        <v>537.874943494174</v>
      </c>
      <c r="AE48" s="172">
        <f>1475000/1371.54</f>
        <v>1075.433454365170</v>
      </c>
      <c r="AF48" s="172">
        <f>1200000/1371.54</f>
        <v>874.9289120258979</v>
      </c>
      <c r="AG48" s="167">
        <v>60</v>
      </c>
      <c r="AH48" s="167">
        <v>23</v>
      </c>
      <c r="AI48" t="s" s="171">
        <v>737</v>
      </c>
      <c r="AJ48" t="s" s="171">
        <v>738</v>
      </c>
      <c r="AK48" t="s" s="171">
        <v>739</v>
      </c>
      <c r="AL48" s="529">
        <v>619</v>
      </c>
      <c r="AM48" s="529">
        <v>3680</v>
      </c>
      <c r="AN48" s="123"/>
      <c r="AO48" s="123"/>
    </row>
    <row r="49" ht="15" customHeight="1">
      <c r="A49" s="31"/>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264">
        <f>590173/1371.54</f>
        <v>430.299517330884</v>
      </c>
      <c r="AJ49" s="264">
        <f>1327890/1371.54</f>
        <v>968.174460825058</v>
      </c>
      <c r="AK49" s="548"/>
      <c r="AL49" s="59"/>
      <c r="AM49" s="59"/>
      <c r="AN49" s="59"/>
      <c r="AO49" s="59"/>
    </row>
    <row r="50" ht="15" customHeight="1">
      <c r="A50" s="31"/>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548"/>
      <c r="AJ50" s="548"/>
      <c r="AK50" s="548"/>
      <c r="AL50" s="59"/>
      <c r="AM50" s="59"/>
      <c r="AN50" s="59"/>
      <c r="AO50" s="59"/>
    </row>
    <row r="51" ht="15" customHeight="1">
      <c r="A51" s="31"/>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548"/>
      <c r="AJ51" s="548"/>
      <c r="AK51" s="548"/>
      <c r="AL51" s="59"/>
      <c r="AM51" s="59"/>
      <c r="AN51" s="59"/>
      <c r="AO51" s="59"/>
    </row>
    <row r="52" ht="15" customHeight="1">
      <c r="A52" s="31"/>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548"/>
      <c r="AJ52" s="548"/>
      <c r="AK52" s="548"/>
      <c r="AL52" s="59"/>
      <c r="AM52" s="59"/>
      <c r="AN52" s="59"/>
      <c r="AO52" s="59"/>
    </row>
    <row r="53" ht="15" customHeight="1">
      <c r="A53" s="31"/>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548"/>
      <c r="AJ53" s="548"/>
      <c r="AK53" s="548"/>
      <c r="AL53" s="59"/>
      <c r="AM53" s="59"/>
      <c r="AN53" s="59"/>
      <c r="AO53" s="59"/>
    </row>
    <row r="54" ht="15" customHeight="1">
      <c r="A54" s="31"/>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548"/>
      <c r="AJ54" s="548"/>
      <c r="AK54" s="548"/>
      <c r="AL54" s="59"/>
      <c r="AM54" s="59"/>
      <c r="AN54" s="59"/>
      <c r="AO54" s="59"/>
    </row>
    <row r="55" ht="15" customHeight="1">
      <c r="A55" s="35"/>
      <c r="B55" s="49"/>
      <c r="C55" s="41"/>
      <c r="D55" s="42"/>
      <c r="E55" s="42"/>
      <c r="F55" s="42"/>
      <c r="G55" s="42"/>
      <c r="H55" s="42"/>
      <c r="I55" s="42"/>
      <c r="J55" s="42"/>
      <c r="K55" s="42"/>
      <c r="L55" s="42"/>
      <c r="M55" s="42"/>
      <c r="N55" s="42"/>
      <c r="O55" s="42"/>
      <c r="P55" s="42"/>
      <c r="Q55" s="42"/>
      <c r="R55" s="42"/>
      <c r="S55" s="42"/>
      <c r="T55" s="42"/>
      <c r="U55" s="42"/>
      <c r="V55" s="42"/>
      <c r="W55" s="51"/>
      <c r="X55" s="51"/>
      <c r="Y55" s="51"/>
      <c r="Z55" s="51"/>
      <c r="AA55" s="51"/>
      <c r="AB55" s="51"/>
      <c r="AC55" s="51"/>
      <c r="AD55" s="51"/>
      <c r="AE55" s="51"/>
      <c r="AF55" s="51"/>
      <c r="AG55" s="51"/>
      <c r="AH55" s="51"/>
      <c r="AI55" s="549"/>
      <c r="AJ55" s="549"/>
      <c r="AK55" s="549"/>
      <c r="AL55" s="59"/>
      <c r="AM55" s="59"/>
      <c r="AN55" s="64"/>
      <c r="AO55" s="64"/>
    </row>
    <row r="56" ht="30" customHeight="1">
      <c r="A56" s="52">
        <v>6</v>
      </c>
      <c r="B56" t="s" s="53">
        <v>19</v>
      </c>
      <c r="C56" t="s" s="550">
        <v>740</v>
      </c>
      <c r="D56" t="s" s="82">
        <v>741</v>
      </c>
      <c r="E56" s="285">
        <v>8443675</v>
      </c>
      <c r="F56" s="285">
        <v>2011</v>
      </c>
      <c r="G56" t="s" s="82">
        <v>742</v>
      </c>
      <c r="H56" s="285">
        <v>2101831</v>
      </c>
      <c r="I56" s="285">
        <v>2011</v>
      </c>
      <c r="J56" t="s" s="82">
        <v>742</v>
      </c>
      <c r="K56" s="285">
        <v>4</v>
      </c>
      <c r="L56" s="285">
        <v>2011</v>
      </c>
      <c r="M56" t="s" s="82">
        <v>742</v>
      </c>
      <c r="N56" s="551">
        <v>0.2662</v>
      </c>
      <c r="O56" s="285">
        <v>2011</v>
      </c>
      <c r="P56" t="s" s="82">
        <v>742</v>
      </c>
      <c r="Q56" s="551">
        <v>0.7338</v>
      </c>
      <c r="R56" s="285">
        <v>2011</v>
      </c>
      <c r="S56" t="s" s="82">
        <v>742</v>
      </c>
      <c r="T56" t="s" s="82">
        <v>197</v>
      </c>
      <c r="U56" s="123"/>
      <c r="V56" s="123"/>
      <c r="W56" t="s" s="82">
        <v>197</v>
      </c>
      <c r="X56" s="123"/>
      <c r="Y56" s="123"/>
      <c r="Z56" t="s" s="82">
        <v>197</v>
      </c>
      <c r="AA56" s="123"/>
      <c r="AB56" s="123"/>
      <c r="AC56" t="s" s="82">
        <v>197</v>
      </c>
      <c r="AD56" t="s" s="82">
        <v>197</v>
      </c>
      <c r="AE56" t="s" s="82">
        <v>197</v>
      </c>
      <c r="AF56" t="s" s="82">
        <v>197</v>
      </c>
      <c r="AG56" s="337">
        <v>0.6</v>
      </c>
      <c r="AH56" s="337">
        <v>0.3</v>
      </c>
      <c r="AI56" t="s" s="283">
        <v>743</v>
      </c>
      <c r="AJ56" t="s" s="283">
        <v>744</v>
      </c>
      <c r="AK56" t="s" s="552">
        <v>745</v>
      </c>
      <c r="AL56" s="553">
        <v>741</v>
      </c>
      <c r="AM56" s="299">
        <v>11395</v>
      </c>
      <c r="AN56" t="s" s="82">
        <v>746</v>
      </c>
      <c r="AO56" s="554">
        <v>140000</v>
      </c>
    </row>
    <row r="57" ht="15" customHeight="1">
      <c r="A57" s="56"/>
      <c r="B57" s="57"/>
      <c r="C57" s="555"/>
      <c r="D57" s="59"/>
      <c r="E57" t="s" s="303">
        <v>747</v>
      </c>
      <c r="F57" s="299">
        <v>2015</v>
      </c>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56">
        <f>15000/19.98</f>
        <v>750.750750750751</v>
      </c>
      <c r="AJ57" s="556">
        <f>43000/19.98</f>
        <v>2152.152152152150</v>
      </c>
      <c r="AK57" s="125"/>
      <c r="AL57" s="59"/>
      <c r="AM57" s="59"/>
      <c r="AN57" s="59"/>
      <c r="AO57" s="59"/>
    </row>
    <row r="58" ht="15" customHeight="1">
      <c r="A58" s="56"/>
      <c r="B58" s="57"/>
      <c r="C58" s="58"/>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t="s" s="557">
        <v>748</v>
      </c>
      <c r="AJ58" s="125"/>
      <c r="AK58" s="125"/>
      <c r="AL58" s="59"/>
      <c r="AM58" s="59"/>
      <c r="AN58" s="59"/>
      <c r="AO58" s="59"/>
    </row>
    <row r="59" ht="28.5" customHeight="1">
      <c r="A59" s="60"/>
      <c r="B59" s="57"/>
      <c r="C59" s="58"/>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125"/>
      <c r="AJ59" s="125"/>
      <c r="AK59" s="125"/>
      <c r="AL59" s="59"/>
      <c r="AM59" s="59"/>
      <c r="AN59" s="59"/>
      <c r="AO59" s="59"/>
    </row>
    <row r="60" ht="28.5" customHeight="1">
      <c r="A60" s="60"/>
      <c r="B60" s="57"/>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125"/>
      <c r="AJ60" s="125"/>
      <c r="AK60" s="125"/>
      <c r="AL60" s="59"/>
      <c r="AM60" s="59"/>
      <c r="AN60" s="59"/>
      <c r="AO60" s="59"/>
    </row>
    <row r="61" ht="28.5" customHeight="1">
      <c r="A61" s="60"/>
      <c r="B61" s="57"/>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125"/>
      <c r="AJ61" s="125"/>
      <c r="AK61" s="125"/>
      <c r="AL61" s="59"/>
      <c r="AM61" s="59"/>
      <c r="AN61" s="59"/>
      <c r="AO61" s="59"/>
    </row>
    <row r="62" ht="28.5" customHeight="1">
      <c r="A62" s="60"/>
      <c r="B62" s="57"/>
      <c r="C62" s="58"/>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125"/>
      <c r="AJ62" s="125"/>
      <c r="AK62" s="125"/>
      <c r="AL62" s="59"/>
      <c r="AM62" s="59"/>
      <c r="AN62" s="59"/>
      <c r="AO62" s="59"/>
    </row>
    <row r="63" ht="28.5" customHeight="1">
      <c r="A63" s="60"/>
      <c r="B63" s="57"/>
      <c r="C63" s="58"/>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125"/>
      <c r="AJ63" s="125"/>
      <c r="AK63" s="125"/>
      <c r="AL63" s="59"/>
      <c r="AM63" s="59"/>
      <c r="AN63" s="59"/>
      <c r="AO63" s="59"/>
    </row>
    <row r="64" ht="28.5" customHeight="1">
      <c r="A64" s="60"/>
      <c r="B64" s="57"/>
      <c r="C64" s="58"/>
      <c r="D64" s="59"/>
      <c r="E64" s="59"/>
      <c r="F64" s="59"/>
      <c r="G64" t="s" s="303">
        <v>749</v>
      </c>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125"/>
      <c r="AJ64" s="125"/>
      <c r="AK64" s="125"/>
      <c r="AL64" s="59"/>
      <c r="AM64" s="59"/>
      <c r="AN64" s="59"/>
      <c r="AO64" s="59"/>
    </row>
    <row r="65" ht="28.5" customHeight="1">
      <c r="A65" s="60"/>
      <c r="B65" s="57"/>
      <c r="C65" s="58"/>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125"/>
      <c r="AJ65" s="125"/>
      <c r="AK65" s="125"/>
      <c r="AL65" s="59"/>
      <c r="AM65" s="59"/>
      <c r="AN65" s="59"/>
      <c r="AO65" s="59"/>
    </row>
    <row r="66" ht="28.5" customHeight="1">
      <c r="A66" s="60"/>
      <c r="B66" s="57"/>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125"/>
      <c r="AJ66" s="125"/>
      <c r="AK66" s="125"/>
      <c r="AL66" s="59"/>
      <c r="AM66" s="59"/>
      <c r="AN66" s="59"/>
      <c r="AO66" s="59"/>
    </row>
    <row r="67" ht="28.5" customHeight="1">
      <c r="A67" s="60"/>
      <c r="B67" s="57"/>
      <c r="C67" s="58"/>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125"/>
      <c r="AJ67" s="125"/>
      <c r="AK67" s="125"/>
      <c r="AL67" s="59"/>
      <c r="AM67" s="59"/>
      <c r="AN67" s="59"/>
      <c r="AO67" s="59"/>
    </row>
    <row r="68" ht="28.5" customHeight="1">
      <c r="A68" s="60"/>
      <c r="B68" s="57"/>
      <c r="C68" s="58"/>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125"/>
      <c r="AJ68" s="125"/>
      <c r="AK68" s="125"/>
      <c r="AL68" s="59"/>
      <c r="AM68" s="59"/>
      <c r="AN68" s="59"/>
      <c r="AO68" s="59"/>
    </row>
    <row r="69" ht="28.5" customHeight="1">
      <c r="A69" s="61"/>
      <c r="B69" s="62"/>
      <c r="C69" s="63"/>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558"/>
      <c r="AJ69" s="558"/>
      <c r="AK69" s="558"/>
      <c r="AL69" s="64"/>
      <c r="AM69" s="64"/>
      <c r="AN69" s="64"/>
      <c r="AO69" s="64"/>
    </row>
    <row r="70" ht="48" customHeight="1">
      <c r="A70" s="15">
        <v>7</v>
      </c>
      <c r="B70" t="s" s="65">
        <v>21</v>
      </c>
      <c r="C70" t="s" s="29">
        <v>750</v>
      </c>
      <c r="D70" t="s" s="171">
        <v>751</v>
      </c>
      <c r="E70" s="165">
        <v>12442373</v>
      </c>
      <c r="F70" s="167">
        <v>2011</v>
      </c>
      <c r="G70" t="s" s="18">
        <v>752</v>
      </c>
      <c r="H70" s="165">
        <v>2752530</v>
      </c>
      <c r="I70" s="167">
        <v>2011</v>
      </c>
      <c r="J70" t="s" s="18">
        <v>752</v>
      </c>
      <c r="K70" s="167">
        <v>4.52</v>
      </c>
      <c r="L70" s="167">
        <v>2011</v>
      </c>
      <c r="M70" t="s" s="18">
        <v>752</v>
      </c>
      <c r="N70" s="167">
        <v>21</v>
      </c>
      <c r="O70" s="167">
        <v>2011</v>
      </c>
      <c r="P70" t="s" s="18">
        <v>752</v>
      </c>
      <c r="Q70" s="167">
        <v>79</v>
      </c>
      <c r="R70" s="167">
        <v>2011</v>
      </c>
      <c r="S70" t="s" s="18">
        <v>752</v>
      </c>
      <c r="T70" t="s" s="171">
        <v>197</v>
      </c>
      <c r="U70" s="167">
        <v>2011</v>
      </c>
      <c r="V70" t="s" s="18">
        <v>753</v>
      </c>
      <c r="W70" t="s" s="18">
        <v>197</v>
      </c>
      <c r="X70" s="166">
        <v>2011</v>
      </c>
      <c r="Y70" t="s" s="18">
        <v>753</v>
      </c>
      <c r="Z70" t="s" s="18">
        <v>197</v>
      </c>
      <c r="AA70" s="166">
        <v>2011</v>
      </c>
      <c r="AB70" t="s" s="18">
        <v>753</v>
      </c>
      <c r="AC70" t="s" s="18">
        <v>754</v>
      </c>
      <c r="AD70" t="s" s="18">
        <v>755</v>
      </c>
      <c r="AE70" t="s" s="18">
        <v>756</v>
      </c>
      <c r="AF70" t="s" s="18">
        <v>757</v>
      </c>
      <c r="AG70" s="559">
        <v>0.8</v>
      </c>
      <c r="AH70" s="560">
        <v>0.404</v>
      </c>
      <c r="AI70" t="s" s="171">
        <v>758</v>
      </c>
      <c r="AJ70" t="s" s="18">
        <v>759</v>
      </c>
      <c r="AK70" s="561"/>
      <c r="AL70" t="s" s="18">
        <v>760</v>
      </c>
      <c r="AM70" s="561">
        <v>27167</v>
      </c>
      <c r="AN70" s="123"/>
      <c r="AO70" s="123"/>
    </row>
    <row r="71" ht="15" customHeight="1">
      <c r="A71" s="19"/>
      <c r="B71" s="67"/>
      <c r="C71" s="33"/>
      <c r="D71" s="34"/>
      <c r="E71" s="34"/>
      <c r="F71" s="34"/>
      <c r="G71" s="34"/>
      <c r="H71" s="34"/>
      <c r="I71" s="34"/>
      <c r="J71" s="34"/>
      <c r="K71" s="34"/>
      <c r="L71" s="34"/>
      <c r="M71" s="34"/>
      <c r="N71" s="34"/>
      <c r="O71" s="34"/>
      <c r="P71" s="34"/>
      <c r="Q71" s="34"/>
      <c r="R71" s="34"/>
      <c r="S71" s="34"/>
      <c r="T71" s="34"/>
      <c r="U71" s="34"/>
      <c r="V71" s="34"/>
      <c r="W71" s="22"/>
      <c r="X71" s="22"/>
      <c r="Y71" s="22"/>
      <c r="Z71" s="22"/>
      <c r="AA71" s="22"/>
      <c r="AB71" s="22"/>
      <c r="AC71" s="22"/>
      <c r="AD71" s="22"/>
      <c r="AE71" s="22"/>
      <c r="AF71" s="22"/>
      <c r="AG71" s="34"/>
      <c r="AH71" s="22"/>
      <c r="AI71" t="s" s="209">
        <v>761</v>
      </c>
      <c r="AJ71" t="s" s="182">
        <v>762</v>
      </c>
      <c r="AK71" s="530"/>
      <c r="AL71" t="s" s="303">
        <v>763</v>
      </c>
      <c r="AM71" s="59"/>
      <c r="AN71" s="59"/>
      <c r="AO71" s="59"/>
    </row>
    <row r="72" ht="15" customHeight="1">
      <c r="A72" s="19"/>
      <c r="B72" s="67"/>
      <c r="C72" s="33"/>
      <c r="D72" s="34"/>
      <c r="E72" s="34"/>
      <c r="F72" s="34"/>
      <c r="G72" s="34"/>
      <c r="H72" s="34"/>
      <c r="I72" s="34"/>
      <c r="J72" s="34"/>
      <c r="K72" s="34"/>
      <c r="L72" s="34"/>
      <c r="M72" s="34"/>
      <c r="N72" s="34"/>
      <c r="O72" s="34"/>
      <c r="P72" s="34"/>
      <c r="Q72" s="34"/>
      <c r="R72" s="34"/>
      <c r="S72" s="34"/>
      <c r="T72" s="34"/>
      <c r="U72" s="34"/>
      <c r="V72" s="34"/>
      <c r="W72" s="22"/>
      <c r="X72" s="22"/>
      <c r="Y72" s="22"/>
      <c r="Z72" s="22"/>
      <c r="AA72" s="22"/>
      <c r="AB72" s="22"/>
      <c r="AC72" s="22"/>
      <c r="AD72" s="22"/>
      <c r="AE72" s="22"/>
      <c r="AF72" s="22"/>
      <c r="AG72" s="34"/>
      <c r="AH72" s="22"/>
      <c r="AI72" s="530"/>
      <c r="AJ72" s="530"/>
      <c r="AK72" s="530"/>
      <c r="AL72" s="59"/>
      <c r="AM72" s="59"/>
      <c r="AN72" s="59"/>
      <c r="AO72" s="59"/>
    </row>
    <row r="73" ht="15" customHeight="1">
      <c r="A73" s="19"/>
      <c r="B73" s="67"/>
      <c r="C73" s="33"/>
      <c r="D73" s="34"/>
      <c r="E73" s="34"/>
      <c r="F73" s="34"/>
      <c r="G73" s="34"/>
      <c r="H73" s="34"/>
      <c r="I73" s="34"/>
      <c r="J73" s="34"/>
      <c r="K73" s="34"/>
      <c r="L73" s="34"/>
      <c r="M73" s="34"/>
      <c r="N73" s="34"/>
      <c r="O73" s="34"/>
      <c r="P73" s="34"/>
      <c r="Q73" s="34"/>
      <c r="R73" s="34"/>
      <c r="S73" s="34"/>
      <c r="T73" s="34"/>
      <c r="U73" s="34"/>
      <c r="V73" s="34"/>
      <c r="W73" s="22"/>
      <c r="X73" s="22"/>
      <c r="Y73" s="22"/>
      <c r="Z73" s="22"/>
      <c r="AA73" s="22"/>
      <c r="AB73" s="22"/>
      <c r="AC73" s="22"/>
      <c r="AD73" s="22"/>
      <c r="AE73" s="22"/>
      <c r="AF73" s="22"/>
      <c r="AG73" s="34"/>
      <c r="AH73" s="22"/>
      <c r="AI73" s="530"/>
      <c r="AJ73" s="530"/>
      <c r="AK73" s="530"/>
      <c r="AL73" s="59"/>
      <c r="AM73" s="59"/>
      <c r="AN73" s="59"/>
      <c r="AO73" s="59"/>
    </row>
    <row r="74" ht="15" customHeight="1">
      <c r="A74" s="19"/>
      <c r="B74" s="67"/>
      <c r="C74" s="33"/>
      <c r="D74" s="34"/>
      <c r="E74" s="34"/>
      <c r="F74" s="34"/>
      <c r="G74" s="34"/>
      <c r="H74" s="34"/>
      <c r="I74" s="34"/>
      <c r="J74" s="34"/>
      <c r="K74" s="34"/>
      <c r="L74" s="34"/>
      <c r="M74" s="34"/>
      <c r="N74" s="34"/>
      <c r="O74" s="34"/>
      <c r="P74" s="34"/>
      <c r="Q74" s="34"/>
      <c r="R74" s="34"/>
      <c r="S74" s="34"/>
      <c r="T74" s="34"/>
      <c r="U74" s="34"/>
      <c r="V74" s="34"/>
      <c r="W74" s="22"/>
      <c r="X74" s="22"/>
      <c r="Y74" s="22"/>
      <c r="Z74" s="22"/>
      <c r="AA74" s="22"/>
      <c r="AB74" s="22"/>
      <c r="AC74" s="22"/>
      <c r="AD74" s="22"/>
      <c r="AE74" s="22"/>
      <c r="AF74" s="22"/>
      <c r="AG74" s="34"/>
      <c r="AH74" s="22"/>
      <c r="AI74" s="530"/>
      <c r="AJ74" s="530"/>
      <c r="AK74" s="530"/>
      <c r="AL74" s="59"/>
      <c r="AM74" s="59"/>
      <c r="AN74" s="59"/>
      <c r="AO74" s="59"/>
    </row>
    <row r="75" ht="15" customHeight="1">
      <c r="A75" s="19"/>
      <c r="B75" s="67"/>
      <c r="C75" s="33"/>
      <c r="D75" s="34"/>
      <c r="E75" s="34"/>
      <c r="F75" s="34"/>
      <c r="G75" s="34"/>
      <c r="H75" s="34"/>
      <c r="I75" s="34"/>
      <c r="J75" s="34"/>
      <c r="K75" s="34"/>
      <c r="L75" s="34"/>
      <c r="M75" s="34"/>
      <c r="N75" s="34"/>
      <c r="O75" s="34"/>
      <c r="P75" s="34"/>
      <c r="Q75" s="34"/>
      <c r="R75" s="34"/>
      <c r="S75" s="34"/>
      <c r="T75" s="34"/>
      <c r="U75" s="34"/>
      <c r="V75" s="34"/>
      <c r="W75" s="22"/>
      <c r="X75" s="22"/>
      <c r="Y75" s="22"/>
      <c r="Z75" s="22"/>
      <c r="AA75" s="22"/>
      <c r="AB75" s="22"/>
      <c r="AC75" s="22"/>
      <c r="AD75" s="22"/>
      <c r="AE75" s="22"/>
      <c r="AF75" s="22"/>
      <c r="AG75" s="34"/>
      <c r="AH75" s="22"/>
      <c r="AI75" s="530"/>
      <c r="AJ75" s="530"/>
      <c r="AK75" s="530"/>
      <c r="AL75" s="59"/>
      <c r="AM75" s="59"/>
      <c r="AN75" s="59"/>
      <c r="AO75" s="59"/>
    </row>
    <row r="76" ht="15" customHeight="1">
      <c r="A76" s="19"/>
      <c r="B76" s="67"/>
      <c r="C76" s="33"/>
      <c r="D76" s="34"/>
      <c r="E76" s="34"/>
      <c r="F76" s="34"/>
      <c r="G76" s="34"/>
      <c r="H76" s="34"/>
      <c r="I76" s="34"/>
      <c r="J76" s="34"/>
      <c r="K76" s="34"/>
      <c r="L76" s="34"/>
      <c r="M76" s="34"/>
      <c r="N76" s="34"/>
      <c r="O76" s="34"/>
      <c r="P76" s="34"/>
      <c r="Q76" s="34"/>
      <c r="R76" s="34"/>
      <c r="S76" s="34"/>
      <c r="T76" s="34"/>
      <c r="U76" s="34"/>
      <c r="V76" s="34"/>
      <c r="W76" s="22"/>
      <c r="X76" s="22"/>
      <c r="Y76" s="22"/>
      <c r="Z76" s="22"/>
      <c r="AA76" s="22"/>
      <c r="AB76" s="22"/>
      <c r="AC76" s="22"/>
      <c r="AD76" s="22"/>
      <c r="AE76" s="22"/>
      <c r="AF76" s="22"/>
      <c r="AG76" s="34"/>
      <c r="AH76" s="22"/>
      <c r="AI76" s="530"/>
      <c r="AJ76" s="530"/>
      <c r="AK76" s="530"/>
      <c r="AL76" s="59"/>
      <c r="AM76" s="59"/>
      <c r="AN76" s="59"/>
      <c r="AO76" s="59"/>
    </row>
    <row r="77" ht="15" customHeight="1">
      <c r="A77" s="19"/>
      <c r="B77" s="67"/>
      <c r="C77" s="33"/>
      <c r="D77" s="34"/>
      <c r="E77" s="34"/>
      <c r="F77" s="34"/>
      <c r="G77" s="34"/>
      <c r="H77" s="34"/>
      <c r="I77" s="34"/>
      <c r="J77" s="34"/>
      <c r="K77" s="34"/>
      <c r="L77" s="34"/>
      <c r="M77" s="34"/>
      <c r="N77" s="34"/>
      <c r="O77" s="34"/>
      <c r="P77" s="34"/>
      <c r="Q77" s="34"/>
      <c r="R77" s="34"/>
      <c r="S77" s="34"/>
      <c r="T77" s="34"/>
      <c r="U77" s="34"/>
      <c r="V77" s="34"/>
      <c r="W77" s="22"/>
      <c r="X77" s="22"/>
      <c r="Y77" s="22"/>
      <c r="Z77" s="22"/>
      <c r="AA77" s="22"/>
      <c r="AB77" s="22"/>
      <c r="AC77" s="22"/>
      <c r="AD77" s="22"/>
      <c r="AE77" s="22"/>
      <c r="AF77" s="22"/>
      <c r="AG77" s="34"/>
      <c r="AH77" s="22"/>
      <c r="AI77" s="530"/>
      <c r="AJ77" s="530"/>
      <c r="AK77" s="530"/>
      <c r="AL77" s="59"/>
      <c r="AM77" s="59"/>
      <c r="AN77" s="59"/>
      <c r="AO77" s="59"/>
    </row>
    <row r="78" ht="15" customHeight="1">
      <c r="A78" s="19"/>
      <c r="B78" s="67"/>
      <c r="C78" s="33"/>
      <c r="D78" s="34"/>
      <c r="E78" s="34"/>
      <c r="F78" s="34"/>
      <c r="G78" s="34"/>
      <c r="H78" s="34"/>
      <c r="I78" s="34"/>
      <c r="J78" s="34"/>
      <c r="K78" s="34"/>
      <c r="L78" s="34"/>
      <c r="M78" s="34"/>
      <c r="N78" s="34"/>
      <c r="O78" s="34"/>
      <c r="P78" s="34"/>
      <c r="Q78" s="34"/>
      <c r="R78" s="34"/>
      <c r="S78" s="34"/>
      <c r="T78" s="34"/>
      <c r="U78" s="34"/>
      <c r="V78" s="34"/>
      <c r="W78" s="22"/>
      <c r="X78" s="22"/>
      <c r="Y78" s="22"/>
      <c r="Z78" s="22"/>
      <c r="AA78" s="22"/>
      <c r="AB78" s="22"/>
      <c r="AC78" s="22"/>
      <c r="AD78" s="22"/>
      <c r="AE78" s="22"/>
      <c r="AF78" s="22"/>
      <c r="AG78" s="34"/>
      <c r="AH78" s="22"/>
      <c r="AI78" s="530"/>
      <c r="AJ78" s="530"/>
      <c r="AK78" s="530"/>
      <c r="AL78" s="59"/>
      <c r="AM78" s="59"/>
      <c r="AN78" s="59"/>
      <c r="AO78" s="59"/>
    </row>
    <row r="79" ht="15" customHeight="1">
      <c r="A79" s="19"/>
      <c r="B79" s="67"/>
      <c r="C79" s="33"/>
      <c r="D79" s="34"/>
      <c r="E79" s="34"/>
      <c r="F79" s="34"/>
      <c r="G79" s="34"/>
      <c r="H79" s="34"/>
      <c r="I79" s="34"/>
      <c r="J79" s="34"/>
      <c r="K79" s="34"/>
      <c r="L79" s="34"/>
      <c r="M79" s="34"/>
      <c r="N79" s="34"/>
      <c r="O79" s="34"/>
      <c r="P79" s="34"/>
      <c r="Q79" s="34"/>
      <c r="R79" s="34"/>
      <c r="S79" s="34"/>
      <c r="T79" s="34"/>
      <c r="U79" s="34"/>
      <c r="V79" s="34"/>
      <c r="W79" s="22"/>
      <c r="X79" s="22"/>
      <c r="Y79" s="22"/>
      <c r="Z79" s="22"/>
      <c r="AA79" s="22"/>
      <c r="AB79" s="22"/>
      <c r="AC79" s="22"/>
      <c r="AD79" s="22"/>
      <c r="AE79" s="22"/>
      <c r="AF79" s="22"/>
      <c r="AG79" s="34"/>
      <c r="AH79" s="22"/>
      <c r="AI79" s="530"/>
      <c r="AJ79" s="530"/>
      <c r="AK79" s="530"/>
      <c r="AL79" s="59"/>
      <c r="AM79" s="59"/>
      <c r="AN79" s="59"/>
      <c r="AO79" s="59"/>
    </row>
    <row r="80" ht="15" customHeight="1">
      <c r="A80" s="23"/>
      <c r="B80" s="68"/>
      <c r="C80" s="25"/>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70"/>
      <c r="AH80" s="26"/>
      <c r="AI80" s="532"/>
      <c r="AJ80" s="532"/>
      <c r="AK80" s="532"/>
      <c r="AL80" s="64"/>
      <c r="AM80" s="64"/>
      <c r="AN80" s="64"/>
      <c r="AO80" s="64"/>
    </row>
    <row r="81" ht="75" customHeight="1">
      <c r="A81" s="71">
        <v>8</v>
      </c>
      <c r="B81" t="s" s="72">
        <v>22</v>
      </c>
      <c r="C81" t="s" s="562">
        <v>764</v>
      </c>
      <c r="D81" t="s" s="75">
        <v>764</v>
      </c>
      <c r="E81" s="321">
        <v>3124458</v>
      </c>
      <c r="F81" s="321">
        <v>2011</v>
      </c>
      <c r="G81" t="s" s="320">
        <v>386</v>
      </c>
      <c r="H81" s="321">
        <v>742602</v>
      </c>
      <c r="I81" s="321">
        <v>2011</v>
      </c>
      <c r="J81" t="s" s="320">
        <v>386</v>
      </c>
      <c r="K81" s="321">
        <v>4</v>
      </c>
      <c r="L81" s="321">
        <v>2011</v>
      </c>
      <c r="M81" t="s" s="320">
        <v>386</v>
      </c>
      <c r="N81" s="563">
        <v>0.375</v>
      </c>
      <c r="O81" s="321">
        <v>2011</v>
      </c>
      <c r="P81" t="s" s="320">
        <v>386</v>
      </c>
      <c r="Q81" s="563">
        <v>0.575</v>
      </c>
      <c r="R81" s="321">
        <v>2011</v>
      </c>
      <c r="S81" t="s" s="320">
        <v>386</v>
      </c>
      <c r="T81" s="322">
        <v>0.4</v>
      </c>
      <c r="U81" s="321">
        <v>2011</v>
      </c>
      <c r="V81" t="s" s="320">
        <v>386</v>
      </c>
      <c r="W81" s="563">
        <v>0.275</v>
      </c>
      <c r="X81" s="321">
        <v>2011</v>
      </c>
      <c r="Y81" t="s" s="320">
        <v>386</v>
      </c>
      <c r="Z81" s="563">
        <v>0.175</v>
      </c>
      <c r="AA81" s="321">
        <v>2011</v>
      </c>
      <c r="AB81" t="s" s="320">
        <v>386</v>
      </c>
      <c r="AC81" t="s" s="320">
        <v>765</v>
      </c>
      <c r="AD81" t="s" s="320">
        <v>342</v>
      </c>
      <c r="AE81" t="s" s="320">
        <v>387</v>
      </c>
      <c r="AF81" t="s" s="320">
        <v>388</v>
      </c>
      <c r="AG81" s="322">
        <v>0.1</v>
      </c>
      <c r="AH81" s="564">
        <v>0.37</v>
      </c>
      <c r="AI81" s="565">
        <v>18000</v>
      </c>
      <c r="AJ81" s="565">
        <v>50000</v>
      </c>
      <c r="AK81" t="s" s="566">
        <v>766</v>
      </c>
      <c r="AL81" s="567"/>
      <c r="AM81" s="567"/>
      <c r="AN81" s="567"/>
      <c r="AO81" s="568"/>
    </row>
    <row r="82" ht="15" customHeight="1">
      <c r="A82" s="76"/>
      <c r="B82" s="77"/>
      <c r="C82" s="78"/>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569">
        <f>18000/19.98</f>
        <v>900.900900900901</v>
      </c>
      <c r="AJ82" s="569">
        <f>50000/19.98</f>
        <v>2502.5025025025</v>
      </c>
      <c r="AK82" s="570"/>
      <c r="AL82" s="373"/>
      <c r="AM82" s="373"/>
      <c r="AN82" s="373"/>
      <c r="AO82" s="373"/>
    </row>
    <row r="83" ht="28.5" customHeight="1">
      <c r="A83" s="80"/>
      <c r="B83" s="77"/>
      <c r="C83" s="78"/>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570"/>
      <c r="AJ83" s="570"/>
      <c r="AK83" s="570"/>
      <c r="AL83" s="59"/>
      <c r="AM83" s="59"/>
      <c r="AN83" s="59"/>
      <c r="AO83" s="59"/>
    </row>
    <row r="84" ht="28.5" customHeight="1">
      <c r="A84" s="81"/>
      <c r="B84" s="57"/>
      <c r="C84" s="78"/>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570"/>
      <c r="AJ84" s="570"/>
      <c r="AK84" s="570"/>
      <c r="AL84" s="59"/>
      <c r="AM84" s="59"/>
      <c r="AN84" s="59"/>
      <c r="AO84" s="59"/>
    </row>
    <row r="85" ht="28.5" customHeight="1">
      <c r="A85" s="19"/>
      <c r="B85" s="57"/>
      <c r="C85" s="58"/>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125"/>
      <c r="AJ85" s="125"/>
      <c r="AK85" s="125"/>
      <c r="AL85" s="59"/>
      <c r="AM85" s="59"/>
      <c r="AN85" s="59"/>
      <c r="AO85" s="59"/>
    </row>
    <row r="86" ht="28.5" customHeight="1">
      <c r="A86" s="19"/>
      <c r="B86" s="57"/>
      <c r="C86" s="58"/>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125"/>
      <c r="AJ86" s="125"/>
      <c r="AK86" s="125"/>
      <c r="AL86" s="59"/>
      <c r="AM86" s="59"/>
      <c r="AN86" s="59"/>
      <c r="AO86" s="59"/>
    </row>
    <row r="87" ht="28.5" customHeight="1">
      <c r="A87" s="19"/>
      <c r="B87" s="57"/>
      <c r="C87" s="58"/>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125"/>
      <c r="AJ87" s="125"/>
      <c r="AK87" s="125"/>
      <c r="AL87" s="59"/>
      <c r="AM87" s="59"/>
      <c r="AN87" s="59"/>
      <c r="AO87" s="59"/>
    </row>
    <row r="88" ht="28.5" customHeight="1">
      <c r="A88" s="19"/>
      <c r="B88" s="57"/>
      <c r="C88" s="58"/>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125"/>
      <c r="AJ88" s="125"/>
      <c r="AK88" s="125"/>
      <c r="AL88" s="59"/>
      <c r="AM88" s="59"/>
      <c r="AN88" s="59"/>
      <c r="AO88" s="59"/>
    </row>
    <row r="89" ht="28.5" customHeight="1">
      <c r="A89" s="23"/>
      <c r="B89" s="62"/>
      <c r="C89" s="63"/>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3"/>
      <c r="AJ89" s="3"/>
      <c r="AK89" s="3"/>
      <c r="AL89" s="64"/>
      <c r="AM89" s="64"/>
      <c r="AN89" s="64"/>
      <c r="AO89" s="64"/>
    </row>
    <row r="90" ht="135" customHeight="1">
      <c r="A90" s="52">
        <v>9</v>
      </c>
      <c r="B90" t="s" s="53">
        <v>24</v>
      </c>
      <c r="C90" t="s" s="54">
        <v>767</v>
      </c>
      <c r="D90" t="s" s="82">
        <v>734</v>
      </c>
      <c r="E90" s="474">
        <v>555031</v>
      </c>
      <c r="F90" s="285">
        <v>2011</v>
      </c>
      <c r="G90" t="s" s="82">
        <v>768</v>
      </c>
      <c r="H90" s="554">
        <v>90709</v>
      </c>
      <c r="I90" s="285">
        <v>2011</v>
      </c>
      <c r="J90" t="s" s="82">
        <v>768</v>
      </c>
      <c r="K90" s="284">
        <v>6.11</v>
      </c>
      <c r="L90" s="285">
        <v>2011</v>
      </c>
      <c r="M90" t="s" s="82">
        <v>768</v>
      </c>
      <c r="N90" s="285">
        <v>20</v>
      </c>
      <c r="O90" s="285">
        <v>2011</v>
      </c>
      <c r="P90" t="s" s="82">
        <v>768</v>
      </c>
      <c r="Q90" s="285">
        <v>56</v>
      </c>
      <c r="R90" s="285">
        <v>2011</v>
      </c>
      <c r="S90" t="s" s="82">
        <v>768</v>
      </c>
      <c r="T90" t="s" s="82">
        <v>197</v>
      </c>
      <c r="U90" s="123"/>
      <c r="V90" s="123"/>
      <c r="W90" t="s" s="82">
        <v>197</v>
      </c>
      <c r="X90" s="123"/>
      <c r="Y90" s="123"/>
      <c r="Z90" t="s" s="82">
        <v>197</v>
      </c>
      <c r="AA90" s="123"/>
      <c r="AB90" s="123"/>
      <c r="AC90" t="s" s="82">
        <v>769</v>
      </c>
      <c r="AD90" t="s" s="82">
        <v>770</v>
      </c>
      <c r="AE90" s="285">
        <v>40000</v>
      </c>
      <c r="AF90" s="285">
        <v>22000</v>
      </c>
      <c r="AG90" s="285">
        <v>38</v>
      </c>
      <c r="AH90" s="285">
        <v>44</v>
      </c>
      <c r="AI90" t="s" s="571">
        <v>771</v>
      </c>
      <c r="AJ90" t="s" s="571">
        <v>772</v>
      </c>
      <c r="AK90" t="s" s="572">
        <v>773</v>
      </c>
      <c r="AL90" s="285">
        <v>37</v>
      </c>
      <c r="AM90" s="285">
        <v>15001</v>
      </c>
      <c r="AN90" s="285">
        <v>6.8</v>
      </c>
      <c r="AO90" s="285">
        <v>754</v>
      </c>
    </row>
    <row r="91" ht="15" customHeight="1">
      <c r="A91" s="56"/>
      <c r="B91" s="57"/>
      <c r="C91" s="58"/>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56">
        <f>78000/49.19</f>
        <v>1585.688147997560</v>
      </c>
      <c r="AJ91" s="556">
        <f>85000/49.19</f>
        <v>1727.993494612730</v>
      </c>
      <c r="AK91" t="s" s="283">
        <v>774</v>
      </c>
      <c r="AL91" s="59"/>
      <c r="AM91" s="59"/>
      <c r="AN91" t="s" s="573">
        <v>775</v>
      </c>
      <c r="AO91" s="59"/>
    </row>
    <row r="92" ht="15" customHeight="1">
      <c r="A92" s="56"/>
      <c r="B92" s="57"/>
      <c r="C92" s="58"/>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125"/>
      <c r="AJ92" s="125"/>
      <c r="AK92" s="125"/>
      <c r="AL92" s="59"/>
      <c r="AM92" s="59"/>
      <c r="AN92" s="59"/>
      <c r="AO92" s="59"/>
    </row>
    <row r="93" ht="28.5" customHeight="1">
      <c r="A93" s="60"/>
      <c r="B93" s="57"/>
      <c r="C93" s="58"/>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125"/>
      <c r="AJ93" s="125"/>
      <c r="AK93" s="125"/>
      <c r="AL93" s="59"/>
      <c r="AM93" s="59"/>
      <c r="AN93" s="59"/>
      <c r="AO93" s="59"/>
    </row>
    <row r="94" ht="28.5" customHeight="1">
      <c r="A94" s="60"/>
      <c r="B94" s="57"/>
      <c r="C94" s="58"/>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125"/>
      <c r="AJ94" s="125"/>
      <c r="AK94" s="125"/>
      <c r="AL94" s="59"/>
      <c r="AM94" s="59"/>
      <c r="AN94" s="59"/>
      <c r="AO94" s="59"/>
    </row>
    <row r="95" ht="28.5" customHeight="1">
      <c r="A95" s="60"/>
      <c r="B95" s="57"/>
      <c r="C95" s="58"/>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125"/>
      <c r="AJ95" s="125"/>
      <c r="AK95" s="125"/>
      <c r="AL95" s="59"/>
      <c r="AM95" s="59"/>
      <c r="AN95" s="59"/>
      <c r="AO95" s="59"/>
    </row>
    <row r="96" ht="28.5" customHeight="1">
      <c r="A96" s="60"/>
      <c r="B96" s="57"/>
      <c r="C96" s="58"/>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125"/>
      <c r="AJ96" s="125"/>
      <c r="AK96" s="125"/>
      <c r="AL96" s="59"/>
      <c r="AM96" s="59"/>
      <c r="AN96" s="59"/>
      <c r="AO96" s="59"/>
    </row>
    <row r="97" ht="28.5" customHeight="1">
      <c r="A97" s="60"/>
      <c r="B97" s="57"/>
      <c r="C97" s="58"/>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125"/>
      <c r="AJ97" s="125"/>
      <c r="AK97" s="125"/>
      <c r="AL97" s="59"/>
      <c r="AM97" s="59"/>
      <c r="AN97" s="59"/>
      <c r="AO97" s="59"/>
    </row>
    <row r="98" ht="28.5" customHeight="1">
      <c r="A98" s="60"/>
      <c r="B98" s="57"/>
      <c r="C98" s="58"/>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125"/>
      <c r="AJ98" s="125"/>
      <c r="AK98" s="125"/>
      <c r="AL98" s="59"/>
      <c r="AM98" s="59"/>
      <c r="AN98" s="59"/>
      <c r="AO98" s="59"/>
    </row>
    <row r="99" ht="28.5" customHeight="1">
      <c r="A99" s="60"/>
      <c r="B99" s="57"/>
      <c r="C99" s="58"/>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125"/>
      <c r="AJ99" s="125"/>
      <c r="AK99" s="125"/>
      <c r="AL99" s="59"/>
      <c r="AM99" s="59"/>
      <c r="AN99" s="59"/>
      <c r="AO99" s="59"/>
    </row>
    <row r="100" ht="28.5" customHeight="1">
      <c r="A100" s="60"/>
      <c r="B100" s="57"/>
      <c r="C100" s="58"/>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125"/>
      <c r="AJ100" s="125"/>
      <c r="AK100" s="125"/>
      <c r="AL100" s="59"/>
      <c r="AM100" s="59"/>
      <c r="AN100" s="59"/>
      <c r="AO100" s="59"/>
    </row>
    <row r="101" ht="28.5" customHeight="1">
      <c r="A101" s="61"/>
      <c r="B101" s="62"/>
      <c r="C101" s="63"/>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558"/>
      <c r="AJ101" s="558"/>
      <c r="AK101" s="558"/>
      <c r="AL101" s="64"/>
      <c r="AM101" s="64"/>
      <c r="AN101" s="64"/>
      <c r="AO101" s="64"/>
    </row>
    <row r="102" ht="36.75" customHeight="1">
      <c r="A102" s="84">
        <v>10</v>
      </c>
      <c r="B102" t="s" s="85">
        <v>28</v>
      </c>
      <c r="C102" t="s" s="574">
        <v>776</v>
      </c>
      <c r="D102" t="s" s="481">
        <v>777</v>
      </c>
      <c r="E102" s="376">
        <v>6970105</v>
      </c>
      <c r="F102" s="375">
        <v>2011</v>
      </c>
      <c r="G102" t="s" s="377">
        <v>778</v>
      </c>
      <c r="H102" s="376">
        <v>1566746</v>
      </c>
      <c r="I102" s="375">
        <v>2011</v>
      </c>
      <c r="J102" t="s" s="377">
        <v>779</v>
      </c>
      <c r="K102" s="375">
        <v>4.42</v>
      </c>
      <c r="L102" s="375">
        <v>2011</v>
      </c>
      <c r="M102" t="s" s="377">
        <v>780</v>
      </c>
      <c r="N102" s="379">
        <v>0.396</v>
      </c>
      <c r="O102" s="375">
        <v>2016</v>
      </c>
      <c r="P102" t="s" s="377">
        <v>781</v>
      </c>
      <c r="Q102" s="379">
        <v>0.733</v>
      </c>
      <c r="R102" s="375">
        <v>2016</v>
      </c>
      <c r="S102" t="s" s="377">
        <v>781</v>
      </c>
      <c r="T102" s="380">
        <v>0.8</v>
      </c>
      <c r="U102" s="375">
        <v>2017</v>
      </c>
      <c r="V102" t="s" s="377">
        <v>782</v>
      </c>
      <c r="W102" s="380">
        <v>0.1</v>
      </c>
      <c r="X102" s="375">
        <v>2017</v>
      </c>
      <c r="Y102" t="s" s="377">
        <v>783</v>
      </c>
      <c r="Z102" s="380">
        <v>0.03</v>
      </c>
      <c r="AA102" s="375">
        <v>2017</v>
      </c>
      <c r="AB102" t="s" s="377">
        <v>783</v>
      </c>
      <c r="AC102" s="376">
        <v>18000</v>
      </c>
      <c r="AD102" s="376">
        <v>15000</v>
      </c>
      <c r="AE102" s="376">
        <v>15000</v>
      </c>
      <c r="AF102" s="376">
        <v>12000</v>
      </c>
      <c r="AG102" s="379">
        <v>0.751</v>
      </c>
      <c r="AH102" s="575">
        <v>0.23</v>
      </c>
      <c r="AI102" t="s" s="576">
        <v>784</v>
      </c>
      <c r="AJ102" t="s" s="576">
        <v>785</v>
      </c>
      <c r="AK102" t="s" s="481">
        <v>786</v>
      </c>
      <c r="AL102" s="577">
        <v>306</v>
      </c>
      <c r="AM102" s="285">
        <v>22778</v>
      </c>
      <c r="AN102" s="577">
        <v>0.02</v>
      </c>
      <c r="AO102" s="285">
        <v>567850</v>
      </c>
    </row>
    <row r="103" ht="15" customHeight="1">
      <c r="A103" s="88"/>
      <c r="B103" s="89"/>
      <c r="C103" s="90"/>
      <c r="D103" s="91"/>
      <c r="E103" s="578"/>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t="s" s="389">
        <v>787</v>
      </c>
      <c r="AH103" t="s" s="389">
        <v>788</v>
      </c>
      <c r="AI103" t="s" s="579">
        <v>789</v>
      </c>
      <c r="AJ103" t="s" s="579">
        <v>790</v>
      </c>
      <c r="AK103" s="580"/>
      <c r="AL103" s="59"/>
      <c r="AM103" s="59"/>
      <c r="AN103" t="s" s="573">
        <v>791</v>
      </c>
      <c r="AO103" s="59"/>
    </row>
    <row r="104" ht="15" customHeight="1">
      <c r="A104" s="88"/>
      <c r="B104" s="89"/>
      <c r="C104" s="90"/>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580"/>
      <c r="AJ104" s="580"/>
      <c r="AK104" s="580"/>
      <c r="AL104" s="59"/>
      <c r="AM104" s="59"/>
      <c r="AN104" s="59"/>
      <c r="AO104" s="59"/>
    </row>
    <row r="105" ht="15" customHeight="1">
      <c r="A105" s="88"/>
      <c r="B105" s="89"/>
      <c r="C105" s="90"/>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580"/>
      <c r="AJ105" s="580"/>
      <c r="AK105" s="580"/>
      <c r="AL105" s="59"/>
      <c r="AM105" s="59"/>
      <c r="AN105" s="59"/>
      <c r="AO105" s="59"/>
    </row>
    <row r="106" ht="15" customHeight="1">
      <c r="A106" s="92"/>
      <c r="B106" s="89"/>
      <c r="C106" s="90"/>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580"/>
      <c r="AJ106" s="580"/>
      <c r="AK106" s="580"/>
      <c r="AL106" s="59"/>
      <c r="AM106" s="59"/>
      <c r="AN106" s="59"/>
      <c r="AO106" s="59"/>
    </row>
    <row r="107" ht="15" customHeight="1">
      <c r="A107" s="92"/>
      <c r="B107" s="89"/>
      <c r="C107" s="90"/>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580"/>
      <c r="AJ107" s="580"/>
      <c r="AK107" s="580"/>
      <c r="AL107" s="59"/>
      <c r="AM107" s="59"/>
      <c r="AN107" s="59"/>
      <c r="AO107" s="59"/>
    </row>
    <row r="108" ht="15" customHeight="1">
      <c r="A108" s="92"/>
      <c r="B108" s="89"/>
      <c r="C108" s="90"/>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580"/>
      <c r="AJ108" s="580"/>
      <c r="AK108" s="580"/>
      <c r="AL108" s="59"/>
      <c r="AM108" s="59"/>
      <c r="AN108" s="59"/>
      <c r="AO108" s="59"/>
    </row>
    <row r="109" ht="15" customHeight="1">
      <c r="A109" s="93"/>
      <c r="B109" s="94"/>
      <c r="C109" s="95"/>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581"/>
      <c r="AJ109" s="581"/>
      <c r="AK109" s="581"/>
      <c r="AL109" s="64"/>
      <c r="AM109" s="64"/>
      <c r="AN109" s="64"/>
      <c r="AO109" s="64"/>
    </row>
    <row r="110" ht="48" customHeight="1">
      <c r="A110" s="15">
        <v>11</v>
      </c>
      <c r="B110" t="s" s="97">
        <v>30</v>
      </c>
      <c r="C110" t="s" s="582">
        <v>792</v>
      </c>
      <c r="D110" t="s" s="408">
        <v>793</v>
      </c>
      <c r="E110" s="583">
        <v>16054988</v>
      </c>
      <c r="F110" s="313">
        <v>2017</v>
      </c>
      <c r="G110" t="s" s="584">
        <v>794</v>
      </c>
      <c r="H110" s="583">
        <v>2770626</v>
      </c>
      <c r="I110" s="313">
        <v>2016</v>
      </c>
      <c r="J110" t="s" s="584">
        <v>794</v>
      </c>
      <c r="K110" s="313">
        <v>5.8</v>
      </c>
      <c r="L110" s="313">
        <v>2016</v>
      </c>
      <c r="M110" t="s" s="584">
        <v>794</v>
      </c>
      <c r="N110" s="585">
        <v>0.21</v>
      </c>
      <c r="O110" s="313">
        <v>2015</v>
      </c>
      <c r="P110" t="s" s="584">
        <v>795</v>
      </c>
      <c r="Q110" s="585">
        <v>0.72</v>
      </c>
      <c r="R110" s="313">
        <v>2015</v>
      </c>
      <c r="S110" t="s" s="584">
        <v>796</v>
      </c>
      <c r="T110" t="s" s="408">
        <v>197</v>
      </c>
      <c r="U110" t="s" s="408">
        <v>197</v>
      </c>
      <c r="V110" t="s" s="408">
        <v>197</v>
      </c>
      <c r="W110" t="s" s="408">
        <v>197</v>
      </c>
      <c r="X110" t="s" s="408">
        <v>197</v>
      </c>
      <c r="Y110" t="s" s="408">
        <v>197</v>
      </c>
      <c r="Z110" t="s" s="408">
        <v>197</v>
      </c>
      <c r="AA110" t="s" s="408">
        <v>197</v>
      </c>
      <c r="AB110" t="s" s="408">
        <v>197</v>
      </c>
      <c r="AC110" t="s" s="584">
        <v>797</v>
      </c>
      <c r="AD110" t="s" s="584">
        <v>798</v>
      </c>
      <c r="AE110" t="s" s="584">
        <v>799</v>
      </c>
      <c r="AF110" t="s" s="584">
        <v>800</v>
      </c>
      <c r="AG110" s="585">
        <v>0.7</v>
      </c>
      <c r="AH110" t="s" s="584">
        <v>801</v>
      </c>
      <c r="AI110" t="s" s="584">
        <v>802</v>
      </c>
      <c r="AJ110" t="s" s="535">
        <v>803</v>
      </c>
      <c r="AK110" t="s" s="584">
        <v>804</v>
      </c>
      <c r="AL110" t="s" s="586">
        <v>805</v>
      </c>
      <c r="AM110" s="285">
        <v>12350</v>
      </c>
      <c r="AN110" s="285">
        <v>0.65</v>
      </c>
      <c r="AO110" s="285">
        <v>78462</v>
      </c>
    </row>
    <row r="111" ht="15" customHeight="1">
      <c r="A111" s="19"/>
      <c r="B111" s="100"/>
      <c r="C111" s="33"/>
      <c r="D111" s="34"/>
      <c r="E111" s="34"/>
      <c r="F111" s="34"/>
      <c r="G111" s="34"/>
      <c r="H111" s="34"/>
      <c r="I111" s="34"/>
      <c r="J111" s="34"/>
      <c r="K111" s="34"/>
      <c r="L111" s="34"/>
      <c r="M111" s="34"/>
      <c r="N111" s="34"/>
      <c r="O111" s="34"/>
      <c r="P111" s="34"/>
      <c r="Q111" s="34"/>
      <c r="R111" s="34"/>
      <c r="S111" s="34"/>
      <c r="T111" s="34"/>
      <c r="U111" s="34"/>
      <c r="V111" s="34"/>
      <c r="W111" s="22"/>
      <c r="X111" s="22"/>
      <c r="Y111" s="22"/>
      <c r="Z111" s="22"/>
      <c r="AA111" s="22"/>
      <c r="AB111" s="22"/>
      <c r="AC111" s="22"/>
      <c r="AD111" s="22"/>
      <c r="AE111" s="22"/>
      <c r="AF111" s="22"/>
      <c r="AG111" s="34"/>
      <c r="AH111" s="22"/>
      <c r="AI111" s="210">
        <f>35000/32.08</f>
        <v>1091.022443890270</v>
      </c>
      <c r="AJ111" s="530"/>
      <c r="AK111" s="530"/>
      <c r="AL111" t="s" s="587">
        <v>806</v>
      </c>
      <c r="AM111" s="59"/>
      <c r="AN111" s="59"/>
      <c r="AO111" s="59"/>
    </row>
    <row r="112" ht="15" customHeight="1">
      <c r="A112" s="19"/>
      <c r="B112" s="100"/>
      <c r="C112" s="33"/>
      <c r="D112" s="34"/>
      <c r="E112" s="34"/>
      <c r="F112" s="34"/>
      <c r="G112" s="34"/>
      <c r="H112" s="34"/>
      <c r="I112" s="34"/>
      <c r="J112" s="34"/>
      <c r="K112" s="34"/>
      <c r="L112" s="34"/>
      <c r="M112" s="34"/>
      <c r="N112" s="34"/>
      <c r="O112" s="34"/>
      <c r="P112" s="34"/>
      <c r="Q112" s="34"/>
      <c r="R112" s="34"/>
      <c r="S112" s="34"/>
      <c r="T112" s="34"/>
      <c r="U112" s="34"/>
      <c r="V112" s="34"/>
      <c r="W112" s="22"/>
      <c r="X112" s="22"/>
      <c r="Y112" s="22"/>
      <c r="Z112" s="22"/>
      <c r="AA112" s="22"/>
      <c r="AB112" s="22"/>
      <c r="AC112" s="22"/>
      <c r="AD112" s="22"/>
      <c r="AE112" s="22"/>
      <c r="AF112" s="22"/>
      <c r="AG112" s="34"/>
      <c r="AH112" s="22"/>
      <c r="AI112" s="530"/>
      <c r="AJ112" s="530"/>
      <c r="AK112" s="530"/>
      <c r="AL112" s="59"/>
      <c r="AM112" s="59"/>
      <c r="AN112" s="59"/>
      <c r="AO112" s="59"/>
    </row>
    <row r="113" ht="15" customHeight="1">
      <c r="A113" s="19"/>
      <c r="B113" s="100"/>
      <c r="C113" s="33"/>
      <c r="D113" s="34"/>
      <c r="E113" s="34"/>
      <c r="F113" s="34"/>
      <c r="G113" s="34"/>
      <c r="H113" s="34"/>
      <c r="I113" s="34"/>
      <c r="J113" s="34"/>
      <c r="K113" s="34"/>
      <c r="L113" s="34"/>
      <c r="M113" s="34"/>
      <c r="N113" s="34"/>
      <c r="O113" s="34"/>
      <c r="P113" s="34"/>
      <c r="Q113" s="34"/>
      <c r="R113" s="34"/>
      <c r="S113" s="34"/>
      <c r="T113" s="34"/>
      <c r="U113" s="34"/>
      <c r="V113" s="34"/>
      <c r="W113" s="22"/>
      <c r="X113" s="22"/>
      <c r="Y113" s="22"/>
      <c r="Z113" s="22"/>
      <c r="AA113" s="22"/>
      <c r="AB113" s="22"/>
      <c r="AC113" s="22"/>
      <c r="AD113" s="22"/>
      <c r="AE113" s="22"/>
      <c r="AF113" s="22"/>
      <c r="AG113" s="34"/>
      <c r="AH113" s="22"/>
      <c r="AI113" s="530"/>
      <c r="AJ113" s="530"/>
      <c r="AK113" s="530"/>
      <c r="AL113" s="59"/>
      <c r="AM113" s="59"/>
      <c r="AN113" s="59"/>
      <c r="AO113" s="59"/>
    </row>
    <row r="114" ht="15" customHeight="1">
      <c r="A114" s="19"/>
      <c r="B114" s="100"/>
      <c r="C114" s="33"/>
      <c r="D114" s="34"/>
      <c r="E114" s="34"/>
      <c r="F114" s="34"/>
      <c r="G114" s="34"/>
      <c r="H114" s="34"/>
      <c r="I114" s="34"/>
      <c r="J114" s="34"/>
      <c r="K114" s="34"/>
      <c r="L114" s="34"/>
      <c r="M114" s="34"/>
      <c r="N114" s="34"/>
      <c r="O114" s="34"/>
      <c r="P114" s="34"/>
      <c r="Q114" s="34"/>
      <c r="R114" s="34"/>
      <c r="S114" s="34"/>
      <c r="T114" s="34"/>
      <c r="U114" s="34"/>
      <c r="V114" s="34"/>
      <c r="W114" s="22"/>
      <c r="X114" s="22"/>
      <c r="Y114" s="22"/>
      <c r="Z114" s="22"/>
      <c r="AA114" s="22"/>
      <c r="AB114" s="22"/>
      <c r="AC114" s="22"/>
      <c r="AD114" s="22"/>
      <c r="AE114" s="22"/>
      <c r="AF114" s="22"/>
      <c r="AG114" s="34"/>
      <c r="AH114" s="22"/>
      <c r="AI114" s="530"/>
      <c r="AJ114" s="530"/>
      <c r="AK114" s="530"/>
      <c r="AL114" s="59"/>
      <c r="AM114" s="59"/>
      <c r="AN114" s="59"/>
      <c r="AO114" s="59"/>
    </row>
    <row r="115" ht="15" customHeight="1">
      <c r="A115" s="19"/>
      <c r="B115" s="100"/>
      <c r="C115" s="33"/>
      <c r="D115" s="34"/>
      <c r="E115" s="34"/>
      <c r="F115" s="34"/>
      <c r="G115" s="34"/>
      <c r="H115" s="34"/>
      <c r="I115" s="34"/>
      <c r="J115" s="34"/>
      <c r="K115" s="34"/>
      <c r="L115" s="34"/>
      <c r="M115" s="34"/>
      <c r="N115" s="34"/>
      <c r="O115" s="34"/>
      <c r="P115" s="34"/>
      <c r="Q115" s="34"/>
      <c r="R115" s="34"/>
      <c r="S115" s="34"/>
      <c r="T115" s="34"/>
      <c r="U115" s="34"/>
      <c r="V115" s="34"/>
      <c r="W115" s="22"/>
      <c r="X115" s="22"/>
      <c r="Y115" s="22"/>
      <c r="Z115" s="22"/>
      <c r="AA115" s="22"/>
      <c r="AB115" s="22"/>
      <c r="AC115" s="22"/>
      <c r="AD115" s="22"/>
      <c r="AE115" s="22"/>
      <c r="AF115" s="22"/>
      <c r="AG115" s="34"/>
      <c r="AH115" s="22"/>
      <c r="AI115" s="530"/>
      <c r="AJ115" s="530"/>
      <c r="AK115" s="530"/>
      <c r="AL115" s="59"/>
      <c r="AM115" s="59"/>
      <c r="AN115" s="59"/>
      <c r="AO115" s="59"/>
    </row>
    <row r="116" ht="15" customHeight="1">
      <c r="A116" s="19"/>
      <c r="B116" s="100"/>
      <c r="C116" s="33"/>
      <c r="D116" s="34"/>
      <c r="E116" s="34"/>
      <c r="F116" s="34"/>
      <c r="G116" s="34"/>
      <c r="H116" s="34"/>
      <c r="I116" s="34"/>
      <c r="J116" s="34"/>
      <c r="K116" s="34"/>
      <c r="L116" s="34"/>
      <c r="M116" s="34"/>
      <c r="N116" s="34"/>
      <c r="O116" s="34"/>
      <c r="P116" s="34"/>
      <c r="Q116" s="34"/>
      <c r="R116" s="34"/>
      <c r="S116" s="34"/>
      <c r="T116" s="34"/>
      <c r="U116" s="34"/>
      <c r="V116" s="34"/>
      <c r="W116" s="22"/>
      <c r="X116" s="22"/>
      <c r="Y116" s="22"/>
      <c r="Z116" s="22"/>
      <c r="AA116" s="22"/>
      <c r="AB116" s="22"/>
      <c r="AC116" s="22"/>
      <c r="AD116" s="22"/>
      <c r="AE116" s="22"/>
      <c r="AF116" s="22"/>
      <c r="AG116" s="34"/>
      <c r="AH116" s="22"/>
      <c r="AI116" s="530"/>
      <c r="AJ116" s="530"/>
      <c r="AK116" s="530"/>
      <c r="AL116" s="59"/>
      <c r="AM116" s="59"/>
      <c r="AN116" s="59"/>
      <c r="AO116" s="59"/>
    </row>
    <row r="117" ht="15" customHeight="1">
      <c r="A117" s="19"/>
      <c r="B117" s="100"/>
      <c r="C117" s="33"/>
      <c r="D117" s="34"/>
      <c r="E117" s="34"/>
      <c r="F117" s="34"/>
      <c r="G117" s="34"/>
      <c r="H117" s="34"/>
      <c r="I117" s="34"/>
      <c r="J117" s="34"/>
      <c r="K117" s="34"/>
      <c r="L117" s="34"/>
      <c r="M117" s="34"/>
      <c r="N117" s="34"/>
      <c r="O117" s="34"/>
      <c r="P117" s="34"/>
      <c r="Q117" s="34"/>
      <c r="R117" s="34"/>
      <c r="S117" s="34"/>
      <c r="T117" s="34"/>
      <c r="U117" s="34"/>
      <c r="V117" s="34"/>
      <c r="W117" s="22"/>
      <c r="X117" s="22"/>
      <c r="Y117" s="22"/>
      <c r="Z117" s="22"/>
      <c r="AA117" s="22"/>
      <c r="AB117" s="22"/>
      <c r="AC117" s="22"/>
      <c r="AD117" s="22"/>
      <c r="AE117" s="22"/>
      <c r="AF117" s="22"/>
      <c r="AG117" s="34"/>
      <c r="AH117" s="22"/>
      <c r="AI117" s="530"/>
      <c r="AJ117" s="530"/>
      <c r="AK117" s="530"/>
      <c r="AL117" s="59"/>
      <c r="AM117" s="59"/>
      <c r="AN117" s="59"/>
      <c r="AO117" s="59"/>
    </row>
    <row r="118" ht="15" customHeight="1">
      <c r="A118" s="23"/>
      <c r="B118" s="101"/>
      <c r="C118" s="69"/>
      <c r="D118" s="70"/>
      <c r="E118" s="70"/>
      <c r="F118" s="70"/>
      <c r="G118" s="70"/>
      <c r="H118" s="70"/>
      <c r="I118" s="70"/>
      <c r="J118" s="70"/>
      <c r="K118" s="70"/>
      <c r="L118" s="70"/>
      <c r="M118" s="70"/>
      <c r="N118" s="70"/>
      <c r="O118" s="70"/>
      <c r="P118" s="70"/>
      <c r="Q118" s="70"/>
      <c r="R118" s="70"/>
      <c r="S118" s="70"/>
      <c r="T118" s="70"/>
      <c r="U118" s="70"/>
      <c r="V118" s="70"/>
      <c r="W118" s="26"/>
      <c r="X118" s="26"/>
      <c r="Y118" s="26"/>
      <c r="Z118" s="26"/>
      <c r="AA118" s="26"/>
      <c r="AB118" s="26"/>
      <c r="AC118" s="26"/>
      <c r="AD118" s="26"/>
      <c r="AE118" s="26"/>
      <c r="AF118" s="26"/>
      <c r="AG118" s="70"/>
      <c r="AH118" s="26"/>
      <c r="AI118" s="532"/>
      <c r="AJ118" s="532"/>
      <c r="AK118" s="532"/>
      <c r="AL118" s="64"/>
      <c r="AM118" s="64"/>
      <c r="AN118" s="64"/>
      <c r="AO118" s="64"/>
    </row>
    <row r="119" ht="51" customHeight="1">
      <c r="A119" s="15">
        <v>12</v>
      </c>
      <c r="B119" t="s" s="102">
        <v>32</v>
      </c>
      <c r="C119" t="s" s="588">
        <v>807</v>
      </c>
      <c r="D119" t="s" s="431">
        <v>808</v>
      </c>
      <c r="E119" t="s" s="431">
        <v>809</v>
      </c>
      <c r="F119" s="429">
        <v>2014</v>
      </c>
      <c r="G119" t="s" s="430">
        <v>810</v>
      </c>
      <c r="H119" s="589">
        <v>416070</v>
      </c>
      <c r="I119" s="429">
        <v>2014</v>
      </c>
      <c r="J119" t="s" s="430">
        <v>810</v>
      </c>
      <c r="K119" s="429">
        <v>4</v>
      </c>
      <c r="L119" s="429">
        <v>2014</v>
      </c>
      <c r="M119" t="s" s="430">
        <v>810</v>
      </c>
      <c r="N119" s="429">
        <v>47</v>
      </c>
      <c r="O119" s="429">
        <v>2014</v>
      </c>
      <c r="P119" t="s" s="430">
        <v>811</v>
      </c>
      <c r="Q119" s="429">
        <v>62</v>
      </c>
      <c r="R119" s="429">
        <v>2014</v>
      </c>
      <c r="S119" t="s" s="430">
        <v>811</v>
      </c>
      <c r="T119" s="429">
        <v>57</v>
      </c>
      <c r="U119" s="429">
        <v>2014</v>
      </c>
      <c r="V119" t="s" s="430">
        <v>812</v>
      </c>
      <c r="W119" s="429">
        <v>32</v>
      </c>
      <c r="X119" s="429">
        <v>2014</v>
      </c>
      <c r="Y119" t="s" s="430">
        <v>812</v>
      </c>
      <c r="Z119" s="429">
        <v>4</v>
      </c>
      <c r="AA119" s="429">
        <v>2014</v>
      </c>
      <c r="AB119" t="s" s="430">
        <v>812</v>
      </c>
      <c r="AC119" t="s" s="431">
        <v>506</v>
      </c>
      <c r="AD119" t="s" s="431">
        <v>506</v>
      </c>
      <c r="AE119" t="s" s="432">
        <v>813</v>
      </c>
      <c r="AF119" t="s" s="432">
        <v>374</v>
      </c>
      <c r="AG119" s="429">
        <v>70</v>
      </c>
      <c r="AH119" s="429">
        <v>60</v>
      </c>
      <c r="AI119" t="s" s="431">
        <v>814</v>
      </c>
      <c r="AJ119" t="s" s="431">
        <v>815</v>
      </c>
      <c r="AK119" s="590"/>
      <c r="AL119" t="s" s="591">
        <v>816</v>
      </c>
      <c r="AM119" s="285">
        <v>7974</v>
      </c>
      <c r="AN119" s="285">
        <v>32</v>
      </c>
      <c r="AO119" s="285">
        <v>48</v>
      </c>
    </row>
    <row r="120" ht="15" customHeight="1">
      <c r="A120" s="19"/>
      <c r="B120" s="105"/>
      <c r="C120" s="106"/>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592">
        <f>175000/1185.8</f>
        <v>147.579693034238</v>
      </c>
      <c r="AJ120" s="592">
        <f>450000/1185.8</f>
        <v>379.490639230899</v>
      </c>
      <c r="AK120" s="593"/>
      <c r="AL120" t="s" s="594">
        <v>817</v>
      </c>
      <c r="AM120" s="59"/>
      <c r="AN120" t="s" s="595">
        <v>818</v>
      </c>
      <c r="AO120" s="59"/>
    </row>
    <row r="121" ht="15" customHeight="1">
      <c r="A121" s="19"/>
      <c r="B121" s="105"/>
      <c r="C121" s="106"/>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593"/>
      <c r="AJ121" s="593"/>
      <c r="AK121" s="593"/>
      <c r="AL121" s="59"/>
      <c r="AM121" s="59"/>
      <c r="AN121" s="59"/>
      <c r="AO121" s="59"/>
    </row>
    <row r="122" ht="15" customHeight="1">
      <c r="A122" s="19"/>
      <c r="B122" s="105"/>
      <c r="C122" s="106"/>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593"/>
      <c r="AJ122" s="593"/>
      <c r="AK122" s="593"/>
      <c r="AL122" s="59"/>
      <c r="AM122" s="59"/>
      <c r="AN122" s="59"/>
      <c r="AO122" s="59"/>
    </row>
    <row r="123" ht="15" customHeight="1">
      <c r="A123" s="19"/>
      <c r="B123" s="105"/>
      <c r="C123" s="106"/>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593"/>
      <c r="AJ123" s="593"/>
      <c r="AK123" s="593"/>
      <c r="AL123" s="59"/>
      <c r="AM123" s="59"/>
      <c r="AN123" s="59"/>
      <c r="AO123" s="59"/>
    </row>
    <row r="124" ht="15" customHeight="1">
      <c r="A124" s="19"/>
      <c r="B124" s="105"/>
      <c r="C124" s="106"/>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593"/>
      <c r="AJ124" s="593"/>
      <c r="AK124" s="593"/>
      <c r="AL124" s="59"/>
      <c r="AM124" s="59"/>
      <c r="AN124" s="59"/>
      <c r="AO124" s="59"/>
    </row>
    <row r="125" ht="15" customHeight="1">
      <c r="A125" s="23"/>
      <c r="B125" s="108"/>
      <c r="C125" s="109"/>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596"/>
      <c r="AJ125" s="596"/>
      <c r="AK125" s="596"/>
      <c r="AL125" s="64"/>
      <c r="AM125" s="64"/>
      <c r="AN125" s="64"/>
      <c r="AO125" s="64"/>
    </row>
    <row r="126" ht="72.75" customHeight="1">
      <c r="A126" s="15">
        <v>13</v>
      </c>
      <c r="B126" t="s" s="111">
        <v>34</v>
      </c>
      <c r="C126" t="s" s="597">
        <v>819</v>
      </c>
      <c r="D126" t="s" s="485">
        <v>820</v>
      </c>
      <c r="E126" t="s" s="112">
        <v>821</v>
      </c>
      <c r="F126" s="285">
        <v>2015</v>
      </c>
      <c r="G126" t="s" s="112">
        <v>822</v>
      </c>
      <c r="H126" s="474">
        <v>4661154</v>
      </c>
      <c r="I126" s="285">
        <v>2015</v>
      </c>
      <c r="J126" t="s" s="112">
        <v>822</v>
      </c>
      <c r="K126" s="285">
        <v>5</v>
      </c>
      <c r="L126" s="285">
        <v>2015</v>
      </c>
      <c r="M126" t="s" s="112">
        <v>822</v>
      </c>
      <c r="N126" s="285">
        <v>35</v>
      </c>
      <c r="O126" s="285">
        <v>2015</v>
      </c>
      <c r="P126" t="s" s="112">
        <v>822</v>
      </c>
      <c r="Q126" s="285">
        <v>34</v>
      </c>
      <c r="R126" s="285">
        <v>2015</v>
      </c>
      <c r="S126" t="s" s="112">
        <v>822</v>
      </c>
      <c r="T126" t="s" s="286">
        <v>197</v>
      </c>
      <c r="U126" s="475"/>
      <c r="V126" s="475"/>
      <c r="W126" t="s" s="286">
        <v>197</v>
      </c>
      <c r="X126" s="475"/>
      <c r="Y126" s="475"/>
      <c r="Z126" t="s" s="286">
        <v>197</v>
      </c>
      <c r="AA126" s="475"/>
      <c r="AB126" s="475"/>
      <c r="AC126" t="s" s="112">
        <v>823</v>
      </c>
      <c r="AD126" t="s" s="112">
        <v>824</v>
      </c>
      <c r="AE126" t="s" s="112">
        <v>825</v>
      </c>
      <c r="AF126" t="s" s="112">
        <v>826</v>
      </c>
      <c r="AG126" s="337">
        <v>0.7</v>
      </c>
      <c r="AH126" s="598">
        <v>0.7</v>
      </c>
      <c r="AI126" t="s" s="483">
        <v>827</v>
      </c>
      <c r="AJ126" t="s" s="483">
        <v>828</v>
      </c>
      <c r="AK126" t="s" s="483">
        <v>829</v>
      </c>
      <c r="AL126" s="599">
        <v>1171</v>
      </c>
      <c r="AM126" s="599">
        <v>19898</v>
      </c>
      <c r="AN126" t="s" s="483">
        <v>830</v>
      </c>
      <c r="AO126" s="599">
        <v>96566</v>
      </c>
    </row>
    <row r="127" ht="15" customHeight="1">
      <c r="A127" s="19"/>
      <c r="B127" s="113"/>
      <c r="C127" s="58"/>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56">
        <f>65300/123.66</f>
        <v>528.060811903607</v>
      </c>
      <c r="AJ127" s="556">
        <f>73200/123.66</f>
        <v>591.945657447841</v>
      </c>
      <c r="AK127" s="125"/>
      <c r="AL127" t="s" s="600">
        <v>831</v>
      </c>
      <c r="AM127" s="59"/>
      <c r="AN127" t="s" s="601">
        <v>832</v>
      </c>
      <c r="AO127" s="59"/>
    </row>
    <row r="128" ht="15" customHeight="1">
      <c r="A128" s="19"/>
      <c r="B128" s="113"/>
      <c r="C128" s="58"/>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125"/>
      <c r="AJ128" t="s" s="602">
        <v>833</v>
      </c>
      <c r="AK128" s="125"/>
      <c r="AL128" t="s" s="531">
        <v>834</v>
      </c>
      <c r="AM128" s="59"/>
      <c r="AN128" s="59"/>
      <c r="AO128" s="59"/>
    </row>
    <row r="129" ht="15" customHeight="1">
      <c r="A129" s="19"/>
      <c r="B129" s="113"/>
      <c r="C129" s="58"/>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125"/>
      <c r="AJ129" s="125"/>
      <c r="AK129" s="125"/>
      <c r="AL129" s="59"/>
      <c r="AM129" s="59"/>
      <c r="AN129" s="59"/>
      <c r="AO129" s="59"/>
    </row>
    <row r="130" ht="15" customHeight="1">
      <c r="A130" s="19"/>
      <c r="B130" s="113"/>
      <c r="C130" s="58"/>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125"/>
      <c r="AJ130" s="125"/>
      <c r="AK130" s="125"/>
      <c r="AL130" s="59"/>
      <c r="AM130" s="59"/>
      <c r="AN130" s="59"/>
      <c r="AO130" s="59"/>
    </row>
    <row r="131" ht="15" customHeight="1">
      <c r="A131" s="19"/>
      <c r="B131" s="113"/>
      <c r="C131" s="58"/>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125"/>
      <c r="AJ131" s="125"/>
      <c r="AK131" s="125"/>
      <c r="AL131" s="59"/>
      <c r="AM131" s="59"/>
      <c r="AN131" s="59"/>
      <c r="AO131" s="59"/>
    </row>
    <row r="132" ht="15" customHeight="1">
      <c r="A132" s="19"/>
      <c r="B132" s="113"/>
      <c r="C132" s="58"/>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125"/>
      <c r="AJ132" s="125"/>
      <c r="AK132" s="125"/>
      <c r="AL132" s="59"/>
      <c r="AM132" s="59"/>
      <c r="AN132" s="59"/>
      <c r="AO132" s="59"/>
    </row>
    <row r="133" ht="15" customHeight="1">
      <c r="A133" s="19"/>
      <c r="B133" s="113"/>
      <c r="C133" s="58"/>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125"/>
      <c r="AJ133" s="125"/>
      <c r="AK133" s="125"/>
      <c r="AL133" s="59"/>
      <c r="AM133" s="59"/>
      <c r="AN133" s="59"/>
      <c r="AO133" s="59"/>
    </row>
    <row r="134" ht="15" customHeight="1">
      <c r="A134" s="19"/>
      <c r="B134" s="113"/>
      <c r="C134" s="58"/>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125"/>
      <c r="AJ134" s="125"/>
      <c r="AK134" s="125"/>
      <c r="AL134" s="59"/>
      <c r="AM134" s="59"/>
      <c r="AN134" s="59"/>
      <c r="AO134" s="59"/>
    </row>
    <row r="135" ht="15" customHeight="1">
      <c r="A135" s="19"/>
      <c r="B135" s="113"/>
      <c r="C135" s="58"/>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125"/>
      <c r="AJ135" s="125"/>
      <c r="AK135" s="125"/>
      <c r="AL135" s="59"/>
      <c r="AM135" s="59"/>
      <c r="AN135" s="59"/>
      <c r="AO135" s="59"/>
    </row>
    <row r="136" ht="15" customHeight="1">
      <c r="A136" s="23"/>
      <c r="B136" s="114"/>
      <c r="C136" s="63"/>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558"/>
      <c r="AJ136" s="558"/>
      <c r="AK136" s="558"/>
      <c r="AL136" s="64"/>
      <c r="AM136" s="64"/>
      <c r="AN136" s="64"/>
      <c r="AO136" s="64"/>
    </row>
    <row r="137" ht="24" customHeight="1">
      <c r="A137" s="15">
        <v>14</v>
      </c>
      <c r="B137" t="s" s="115">
        <v>38</v>
      </c>
      <c r="C137" t="s" s="29">
        <v>835</v>
      </c>
      <c r="D137" t="s" s="171">
        <v>711</v>
      </c>
      <c r="E137" s="603">
        <v>1288721</v>
      </c>
      <c r="F137" s="167">
        <v>2017</v>
      </c>
      <c r="G137" t="s" s="18">
        <v>836</v>
      </c>
      <c r="H137" s="165">
        <v>210798</v>
      </c>
      <c r="I137" s="167">
        <v>2012</v>
      </c>
      <c r="J137" t="s" s="18">
        <v>837</v>
      </c>
      <c r="K137" s="167">
        <v>4.9</v>
      </c>
      <c r="L137" s="167">
        <v>2007</v>
      </c>
      <c r="M137" t="s" s="18">
        <v>838</v>
      </c>
      <c r="N137" s="167">
        <v>47.3</v>
      </c>
      <c r="O137" s="167">
        <v>2016</v>
      </c>
      <c r="P137" t="s" s="18">
        <v>839</v>
      </c>
      <c r="Q137" s="167">
        <v>56.7</v>
      </c>
      <c r="R137" s="167">
        <v>2016</v>
      </c>
      <c r="S137" t="s" s="18">
        <v>839</v>
      </c>
      <c r="T137" s="167">
        <v>80</v>
      </c>
      <c r="U137" s="167">
        <v>2017</v>
      </c>
      <c r="V137" t="s" s="314">
        <v>840</v>
      </c>
      <c r="W137" s="166">
        <v>70</v>
      </c>
      <c r="X137" s="166">
        <v>2017</v>
      </c>
      <c r="Y137" t="s" s="314">
        <v>840</v>
      </c>
      <c r="Z137" s="166">
        <v>50</v>
      </c>
      <c r="AA137" s="166">
        <v>2017</v>
      </c>
      <c r="AB137" t="s" s="314">
        <v>840</v>
      </c>
      <c r="AC137" t="s" s="18">
        <v>841</v>
      </c>
      <c r="AD137" t="s" s="18">
        <v>842</v>
      </c>
      <c r="AE137" t="s" s="18">
        <v>843</v>
      </c>
      <c r="AF137" t="s" s="18">
        <v>197</v>
      </c>
      <c r="AG137" s="166">
        <v>55</v>
      </c>
      <c r="AH137" s="166">
        <v>9</v>
      </c>
      <c r="AI137" t="s" s="18">
        <v>844</v>
      </c>
      <c r="AJ137" t="s" s="18">
        <v>845</v>
      </c>
      <c r="AK137" t="s" s="18">
        <v>846</v>
      </c>
      <c r="AL137" s="577">
        <v>348</v>
      </c>
      <c r="AM137" s="285">
        <v>3431</v>
      </c>
      <c r="AN137" s="285">
        <v>5.53</v>
      </c>
      <c r="AO137" s="604">
        <v>2202</v>
      </c>
    </row>
    <row r="138" ht="15" customHeight="1">
      <c r="A138" s="19"/>
      <c r="B138" s="116"/>
      <c r="C138" s="33"/>
      <c r="D138" s="34"/>
      <c r="E138" s="34"/>
      <c r="F138" s="34"/>
      <c r="G138" s="34"/>
      <c r="H138" s="34"/>
      <c r="I138" s="34"/>
      <c r="J138" s="34"/>
      <c r="K138" s="34"/>
      <c r="L138" s="34"/>
      <c r="M138" s="34"/>
      <c r="N138" s="34"/>
      <c r="O138" s="34"/>
      <c r="P138" s="34"/>
      <c r="Q138" s="34"/>
      <c r="R138" s="34"/>
      <c r="S138" s="34"/>
      <c r="T138" s="34"/>
      <c r="U138" s="34"/>
      <c r="V138" s="34"/>
      <c r="W138" s="22"/>
      <c r="X138" s="22"/>
      <c r="Y138" s="22"/>
      <c r="Z138" s="22"/>
      <c r="AA138" s="22"/>
      <c r="AB138" s="22"/>
      <c r="AC138" s="22"/>
      <c r="AD138" s="22"/>
      <c r="AE138" s="22"/>
      <c r="AF138" s="22"/>
      <c r="AG138" s="34"/>
      <c r="AH138" s="22"/>
      <c r="AI138" s="530"/>
      <c r="AJ138" s="210"/>
      <c r="AK138" s="530"/>
      <c r="AL138" s="59"/>
      <c r="AM138" s="59"/>
      <c r="AN138" t="s" s="605">
        <v>847</v>
      </c>
      <c r="AO138" s="59"/>
    </row>
    <row r="139" ht="15" customHeight="1">
      <c r="A139" s="19"/>
      <c r="B139" s="116"/>
      <c r="C139" s="33"/>
      <c r="D139" s="34"/>
      <c r="E139" s="34"/>
      <c r="F139" s="34"/>
      <c r="G139" s="34"/>
      <c r="H139" s="34"/>
      <c r="I139" s="34"/>
      <c r="J139" s="34"/>
      <c r="K139" s="34"/>
      <c r="L139" s="34"/>
      <c r="M139" s="34"/>
      <c r="N139" s="34"/>
      <c r="O139" s="34"/>
      <c r="P139" s="34"/>
      <c r="Q139" s="34"/>
      <c r="R139" s="34"/>
      <c r="S139" s="34"/>
      <c r="T139" s="34"/>
      <c r="U139" s="34"/>
      <c r="V139" s="34"/>
      <c r="W139" s="22"/>
      <c r="X139" s="22"/>
      <c r="Y139" s="22"/>
      <c r="Z139" s="22"/>
      <c r="AA139" s="22"/>
      <c r="AB139" s="22"/>
      <c r="AC139" s="22"/>
      <c r="AD139" s="22"/>
      <c r="AE139" s="22"/>
      <c r="AF139" s="22"/>
      <c r="AG139" s="34"/>
      <c r="AH139" s="22"/>
      <c r="AI139" s="530"/>
      <c r="AJ139" s="530"/>
      <c r="AK139" s="530"/>
      <c r="AL139" s="59"/>
      <c r="AM139" s="59"/>
      <c r="AN139" t="s" s="389">
        <v>848</v>
      </c>
      <c r="AO139" s="59"/>
    </row>
    <row r="140" ht="15" customHeight="1">
      <c r="A140" s="19"/>
      <c r="B140" s="116"/>
      <c r="C140" s="33"/>
      <c r="D140" s="34"/>
      <c r="E140" s="34"/>
      <c r="F140" s="34"/>
      <c r="G140" s="34"/>
      <c r="H140" s="34"/>
      <c r="I140" s="34"/>
      <c r="J140" s="34"/>
      <c r="K140" s="34"/>
      <c r="L140" s="34"/>
      <c r="M140" s="34"/>
      <c r="N140" s="34"/>
      <c r="O140" s="34"/>
      <c r="P140" s="34"/>
      <c r="Q140" s="34"/>
      <c r="R140" s="34"/>
      <c r="S140" s="34"/>
      <c r="T140" s="34"/>
      <c r="U140" s="34"/>
      <c r="V140" s="34"/>
      <c r="W140" s="22"/>
      <c r="X140" s="22"/>
      <c r="Y140" s="22"/>
      <c r="Z140" s="22"/>
      <c r="AA140" s="22"/>
      <c r="AB140" s="22"/>
      <c r="AC140" s="22"/>
      <c r="AD140" s="22"/>
      <c r="AE140" s="22"/>
      <c r="AF140" s="22"/>
      <c r="AG140" s="34"/>
      <c r="AH140" s="22"/>
      <c r="AI140" s="530"/>
      <c r="AJ140" s="530"/>
      <c r="AK140" s="530"/>
      <c r="AL140" s="59"/>
      <c r="AM140" s="59"/>
      <c r="AN140" s="59"/>
      <c r="AO140" s="59"/>
    </row>
    <row r="141" ht="15" customHeight="1">
      <c r="A141" s="19"/>
      <c r="B141" s="116"/>
      <c r="C141" s="33"/>
      <c r="D141" s="34"/>
      <c r="E141" s="34"/>
      <c r="F141" s="34"/>
      <c r="G141" s="34"/>
      <c r="H141" s="34"/>
      <c r="I141" s="34"/>
      <c r="J141" s="34"/>
      <c r="K141" s="34"/>
      <c r="L141" s="34"/>
      <c r="M141" s="34"/>
      <c r="N141" s="34"/>
      <c r="O141" s="34"/>
      <c r="P141" s="34"/>
      <c r="Q141" s="34"/>
      <c r="R141" s="34"/>
      <c r="S141" s="34"/>
      <c r="T141" s="34"/>
      <c r="U141" s="34"/>
      <c r="V141" s="34"/>
      <c r="W141" s="22"/>
      <c r="X141" s="22"/>
      <c r="Y141" s="22"/>
      <c r="Z141" s="22"/>
      <c r="AA141" s="22"/>
      <c r="AB141" s="22"/>
      <c r="AC141" s="22"/>
      <c r="AD141" s="22"/>
      <c r="AE141" s="22"/>
      <c r="AF141" s="22"/>
      <c r="AG141" s="34"/>
      <c r="AH141" s="22"/>
      <c r="AI141" s="530"/>
      <c r="AJ141" s="530"/>
      <c r="AK141" s="530"/>
      <c r="AL141" s="59"/>
      <c r="AM141" s="59"/>
      <c r="AN141" s="59"/>
      <c r="AO141" s="59"/>
    </row>
    <row r="142" ht="15" customHeight="1">
      <c r="A142" s="23"/>
      <c r="B142" s="117"/>
      <c r="C142" s="69"/>
      <c r="D142" s="70"/>
      <c r="E142" s="70"/>
      <c r="F142" s="70"/>
      <c r="G142" s="70"/>
      <c r="H142" s="70"/>
      <c r="I142" s="70"/>
      <c r="J142" s="70"/>
      <c r="K142" s="70"/>
      <c r="L142" s="70"/>
      <c r="M142" s="70"/>
      <c r="N142" s="70"/>
      <c r="O142" s="70"/>
      <c r="P142" s="70"/>
      <c r="Q142" s="70"/>
      <c r="R142" s="70"/>
      <c r="S142" s="70"/>
      <c r="T142" s="70"/>
      <c r="U142" s="70"/>
      <c r="V142" s="70"/>
      <c r="W142" s="26"/>
      <c r="X142" s="26"/>
      <c r="Y142" s="26"/>
      <c r="Z142" s="26"/>
      <c r="AA142" s="26"/>
      <c r="AB142" s="26"/>
      <c r="AC142" s="26"/>
      <c r="AD142" s="26"/>
      <c r="AE142" s="26"/>
      <c r="AF142" s="26"/>
      <c r="AG142" s="70"/>
      <c r="AH142" s="26"/>
      <c r="AI142" s="532"/>
      <c r="AJ142" s="532"/>
      <c r="AK142" s="532"/>
      <c r="AL142" s="64"/>
      <c r="AM142" s="64"/>
      <c r="AN142" s="64"/>
      <c r="AO142" s="64"/>
    </row>
    <row r="143" ht="26.1" customHeight="1">
      <c r="A143" s="52">
        <v>15</v>
      </c>
      <c r="B143" t="s" s="111">
        <v>40</v>
      </c>
      <c r="C143" s="606"/>
      <c r="D143" t="s" s="82">
        <v>849</v>
      </c>
      <c r="E143" s="474">
        <v>254891</v>
      </c>
      <c r="F143" s="285">
        <v>2017</v>
      </c>
      <c r="G143" t="s" s="112">
        <v>850</v>
      </c>
      <c r="H143" s="474">
        <v>50978</v>
      </c>
      <c r="I143" s="285">
        <v>2017</v>
      </c>
      <c r="J143" t="s" s="112">
        <v>850</v>
      </c>
      <c r="K143" s="285">
        <v>5</v>
      </c>
      <c r="L143" s="285">
        <v>2017</v>
      </c>
      <c r="M143" t="s" s="112">
        <v>851</v>
      </c>
      <c r="N143" s="607">
        <v>0.654</v>
      </c>
      <c r="O143" t="s" s="112">
        <v>852</v>
      </c>
      <c r="P143" t="s" s="112">
        <v>853</v>
      </c>
      <c r="Q143" s="608">
        <v>0.779</v>
      </c>
      <c r="R143" t="s" s="112">
        <v>852</v>
      </c>
      <c r="S143" t="s" s="112">
        <v>854</v>
      </c>
      <c r="T143" t="s" s="112">
        <v>197</v>
      </c>
      <c r="U143" t="s" s="112">
        <v>197</v>
      </c>
      <c r="V143" t="s" s="112">
        <v>197</v>
      </c>
      <c r="W143" t="s" s="112">
        <v>197</v>
      </c>
      <c r="X143" t="s" s="112">
        <v>197</v>
      </c>
      <c r="Y143" t="s" s="112">
        <v>197</v>
      </c>
      <c r="Z143" t="s" s="112">
        <v>197</v>
      </c>
      <c r="AA143" t="s" s="112">
        <v>197</v>
      </c>
      <c r="AB143" t="s" s="112">
        <v>197</v>
      </c>
      <c r="AC143" t="s" s="112">
        <v>855</v>
      </c>
      <c r="AD143" t="s" s="112">
        <v>855</v>
      </c>
      <c r="AE143" t="s" s="112">
        <v>855</v>
      </c>
      <c r="AF143" t="s" s="112">
        <v>855</v>
      </c>
      <c r="AG143" s="608">
        <v>0.799</v>
      </c>
      <c r="AH143" s="477">
        <v>0.6</v>
      </c>
      <c r="AI143" t="s" s="609">
        <v>856</v>
      </c>
      <c r="AJ143" t="s" s="609">
        <v>857</v>
      </c>
      <c r="AK143" t="s" s="483">
        <v>858</v>
      </c>
      <c r="AL143" t="s" s="591">
        <v>859</v>
      </c>
      <c r="AM143" s="285">
        <v>1770</v>
      </c>
      <c r="AN143" s="577">
        <v>2.09</v>
      </c>
      <c r="AO143" s="285">
        <v>10215</v>
      </c>
    </row>
    <row r="144" ht="28.5" customHeight="1">
      <c r="A144" s="56"/>
      <c r="B144" s="113"/>
      <c r="C144" s="58"/>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56">
        <f>59000/172.42</f>
        <v>342.187681243475</v>
      </c>
      <c r="AJ144" s="556">
        <f>66480/172.42</f>
        <v>385.570119475699</v>
      </c>
      <c r="AK144" t="s" s="512">
        <v>860</v>
      </c>
      <c r="AL144" t="s" s="610">
        <v>861</v>
      </c>
      <c r="AM144" s="59"/>
      <c r="AN144" t="s" s="573">
        <v>862</v>
      </c>
      <c r="AO144" s="59"/>
    </row>
    <row r="145" ht="28.5" customHeight="1">
      <c r="A145" s="56"/>
      <c r="B145" s="113"/>
      <c r="C145" s="58"/>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125"/>
      <c r="AJ145" t="s" s="611">
        <v>863</v>
      </c>
      <c r="AK145" s="125"/>
      <c r="AL145" s="612"/>
      <c r="AM145" s="59"/>
      <c r="AN145" s="59"/>
      <c r="AO145" s="59"/>
    </row>
    <row r="146" ht="28.5" customHeight="1">
      <c r="A146" s="56"/>
      <c r="B146" s="113"/>
      <c r="C146" s="58"/>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125"/>
      <c r="AJ146" s="125"/>
      <c r="AK146" s="125"/>
      <c r="AL146" s="59"/>
      <c r="AM146" s="59"/>
      <c r="AN146" s="59"/>
      <c r="AO146" s="59"/>
    </row>
    <row r="147" ht="28.5" customHeight="1">
      <c r="A147" s="56"/>
      <c r="B147" s="113"/>
      <c r="C147" s="58"/>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125"/>
      <c r="AJ147" s="125"/>
      <c r="AK147" s="125"/>
      <c r="AL147" s="59"/>
      <c r="AM147" s="59"/>
      <c r="AN147" s="59"/>
      <c r="AO147" s="59"/>
    </row>
    <row r="148" ht="28.5" customHeight="1">
      <c r="A148" s="56"/>
      <c r="B148" s="113"/>
      <c r="C148" s="58"/>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125"/>
      <c r="AJ148" s="125"/>
      <c r="AK148" s="125"/>
      <c r="AL148" s="59"/>
      <c r="AM148" s="59"/>
      <c r="AN148" s="59"/>
      <c r="AO148" s="59"/>
    </row>
    <row r="149" ht="28.5" customHeight="1">
      <c r="A149" s="119"/>
      <c r="B149" s="114"/>
      <c r="C149" s="63"/>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558"/>
      <c r="AJ149" s="558"/>
      <c r="AK149" s="558"/>
      <c r="AL149" s="64"/>
      <c r="AM149" s="64"/>
      <c r="AN149" s="64"/>
      <c r="AO149" s="64"/>
    </row>
    <row r="150" ht="96" customHeight="1">
      <c r="A150" s="15">
        <v>16</v>
      </c>
      <c r="B150" t="s" s="115">
        <v>43</v>
      </c>
      <c r="C150" t="s" s="17">
        <v>864</v>
      </c>
      <c r="D150" t="s" s="18">
        <v>865</v>
      </c>
      <c r="E150" s="165">
        <v>4463149</v>
      </c>
      <c r="F150" s="167">
        <v>2018</v>
      </c>
      <c r="G150" t="s" s="171">
        <v>866</v>
      </c>
      <c r="H150" s="196">
        <v>1288888</v>
      </c>
      <c r="I150" s="167">
        <v>2009</v>
      </c>
      <c r="J150" t="s" s="18">
        <v>867</v>
      </c>
      <c r="K150" s="167">
        <v>3.2</v>
      </c>
      <c r="L150" s="167">
        <v>2009</v>
      </c>
      <c r="M150" t="s" s="18">
        <v>867</v>
      </c>
      <c r="N150" s="167">
        <v>48.4</v>
      </c>
      <c r="O150" s="167">
        <v>2009</v>
      </c>
      <c r="P150" t="s" s="18">
        <v>868</v>
      </c>
      <c r="Q150" s="167">
        <v>51.6</v>
      </c>
      <c r="R150" s="167">
        <v>2009</v>
      </c>
      <c r="S150" t="s" s="18">
        <v>868</v>
      </c>
      <c r="T150" t="s" s="171">
        <v>869</v>
      </c>
      <c r="U150" s="168"/>
      <c r="V150" s="168"/>
      <c r="W150" t="s" s="171">
        <v>869</v>
      </c>
      <c r="X150" s="168"/>
      <c r="Y150" s="168"/>
      <c r="Z150" t="s" s="171">
        <v>869</v>
      </c>
      <c r="AA150" s="168"/>
      <c r="AB150" s="168"/>
      <c r="AC150" t="s" s="18">
        <v>870</v>
      </c>
      <c r="AD150" t="s" s="18">
        <v>871</v>
      </c>
      <c r="AE150" t="s" s="171">
        <v>872</v>
      </c>
      <c r="AF150" t="s" s="18">
        <v>197</v>
      </c>
      <c r="AG150" t="s" s="171">
        <v>873</v>
      </c>
      <c r="AH150" t="s" s="171">
        <v>874</v>
      </c>
      <c r="AI150" t="s" s="171">
        <v>875</v>
      </c>
      <c r="AJ150" t="s" s="171">
        <v>876</v>
      </c>
      <c r="AK150" t="s" s="171">
        <v>877</v>
      </c>
      <c r="AL150" t="s" s="171">
        <v>878</v>
      </c>
      <c r="AM150" s="529">
        <v>6421</v>
      </c>
      <c r="AN150" s="529">
        <v>0.1</v>
      </c>
      <c r="AO150" s="529">
        <v>120000</v>
      </c>
    </row>
    <row r="151" ht="15" customHeight="1">
      <c r="A151" s="19"/>
      <c r="B151" s="120"/>
      <c r="C151" s="33"/>
      <c r="D151" t="s" s="209">
        <v>879</v>
      </c>
      <c r="E151" s="179"/>
      <c r="F151" s="34"/>
      <c r="G151" s="22"/>
      <c r="H151" s="59"/>
      <c r="I151" s="183">
        <v>2017</v>
      </c>
      <c r="J151" s="34"/>
      <c r="K151" s="34"/>
      <c r="L151" s="34"/>
      <c r="M151" s="34"/>
      <c r="N151" s="34"/>
      <c r="O151" s="34"/>
      <c r="P151" s="34"/>
      <c r="Q151" s="34"/>
      <c r="R151" s="34"/>
      <c r="S151" s="34"/>
      <c r="T151" s="34"/>
      <c r="U151" s="34"/>
      <c r="V151" s="34"/>
      <c r="W151" s="22"/>
      <c r="X151" s="22"/>
      <c r="Y151" s="22"/>
      <c r="Z151" s="22"/>
      <c r="AA151" s="22"/>
      <c r="AB151" s="22"/>
      <c r="AC151" s="316"/>
      <c r="AD151" s="613"/>
      <c r="AE151" s="22"/>
      <c r="AF151" s="22"/>
      <c r="AG151" s="34"/>
      <c r="AH151" s="22"/>
      <c r="AI151" s="210">
        <f>8500/46.49</f>
        <v>182.835018283502</v>
      </c>
      <c r="AJ151" s="210">
        <f>22500/46.49</f>
        <v>483.975048397505</v>
      </c>
      <c r="AK151" s="530"/>
      <c r="AL151" t="s" s="587">
        <v>880</v>
      </c>
      <c r="AM151" s="59"/>
      <c r="AN151" t="s" s="531">
        <v>881</v>
      </c>
      <c r="AO151" s="59"/>
    </row>
    <row r="152" ht="15" customHeight="1">
      <c r="A152" s="19"/>
      <c r="B152" s="120"/>
      <c r="C152" s="33"/>
      <c r="D152" s="34"/>
      <c r="E152" s="34"/>
      <c r="F152" s="34"/>
      <c r="G152" s="34"/>
      <c r="H152" s="34"/>
      <c r="I152" s="34"/>
      <c r="J152" s="34"/>
      <c r="K152" s="34"/>
      <c r="L152" s="34"/>
      <c r="M152" s="34"/>
      <c r="N152" s="34"/>
      <c r="O152" s="34"/>
      <c r="P152" s="34"/>
      <c r="Q152" s="34"/>
      <c r="R152" s="34"/>
      <c r="S152" s="34"/>
      <c r="T152" s="34"/>
      <c r="U152" s="34"/>
      <c r="V152" s="34"/>
      <c r="W152" s="22"/>
      <c r="X152" s="22"/>
      <c r="Y152" s="22"/>
      <c r="Z152" s="22"/>
      <c r="AA152" s="22"/>
      <c r="AB152" s="22"/>
      <c r="AC152" s="22"/>
      <c r="AD152" s="22"/>
      <c r="AE152" s="22"/>
      <c r="AF152" s="22"/>
      <c r="AG152" s="34"/>
      <c r="AH152" s="34"/>
      <c r="AI152" s="534"/>
      <c r="AJ152" s="534"/>
      <c r="AK152" s="534"/>
      <c r="AL152" t="s" s="461">
        <v>882</v>
      </c>
      <c r="AM152" s="59"/>
      <c r="AN152" s="59"/>
      <c r="AO152" s="59"/>
    </row>
    <row r="153" ht="15" customHeight="1">
      <c r="A153" s="19"/>
      <c r="B153" s="120"/>
      <c r="C153" s="33"/>
      <c r="D153" s="34"/>
      <c r="E153" s="34"/>
      <c r="F153" s="34"/>
      <c r="G153" s="34"/>
      <c r="H153" s="34"/>
      <c r="I153" s="34"/>
      <c r="J153" s="34"/>
      <c r="K153" s="34"/>
      <c r="L153" s="34"/>
      <c r="M153" s="34"/>
      <c r="N153" s="34"/>
      <c r="O153" s="34"/>
      <c r="P153" s="34"/>
      <c r="Q153" s="34"/>
      <c r="R153" s="34"/>
      <c r="S153" s="34"/>
      <c r="T153" s="34"/>
      <c r="U153" s="34"/>
      <c r="V153" s="34"/>
      <c r="W153" s="22"/>
      <c r="X153" s="22"/>
      <c r="Y153" s="22"/>
      <c r="Z153" s="22"/>
      <c r="AA153" s="22"/>
      <c r="AB153" s="22"/>
      <c r="AC153" s="22"/>
      <c r="AD153" s="22"/>
      <c r="AE153" s="22"/>
      <c r="AF153" s="22"/>
      <c r="AG153" s="34"/>
      <c r="AH153" s="22"/>
      <c r="AI153" s="530"/>
      <c r="AJ153" s="530"/>
      <c r="AK153" s="530"/>
      <c r="AL153" s="59"/>
      <c r="AM153" s="59"/>
      <c r="AN153" s="59"/>
      <c r="AO153" s="59"/>
    </row>
    <row r="154" ht="15" customHeight="1">
      <c r="A154" s="19"/>
      <c r="B154" s="120"/>
      <c r="C154" s="33"/>
      <c r="D154" s="34"/>
      <c r="E154" s="34"/>
      <c r="F154" s="34"/>
      <c r="G154" s="34"/>
      <c r="H154" s="34"/>
      <c r="I154" s="34"/>
      <c r="J154" s="34"/>
      <c r="K154" s="34"/>
      <c r="L154" s="34"/>
      <c r="M154" s="34"/>
      <c r="N154" s="34"/>
      <c r="O154" s="34"/>
      <c r="P154" s="34"/>
      <c r="Q154" s="34"/>
      <c r="R154" s="34"/>
      <c r="S154" s="34"/>
      <c r="T154" s="34"/>
      <c r="U154" s="34"/>
      <c r="V154" s="34"/>
      <c r="W154" s="22"/>
      <c r="X154" s="22"/>
      <c r="Y154" s="22"/>
      <c r="Z154" s="22"/>
      <c r="AA154" s="22"/>
      <c r="AB154" s="22"/>
      <c r="AC154" s="22"/>
      <c r="AD154" s="22"/>
      <c r="AE154" s="22"/>
      <c r="AF154" s="22"/>
      <c r="AG154" s="34"/>
      <c r="AH154" s="22"/>
      <c r="AI154" s="530"/>
      <c r="AJ154" s="530"/>
      <c r="AK154" s="530"/>
      <c r="AL154" s="59"/>
      <c r="AM154" s="59"/>
      <c r="AN154" s="59"/>
      <c r="AO154" s="59"/>
    </row>
    <row r="155" ht="15" customHeight="1">
      <c r="A155" s="19"/>
      <c r="B155" s="120"/>
      <c r="C155" s="33"/>
      <c r="D155" s="34"/>
      <c r="E155" s="34"/>
      <c r="F155" s="34"/>
      <c r="G155" s="34"/>
      <c r="H155" s="34"/>
      <c r="I155" s="34"/>
      <c r="J155" s="34"/>
      <c r="K155" s="34"/>
      <c r="L155" s="34"/>
      <c r="M155" s="34"/>
      <c r="N155" s="34"/>
      <c r="O155" s="34"/>
      <c r="P155" s="34"/>
      <c r="Q155" s="34"/>
      <c r="R155" s="34"/>
      <c r="S155" s="34"/>
      <c r="T155" s="34"/>
      <c r="U155" s="34"/>
      <c r="V155" s="34"/>
      <c r="W155" s="22"/>
      <c r="X155" s="22"/>
      <c r="Y155" s="22"/>
      <c r="Z155" s="22"/>
      <c r="AA155" s="22"/>
      <c r="AB155" s="22"/>
      <c r="AC155" s="22"/>
      <c r="AD155" s="22"/>
      <c r="AE155" s="22"/>
      <c r="AF155" s="22"/>
      <c r="AG155" s="34"/>
      <c r="AH155" s="22"/>
      <c r="AI155" s="530"/>
      <c r="AJ155" s="530"/>
      <c r="AK155" s="530"/>
      <c r="AL155" s="59"/>
      <c r="AM155" s="59"/>
      <c r="AN155" s="59"/>
      <c r="AO155" s="59"/>
    </row>
    <row r="156" ht="28.5" customHeight="1">
      <c r="A156" s="19"/>
      <c r="B156" s="120"/>
      <c r="C156" s="33"/>
      <c r="D156" s="34"/>
      <c r="E156" s="34"/>
      <c r="F156" s="34"/>
      <c r="G156" s="34"/>
      <c r="H156" s="34"/>
      <c r="I156" s="34"/>
      <c r="J156" s="34"/>
      <c r="K156" s="34"/>
      <c r="L156" s="34"/>
      <c r="M156" s="34"/>
      <c r="N156" s="34"/>
      <c r="O156" s="34"/>
      <c r="P156" s="34"/>
      <c r="Q156" s="34"/>
      <c r="R156" s="34"/>
      <c r="S156" s="34"/>
      <c r="T156" s="34"/>
      <c r="U156" s="34"/>
      <c r="V156" s="34"/>
      <c r="W156" s="22"/>
      <c r="X156" s="22"/>
      <c r="Y156" s="22"/>
      <c r="Z156" s="22"/>
      <c r="AA156" s="22"/>
      <c r="AB156" s="22"/>
      <c r="AC156" s="22"/>
      <c r="AD156" s="22"/>
      <c r="AE156" s="22"/>
      <c r="AF156" s="22"/>
      <c r="AG156" s="34"/>
      <c r="AH156" s="22"/>
      <c r="AI156" s="530"/>
      <c r="AJ156" s="530"/>
      <c r="AK156" s="530"/>
      <c r="AL156" s="59"/>
      <c r="AM156" s="59"/>
      <c r="AN156" s="59"/>
      <c r="AO156" s="59"/>
    </row>
    <row r="157" ht="28.5" customHeight="1">
      <c r="A157" s="19"/>
      <c r="B157" s="120"/>
      <c r="C157" s="33"/>
      <c r="D157" s="34"/>
      <c r="E157" s="34"/>
      <c r="F157" s="34"/>
      <c r="G157" s="34"/>
      <c r="H157" s="34"/>
      <c r="I157" s="34"/>
      <c r="J157" s="34"/>
      <c r="K157" s="34"/>
      <c r="L157" s="34"/>
      <c r="M157" s="34"/>
      <c r="N157" s="34"/>
      <c r="O157" s="34"/>
      <c r="P157" s="34"/>
      <c r="Q157" s="34"/>
      <c r="R157" s="34"/>
      <c r="S157" s="34"/>
      <c r="T157" s="34"/>
      <c r="U157" s="34"/>
      <c r="V157" s="34"/>
      <c r="W157" s="22"/>
      <c r="X157" s="22"/>
      <c r="Y157" s="22"/>
      <c r="Z157" s="22"/>
      <c r="AA157" s="22"/>
      <c r="AB157" s="22"/>
      <c r="AC157" s="22"/>
      <c r="AD157" s="22"/>
      <c r="AE157" s="22"/>
      <c r="AF157" s="22"/>
      <c r="AG157" s="34"/>
      <c r="AH157" s="22"/>
      <c r="AI157" s="530"/>
      <c r="AJ157" s="530"/>
      <c r="AK157" s="530"/>
      <c r="AL157" s="59"/>
      <c r="AM157" s="59"/>
      <c r="AN157" s="59"/>
      <c r="AO157" s="59"/>
    </row>
    <row r="158" ht="28.5" customHeight="1">
      <c r="A158" s="19"/>
      <c r="B158" s="120"/>
      <c r="C158" s="33"/>
      <c r="D158" s="34"/>
      <c r="E158" s="34"/>
      <c r="F158" s="34"/>
      <c r="G158" s="34"/>
      <c r="H158" s="34"/>
      <c r="I158" s="34"/>
      <c r="J158" s="34"/>
      <c r="K158" s="34"/>
      <c r="L158" s="34"/>
      <c r="M158" s="34"/>
      <c r="N158" s="34"/>
      <c r="O158" s="34"/>
      <c r="P158" s="34"/>
      <c r="Q158" s="34"/>
      <c r="R158" s="34"/>
      <c r="S158" s="34"/>
      <c r="T158" s="34"/>
      <c r="U158" s="34"/>
      <c r="V158" s="34"/>
      <c r="W158" s="22"/>
      <c r="X158" s="22"/>
      <c r="Y158" s="22"/>
      <c r="Z158" s="22"/>
      <c r="AA158" s="22"/>
      <c r="AB158" s="22"/>
      <c r="AC158" s="22"/>
      <c r="AD158" s="22"/>
      <c r="AE158" s="22"/>
      <c r="AF158" s="22"/>
      <c r="AG158" s="34"/>
      <c r="AH158" s="22"/>
      <c r="AI158" s="530"/>
      <c r="AJ158" s="530"/>
      <c r="AK158" s="530"/>
      <c r="AL158" s="59"/>
      <c r="AM158" s="59"/>
      <c r="AN158" s="59"/>
      <c r="AO158" s="59"/>
    </row>
    <row r="159" ht="28.5" customHeight="1">
      <c r="A159" s="19"/>
      <c r="B159" s="120"/>
      <c r="C159" s="33"/>
      <c r="D159" s="34"/>
      <c r="E159" s="34"/>
      <c r="F159" s="34"/>
      <c r="G159" s="34"/>
      <c r="H159" s="34"/>
      <c r="I159" s="34"/>
      <c r="J159" s="34"/>
      <c r="K159" s="34"/>
      <c r="L159" s="34"/>
      <c r="M159" s="34"/>
      <c r="N159" s="34"/>
      <c r="O159" s="34"/>
      <c r="P159" s="34"/>
      <c r="Q159" s="34"/>
      <c r="R159" s="34"/>
      <c r="S159" s="34"/>
      <c r="T159" s="34"/>
      <c r="U159" s="34"/>
      <c r="V159" s="34"/>
      <c r="W159" s="22"/>
      <c r="X159" s="22"/>
      <c r="Y159" s="22"/>
      <c r="Z159" s="22"/>
      <c r="AA159" s="22"/>
      <c r="AB159" s="22"/>
      <c r="AC159" s="22"/>
      <c r="AD159" s="22"/>
      <c r="AE159" s="22"/>
      <c r="AF159" s="22"/>
      <c r="AG159" s="34"/>
      <c r="AH159" s="22"/>
      <c r="AI159" s="530"/>
      <c r="AJ159" s="530"/>
      <c r="AK159" s="530"/>
      <c r="AL159" s="59"/>
      <c r="AM159" s="59"/>
      <c r="AN159" s="59"/>
      <c r="AO159" s="59"/>
    </row>
    <row r="160" ht="28.5" customHeight="1">
      <c r="A160" s="19"/>
      <c r="B160" s="120"/>
      <c r="C160" s="33"/>
      <c r="D160" s="34"/>
      <c r="E160" s="34"/>
      <c r="F160" s="34"/>
      <c r="G160" s="34"/>
      <c r="H160" s="34"/>
      <c r="I160" s="34"/>
      <c r="J160" s="34"/>
      <c r="K160" s="34"/>
      <c r="L160" s="34"/>
      <c r="M160" s="34"/>
      <c r="N160" s="34"/>
      <c r="O160" s="34"/>
      <c r="P160" s="34"/>
      <c r="Q160" s="34"/>
      <c r="R160" s="34"/>
      <c r="S160" s="34"/>
      <c r="T160" s="34"/>
      <c r="U160" s="34"/>
      <c r="V160" s="34"/>
      <c r="W160" s="22"/>
      <c r="X160" s="22"/>
      <c r="Y160" s="22"/>
      <c r="Z160" s="22"/>
      <c r="AA160" s="22"/>
      <c r="AB160" s="22"/>
      <c r="AC160" s="22"/>
      <c r="AD160" s="22"/>
      <c r="AE160" s="22"/>
      <c r="AF160" s="22"/>
      <c r="AG160" s="34"/>
      <c r="AH160" s="22"/>
      <c r="AI160" s="530"/>
      <c r="AJ160" s="530"/>
      <c r="AK160" s="530"/>
      <c r="AL160" s="59"/>
      <c r="AM160" s="59"/>
      <c r="AN160" s="59"/>
      <c r="AO160" s="59"/>
    </row>
    <row r="161" ht="28.5" customHeight="1">
      <c r="A161" s="23"/>
      <c r="B161" s="114"/>
      <c r="C161" s="63"/>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558"/>
      <c r="AJ161" s="558"/>
      <c r="AK161" s="558"/>
      <c r="AL161" s="59"/>
      <c r="AM161" s="59"/>
      <c r="AN161" s="59"/>
      <c r="AO161" s="59"/>
    </row>
    <row r="162" ht="28.5" customHeight="1">
      <c r="A162" s="121"/>
      <c r="B162" s="122"/>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2"/>
      <c r="AJ162" s="122"/>
      <c r="AK162" s="122"/>
      <c r="AL162" s="59"/>
      <c r="AM162" s="59"/>
      <c r="AN162" s="59"/>
      <c r="AO162" s="59"/>
    </row>
    <row r="163" ht="28.5" customHeight="1">
      <c r="A163" s="124"/>
      <c r="B163" s="125"/>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125"/>
      <c r="AJ163" s="125"/>
      <c r="AK163" s="125"/>
      <c r="AL163" s="59"/>
      <c r="AM163" s="59"/>
      <c r="AN163" s="59"/>
      <c r="AO163" s="59"/>
    </row>
    <row r="164" ht="28.5" customHeight="1">
      <c r="A164" s="124"/>
      <c r="B164" s="125"/>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125"/>
      <c r="AJ164" s="125"/>
      <c r="AK164" s="125"/>
      <c r="AL164" s="59"/>
      <c r="AM164" s="59"/>
      <c r="AN164" s="59"/>
      <c r="AO164" s="59"/>
    </row>
    <row r="165" ht="28.5" customHeight="1">
      <c r="A165" s="124"/>
      <c r="B165" s="125"/>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125"/>
      <c r="AJ165" s="125"/>
      <c r="AK165" s="125"/>
      <c r="AL165" s="59"/>
      <c r="AM165" s="59"/>
      <c r="AN165" s="59"/>
      <c r="AO165" s="59"/>
    </row>
    <row r="166" ht="28.5" customHeight="1">
      <c r="A166" s="124"/>
      <c r="B166" s="125"/>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125"/>
      <c r="AJ166" s="125"/>
      <c r="AK166" s="125"/>
      <c r="AL166" s="59"/>
      <c r="AM166" s="59"/>
      <c r="AN166" s="59"/>
      <c r="AO166" s="59"/>
    </row>
    <row r="167" ht="28.5" customHeight="1">
      <c r="A167" s="124"/>
      <c r="B167" s="125"/>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125"/>
      <c r="AJ167" s="125"/>
      <c r="AK167" s="125"/>
      <c r="AL167" s="59"/>
      <c r="AM167" s="59"/>
      <c r="AN167" s="59"/>
      <c r="AO167" s="59"/>
    </row>
    <row r="168" ht="28.5" customHeight="1">
      <c r="A168" s="124"/>
      <c r="B168" s="125"/>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125"/>
      <c r="AJ168" s="125"/>
      <c r="AK168" s="125"/>
      <c r="AL168" s="59"/>
      <c r="AM168" s="59"/>
      <c r="AN168" s="59"/>
      <c r="AO168" s="59"/>
    </row>
    <row r="169" ht="28.5" customHeight="1">
      <c r="A169" s="124"/>
      <c r="B169" s="125"/>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125"/>
      <c r="AJ169" s="125"/>
      <c r="AK169" s="125"/>
      <c r="AL169" s="59"/>
      <c r="AM169" s="59"/>
      <c r="AN169" s="59"/>
      <c r="AO169" s="59"/>
    </row>
    <row r="170" ht="28.5" customHeight="1">
      <c r="A170" s="124"/>
      <c r="B170" s="125"/>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125"/>
      <c r="AJ170" s="125"/>
      <c r="AK170" s="125"/>
      <c r="AL170" s="59"/>
      <c r="AM170" s="59"/>
      <c r="AN170" s="59"/>
      <c r="AO170" s="59"/>
    </row>
    <row r="171" ht="28.5" customHeight="1">
      <c r="A171" s="124"/>
      <c r="B171" s="125"/>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125"/>
      <c r="AJ171" s="125"/>
      <c r="AK171" s="125"/>
      <c r="AL171" s="59"/>
      <c r="AM171" s="59"/>
      <c r="AN171" s="59"/>
      <c r="AO171" s="59"/>
    </row>
    <row r="172" ht="28.5" customHeight="1">
      <c r="A172" s="124"/>
      <c r="B172" s="125"/>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125"/>
      <c r="AJ172" s="125"/>
      <c r="AK172" s="125"/>
      <c r="AL172" s="59"/>
      <c r="AM172" s="59"/>
      <c r="AN172" s="59"/>
      <c r="AO172" s="59"/>
    </row>
    <row r="173" ht="28.5" customHeight="1">
      <c r="A173" s="124"/>
      <c r="B173" s="125"/>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125"/>
      <c r="AJ173" s="125"/>
      <c r="AK173" s="125"/>
      <c r="AL173" s="59"/>
      <c r="AM173" s="59"/>
      <c r="AN173" s="59"/>
      <c r="AO173" s="59"/>
    </row>
    <row r="174" ht="28.5" customHeight="1">
      <c r="A174" s="124"/>
      <c r="B174" s="125"/>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125"/>
      <c r="AJ174" s="125"/>
      <c r="AK174" s="125"/>
      <c r="AL174" s="59"/>
      <c r="AM174" s="59"/>
      <c r="AN174" s="59"/>
      <c r="AO174" s="59"/>
    </row>
    <row r="175" ht="28.5" customHeight="1">
      <c r="A175" s="124"/>
      <c r="B175" s="125"/>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125"/>
      <c r="AJ175" s="125"/>
      <c r="AK175" s="125"/>
      <c r="AL175" s="59"/>
      <c r="AM175" s="59"/>
      <c r="AN175" s="59"/>
      <c r="AO175" s="59"/>
    </row>
    <row r="176" ht="28.5" customHeight="1">
      <c r="A176" s="124"/>
      <c r="B176" s="125"/>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125"/>
      <c r="AJ176" s="125"/>
      <c r="AK176" s="125"/>
      <c r="AL176" s="59"/>
      <c r="AM176" s="59"/>
      <c r="AN176" s="59"/>
      <c r="AO176" s="59"/>
    </row>
    <row r="177" ht="28.5" customHeight="1">
      <c r="A177" s="124"/>
      <c r="B177" s="125"/>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125"/>
      <c r="AJ177" s="125"/>
      <c r="AK177" s="125"/>
      <c r="AL177" s="59"/>
      <c r="AM177" s="59"/>
      <c r="AN177" s="59"/>
      <c r="AO177" s="59"/>
    </row>
    <row r="178" ht="28.5" customHeight="1">
      <c r="A178" s="124"/>
      <c r="B178" s="125"/>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125"/>
      <c r="AJ178" s="125"/>
      <c r="AK178" s="125"/>
      <c r="AL178" s="59"/>
      <c r="AM178" s="59"/>
      <c r="AN178" s="59"/>
      <c r="AO178" s="59"/>
    </row>
  </sheetData>
  <mergeCells count="46">
    <mergeCell ref="A126:A136"/>
    <mergeCell ref="A137:A142"/>
    <mergeCell ref="A150:A155"/>
    <mergeCell ref="AC1:AD1"/>
    <mergeCell ref="A56:A58"/>
    <mergeCell ref="A70:A80"/>
    <mergeCell ref="A81:A82"/>
    <mergeCell ref="A90:A92"/>
    <mergeCell ref="A110:A118"/>
    <mergeCell ref="A119:A125"/>
    <mergeCell ref="B2:B4"/>
    <mergeCell ref="A5:A12"/>
    <mergeCell ref="A13:A18"/>
    <mergeCell ref="A19:A42"/>
    <mergeCell ref="A43:A47"/>
    <mergeCell ref="A48:A55"/>
    <mergeCell ref="AE1:AF1"/>
    <mergeCell ref="E2:M2"/>
    <mergeCell ref="N2:AF2"/>
    <mergeCell ref="T150:V150"/>
    <mergeCell ref="W150:Y150"/>
    <mergeCell ref="Z150:AB150"/>
    <mergeCell ref="AG2:AH2"/>
    <mergeCell ref="H3:J3"/>
    <mergeCell ref="K3:M3"/>
    <mergeCell ref="N3:P3"/>
    <mergeCell ref="Q3:S3"/>
    <mergeCell ref="T3:V3"/>
    <mergeCell ref="W3:Y3"/>
    <mergeCell ref="Z3:AB3"/>
    <mergeCell ref="AC3:AF3"/>
    <mergeCell ref="AG3:AG4"/>
    <mergeCell ref="C56:C57"/>
    <mergeCell ref="T126:V126"/>
    <mergeCell ref="W126:Y126"/>
    <mergeCell ref="Z126:AB126"/>
    <mergeCell ref="B119:B125"/>
    <mergeCell ref="AL3:AL4"/>
    <mergeCell ref="AN3:AN4"/>
    <mergeCell ref="AO3:AO4"/>
    <mergeCell ref="AM3:AM4"/>
    <mergeCell ref="AE151:AF151"/>
    <mergeCell ref="AH3:AH4"/>
    <mergeCell ref="AI3:AI4"/>
    <mergeCell ref="AJ3:AJ4"/>
    <mergeCell ref="AK3:AK4"/>
  </mergeCells>
  <hyperlinks>
    <hyperlink ref="AN21" r:id="rId1" location="" tooltip="" display=" (http://portalgeo.rio.rj.gov.br/estudoscariocas/download/3272_FavelasCariocas_compara%C3%A7%C3%A3o_das_%C3%A1reas_ocupadas_2004_2011.pdf)"/>
    <hyperlink ref="AK90" r:id="rId2" location="" tooltip="" display="Household income expenditure survey 2016 http://www.statistics.gov.lk/HIES/HIES2016/HIES2016_FinalReport.pdf"/>
    <hyperlink ref="AL128" r:id="rId3" location="" tooltip="" display="http://mepb.lagosstate.gov.ng/wp-content/uploads/sites/29/2017/08/Y2016-Digest-of-Statistics.pdf"/>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4"/>
  <legacyDrawing r:id="rId5"/>
</worksheet>
</file>

<file path=xl/worksheets/sheet4.xml><?xml version="1.0" encoding="utf-8"?>
<worksheet xmlns:r="http://schemas.openxmlformats.org/officeDocument/2006/relationships" xmlns="http://schemas.openxmlformats.org/spreadsheetml/2006/main">
  <dimension ref="A1:BM178"/>
  <sheetViews>
    <sheetView workbookViewId="0" showGridLines="0" defaultGridColor="1"/>
  </sheetViews>
  <sheetFormatPr defaultColWidth="8.83333" defaultRowHeight="28.5" customHeight="1" outlineLevelRow="0" outlineLevelCol="0"/>
  <cols>
    <col min="1" max="1" width="6.35156" style="614" customWidth="1"/>
    <col min="2" max="2" width="13.5" style="614" customWidth="1"/>
    <col min="3" max="5" width="8.85156" style="614" customWidth="1"/>
    <col min="6" max="6" width="23.8516" style="614" customWidth="1"/>
    <col min="7" max="7" width="30.6719" style="614" customWidth="1"/>
    <col min="8" max="8" width="11.3516" style="614" customWidth="1"/>
    <col min="9" max="9" width="13" style="614" customWidth="1"/>
    <col min="10" max="10" width="14" style="614" customWidth="1"/>
    <col min="11" max="11" width="11.6719" style="614" customWidth="1"/>
    <col min="12" max="14" width="8.85156" style="614" customWidth="1"/>
    <col min="15" max="15" width="13.3516" style="614" customWidth="1"/>
    <col min="16" max="16" width="15.3516" style="614" customWidth="1"/>
    <col min="17" max="17" width="29.8516" style="614" customWidth="1"/>
    <col min="18" max="19" width="11.6719" style="614" customWidth="1"/>
    <col min="20" max="20" width="9.5" style="614" customWidth="1"/>
    <col min="21" max="21" width="28" style="614" customWidth="1"/>
    <col min="22" max="22" width="8.85156" style="614" customWidth="1"/>
    <col min="23" max="23" width="34.6719" style="614" customWidth="1"/>
    <col min="24" max="24" width="8.85156" style="614" customWidth="1"/>
    <col min="25" max="25" width="26.8516" style="614" customWidth="1"/>
    <col min="26" max="26" width="10.8516" style="614" customWidth="1"/>
    <col min="27" max="27" width="25.5" style="614" customWidth="1"/>
    <col min="28" max="28" width="11.3516" style="614" customWidth="1"/>
    <col min="29" max="29" width="17.5" style="614" customWidth="1"/>
    <col min="30" max="30" width="8.85156" style="614" customWidth="1"/>
    <col min="31" max="31" width="27.6719" style="614" customWidth="1"/>
    <col min="32" max="32" width="11.5" style="614" customWidth="1"/>
    <col min="33" max="33" width="8.85156" style="614" customWidth="1"/>
    <col min="34" max="34" width="24.1719" style="614" customWidth="1"/>
    <col min="35" max="35" width="16.6719" style="614" customWidth="1"/>
    <col min="36" max="36" width="8.85156" style="614" customWidth="1"/>
    <col min="37" max="37" width="15" style="614" customWidth="1"/>
    <col min="38" max="38" width="14.1719" style="614" customWidth="1"/>
    <col min="39" max="39" width="13.8516" style="614" customWidth="1"/>
    <col min="40" max="43" width="8.85156" style="614" customWidth="1"/>
    <col min="44" max="44" width="11.3516" style="614" customWidth="1"/>
    <col min="45" max="45" width="12.8516" style="614" customWidth="1"/>
    <col min="46" max="46" width="8.85156" style="614" customWidth="1"/>
    <col min="47" max="47" width="11.5" style="614" customWidth="1"/>
    <col min="48" max="48" width="31.8516" style="614" customWidth="1"/>
    <col min="49" max="49" width="17.1719" style="614" customWidth="1"/>
    <col min="50" max="50" width="14.3516" style="614" customWidth="1"/>
    <col min="51" max="51" width="11.8516" style="614" customWidth="1"/>
    <col min="52" max="59" width="8.85156" style="614" customWidth="1"/>
    <col min="60" max="60" width="10.6719" style="614" customWidth="1"/>
    <col min="61" max="61" width="8.85156" style="614" customWidth="1"/>
    <col min="62" max="62" width="11.3516" style="614" customWidth="1"/>
    <col min="63" max="64" width="8.85156" style="614" customWidth="1"/>
    <col min="65" max="65" width="23.6719" style="614" customWidth="1"/>
    <col min="66" max="16384" width="8.85156" style="614" customWidth="1"/>
  </cols>
  <sheetData>
    <row r="1" ht="27" customHeight="1">
      <c r="A1" s="2"/>
      <c r="B1" s="3"/>
      <c r="C1" t="s" s="520">
        <v>883</v>
      </c>
      <c r="D1" t="s" s="520">
        <v>884</v>
      </c>
      <c r="E1" t="s" s="520">
        <v>885</v>
      </c>
      <c r="F1" t="s" s="520">
        <v>886</v>
      </c>
      <c r="G1" t="s" s="520">
        <v>887</v>
      </c>
      <c r="H1" t="s" s="520">
        <v>888</v>
      </c>
      <c r="I1" t="s" s="520">
        <v>889</v>
      </c>
      <c r="J1" t="s" s="520">
        <v>890</v>
      </c>
      <c r="K1" t="s" s="520">
        <v>891</v>
      </c>
      <c r="L1" s="133"/>
      <c r="M1" s="133"/>
      <c r="N1" t="s" s="520">
        <v>892</v>
      </c>
      <c r="O1" t="s" s="520">
        <v>893</v>
      </c>
      <c r="P1" t="s" s="520">
        <v>894</v>
      </c>
      <c r="Q1" t="s" s="520">
        <v>895</v>
      </c>
      <c r="R1" t="s" s="520">
        <v>896</v>
      </c>
      <c r="S1" t="s" s="520">
        <v>897</v>
      </c>
      <c r="T1" t="s" s="520">
        <v>898</v>
      </c>
      <c r="U1" t="s" s="520">
        <v>899</v>
      </c>
      <c r="V1" t="s" s="520">
        <v>900</v>
      </c>
      <c r="W1" t="s" s="520">
        <v>901</v>
      </c>
      <c r="X1" t="s" s="520">
        <v>902</v>
      </c>
      <c r="Y1" t="s" s="520">
        <v>903</v>
      </c>
      <c r="Z1" t="s" s="520">
        <v>904</v>
      </c>
      <c r="AA1" t="s" s="520">
        <v>905</v>
      </c>
      <c r="AB1" t="s" s="520">
        <v>906</v>
      </c>
      <c r="AC1" t="s" s="520">
        <v>907</v>
      </c>
      <c r="AD1" t="s" s="520">
        <v>908</v>
      </c>
      <c r="AE1" t="s" s="520">
        <v>909</v>
      </c>
      <c r="AF1" t="s" s="520">
        <v>910</v>
      </c>
      <c r="AG1" t="s" s="520">
        <v>911</v>
      </c>
      <c r="AH1" t="s" s="520">
        <v>912</v>
      </c>
      <c r="AI1" t="s" s="520">
        <v>913</v>
      </c>
      <c r="AJ1" t="s" s="520">
        <v>914</v>
      </c>
      <c r="AK1" t="s" s="520">
        <v>915</v>
      </c>
      <c r="AL1" t="s" s="520">
        <v>916</v>
      </c>
      <c r="AM1" t="s" s="520">
        <v>917</v>
      </c>
      <c r="AN1" t="s" s="520">
        <v>918</v>
      </c>
      <c r="AO1" t="s" s="520">
        <v>919</v>
      </c>
      <c r="AP1" t="s" s="520">
        <v>920</v>
      </c>
      <c r="AQ1" t="s" s="520">
        <v>921</v>
      </c>
      <c r="AR1" t="s" s="520">
        <v>922</v>
      </c>
      <c r="AS1" t="s" s="520">
        <v>923</v>
      </c>
      <c r="AT1" t="s" s="520">
        <v>924</v>
      </c>
      <c r="AU1" t="s" s="520">
        <v>925</v>
      </c>
      <c r="AV1" t="s" s="520">
        <v>926</v>
      </c>
      <c r="AW1" t="s" s="520">
        <v>927</v>
      </c>
      <c r="AX1" t="s" s="520">
        <v>928</v>
      </c>
      <c r="AY1" t="s" s="520">
        <v>929</v>
      </c>
      <c r="AZ1" t="s" s="520">
        <v>930</v>
      </c>
      <c r="BA1" t="s" s="520">
        <v>931</v>
      </c>
      <c r="BB1" t="s" s="520">
        <v>932</v>
      </c>
      <c r="BC1" t="s" s="520">
        <v>933</v>
      </c>
      <c r="BD1" t="s" s="520">
        <v>934</v>
      </c>
      <c r="BE1" t="s" s="520">
        <v>935</v>
      </c>
      <c r="BF1" t="s" s="520">
        <v>936</v>
      </c>
      <c r="BG1" t="s" s="520">
        <v>937</v>
      </c>
      <c r="BH1" t="s" s="520">
        <v>938</v>
      </c>
      <c r="BI1" t="s" s="520">
        <v>939</v>
      </c>
      <c r="BJ1" t="s" s="520">
        <v>940</v>
      </c>
      <c r="BK1" t="s" s="520">
        <v>941</v>
      </c>
      <c r="BL1" t="s" s="520">
        <v>942</v>
      </c>
      <c r="BM1" t="s" s="520">
        <v>943</v>
      </c>
    </row>
    <row r="2" ht="27" customHeight="1">
      <c r="A2" s="6"/>
      <c r="B2" t="s" s="7">
        <v>2</v>
      </c>
      <c r="C2" t="s" s="615">
        <v>944</v>
      </c>
      <c r="D2" s="616"/>
      <c r="E2" s="616"/>
      <c r="F2" s="616"/>
      <c r="G2" s="616"/>
      <c r="H2" s="616"/>
      <c r="I2" s="616"/>
      <c r="J2" s="616"/>
      <c r="K2" s="616"/>
      <c r="L2" s="616"/>
      <c r="M2" s="616"/>
      <c r="N2" s="616"/>
      <c r="O2" t="s" s="615">
        <v>945</v>
      </c>
      <c r="P2" s="616"/>
      <c r="Q2" t="s" s="615">
        <v>946</v>
      </c>
      <c r="R2" s="616"/>
      <c r="S2" s="616"/>
      <c r="T2" s="616"/>
      <c r="U2" s="616"/>
      <c r="V2" t="s" s="615">
        <v>947</v>
      </c>
      <c r="W2" s="616"/>
      <c r="X2" s="616"/>
      <c r="Y2" s="616"/>
      <c r="Z2" t="s" s="615">
        <v>948</v>
      </c>
      <c r="AA2" s="616"/>
      <c r="AB2" s="616"/>
      <c r="AC2" s="616"/>
      <c r="AD2" s="616"/>
      <c r="AE2" s="616"/>
      <c r="AF2" s="616"/>
      <c r="AG2" s="616"/>
      <c r="AH2" s="616"/>
      <c r="AI2" s="616"/>
      <c r="AJ2" s="616"/>
      <c r="AK2" s="616"/>
      <c r="AL2" s="616"/>
      <c r="AM2" s="616"/>
      <c r="AN2" t="s" s="615">
        <v>949</v>
      </c>
      <c r="AO2" s="616"/>
      <c r="AP2" s="616"/>
      <c r="AQ2" s="616"/>
      <c r="AR2" t="s" s="615">
        <v>950</v>
      </c>
      <c r="AS2" s="616"/>
      <c r="AT2" s="616"/>
      <c r="AU2" s="616"/>
      <c r="AV2" s="616"/>
      <c r="AW2" s="616"/>
      <c r="AX2" s="616"/>
      <c r="AY2" t="s" s="615">
        <v>951</v>
      </c>
      <c r="AZ2" s="616"/>
      <c r="BA2" t="s" s="615">
        <v>952</v>
      </c>
      <c r="BB2" s="616"/>
      <c r="BC2" s="616"/>
      <c r="BD2" s="616"/>
      <c r="BE2" s="616"/>
      <c r="BF2" s="616"/>
      <c r="BG2" s="616"/>
      <c r="BH2" s="616"/>
      <c r="BI2" s="616"/>
      <c r="BJ2" s="616"/>
      <c r="BK2" s="616"/>
      <c r="BL2" s="616"/>
      <c r="BM2" s="616"/>
    </row>
    <row r="3" ht="27" customHeight="1">
      <c r="A3" s="6"/>
      <c r="B3" s="10"/>
      <c r="C3" t="s" s="617">
        <v>953</v>
      </c>
      <c r="D3" t="s" s="7">
        <v>954</v>
      </c>
      <c r="E3" t="s" s="7">
        <v>955</v>
      </c>
      <c r="F3" t="s" s="617">
        <v>956</v>
      </c>
      <c r="G3" t="s" s="7">
        <v>957</v>
      </c>
      <c r="H3" t="s" s="7">
        <v>958</v>
      </c>
      <c r="I3" t="s" s="7">
        <v>959</v>
      </c>
      <c r="J3" t="s" s="7">
        <v>960</v>
      </c>
      <c r="K3" t="s" s="615">
        <v>961</v>
      </c>
      <c r="L3" s="616"/>
      <c r="M3" s="616"/>
      <c r="N3" t="s" s="7">
        <v>962</v>
      </c>
      <c r="O3" t="s" s="7">
        <v>148</v>
      </c>
      <c r="P3" t="s" s="7">
        <v>149</v>
      </c>
      <c r="Q3" t="s" s="7">
        <v>963</v>
      </c>
      <c r="R3" t="s" s="7">
        <v>964</v>
      </c>
      <c r="S3" t="s" s="7">
        <v>965</v>
      </c>
      <c r="T3" t="s" s="7">
        <v>966</v>
      </c>
      <c r="U3" t="s" s="7">
        <v>967</v>
      </c>
      <c r="V3" t="s" s="7">
        <v>968</v>
      </c>
      <c r="W3" t="s" s="7">
        <v>969</v>
      </c>
      <c r="X3" t="s" s="7">
        <v>970</v>
      </c>
      <c r="Y3" t="s" s="7">
        <v>969</v>
      </c>
      <c r="Z3" t="s" s="7">
        <v>971</v>
      </c>
      <c r="AA3" t="s" s="7">
        <v>972</v>
      </c>
      <c r="AB3" t="s" s="7">
        <v>973</v>
      </c>
      <c r="AC3" t="s" s="7">
        <v>974</v>
      </c>
      <c r="AD3" t="s" s="7">
        <v>975</v>
      </c>
      <c r="AE3" t="s" s="7">
        <v>976</v>
      </c>
      <c r="AF3" t="s" s="7">
        <v>977</v>
      </c>
      <c r="AG3" t="s" s="7">
        <v>978</v>
      </c>
      <c r="AH3" t="s" s="7">
        <v>976</v>
      </c>
      <c r="AI3" t="s" s="7">
        <v>979</v>
      </c>
      <c r="AJ3" t="s" s="7">
        <v>980</v>
      </c>
      <c r="AK3" t="s" s="156">
        <v>981</v>
      </c>
      <c r="AL3" t="s" s="158">
        <v>982</v>
      </c>
      <c r="AM3" t="s" s="158">
        <v>983</v>
      </c>
      <c r="AN3" t="s" s="7">
        <v>984</v>
      </c>
      <c r="AO3" t="s" s="7">
        <v>985</v>
      </c>
      <c r="AP3" t="s" s="7">
        <v>986</v>
      </c>
      <c r="AQ3" t="s" s="7">
        <v>987</v>
      </c>
      <c r="AR3" t="s" s="7">
        <v>988</v>
      </c>
      <c r="AS3" t="s" s="7">
        <v>989</v>
      </c>
      <c r="AT3" t="s" s="7">
        <v>990</v>
      </c>
      <c r="AU3" t="s" s="158">
        <v>991</v>
      </c>
      <c r="AV3" t="s" s="7">
        <v>992</v>
      </c>
      <c r="AW3" t="s" s="158">
        <v>993</v>
      </c>
      <c r="AX3" t="s" s="158">
        <v>994</v>
      </c>
      <c r="AY3" t="s" s="7">
        <v>148</v>
      </c>
      <c r="AZ3" t="s" s="7">
        <v>995</v>
      </c>
      <c r="BA3" t="s" s="7">
        <v>996</v>
      </c>
      <c r="BB3" t="s" s="7">
        <v>997</v>
      </c>
      <c r="BC3" t="s" s="152">
        <v>998</v>
      </c>
      <c r="BD3" t="s" s="7">
        <v>999</v>
      </c>
      <c r="BE3" t="s" s="7">
        <v>1000</v>
      </c>
      <c r="BF3" t="s" s="7">
        <v>1001</v>
      </c>
      <c r="BG3" t="s" s="7">
        <v>1002</v>
      </c>
      <c r="BH3" t="s" s="7">
        <v>1003</v>
      </c>
      <c r="BI3" t="s" s="7">
        <v>1004</v>
      </c>
      <c r="BJ3" t="s" s="7">
        <v>1005</v>
      </c>
      <c r="BK3" t="s" s="7">
        <v>1006</v>
      </c>
      <c r="BL3" t="s" s="7">
        <v>1007</v>
      </c>
      <c r="BM3" t="s" s="7">
        <v>1008</v>
      </c>
    </row>
    <row r="4" ht="27" customHeight="1">
      <c r="A4" s="13"/>
      <c r="B4" s="10"/>
      <c r="C4" s="618"/>
      <c r="D4" s="10"/>
      <c r="E4" s="10"/>
      <c r="F4" s="618"/>
      <c r="G4" s="10"/>
      <c r="H4" s="10"/>
      <c r="I4" s="10"/>
      <c r="J4" s="10"/>
      <c r="K4" t="s" s="619">
        <v>1009</v>
      </c>
      <c r="L4" t="s" s="619">
        <v>1010</v>
      </c>
      <c r="M4" t="s" s="619">
        <v>1011</v>
      </c>
      <c r="N4" s="10"/>
      <c r="O4" s="10"/>
      <c r="P4" s="10"/>
      <c r="Q4" s="10"/>
      <c r="R4" s="10"/>
      <c r="S4" s="10"/>
      <c r="T4" s="10"/>
      <c r="U4" s="10"/>
      <c r="V4" s="10"/>
      <c r="W4" s="10"/>
      <c r="X4" s="10"/>
      <c r="Y4" s="10"/>
      <c r="Z4" s="10"/>
      <c r="AA4" s="10"/>
      <c r="AB4" s="10"/>
      <c r="AC4" s="10"/>
      <c r="AD4" s="10"/>
      <c r="AE4" s="10"/>
      <c r="AF4" s="10"/>
      <c r="AG4" s="10"/>
      <c r="AH4" s="10"/>
      <c r="AI4" s="10"/>
      <c r="AJ4" s="10"/>
      <c r="AK4" s="161"/>
      <c r="AL4" s="163"/>
      <c r="AM4" s="163"/>
      <c r="AN4" s="10"/>
      <c r="AO4" s="10"/>
      <c r="AP4" s="10"/>
      <c r="AQ4" s="10"/>
      <c r="AR4" s="10"/>
      <c r="AS4" s="10"/>
      <c r="AT4" s="10"/>
      <c r="AU4" s="163"/>
      <c r="AV4" s="10"/>
      <c r="AW4" s="163"/>
      <c r="AX4" s="163"/>
      <c r="AY4" s="10"/>
      <c r="AZ4" s="10"/>
      <c r="BA4" s="10"/>
      <c r="BB4" s="10"/>
      <c r="BC4" s="160"/>
      <c r="BD4" s="10"/>
      <c r="BE4" s="10"/>
      <c r="BF4" s="10"/>
      <c r="BG4" s="10"/>
      <c r="BH4" s="10"/>
      <c r="BI4" s="10"/>
      <c r="BJ4" s="10"/>
      <c r="BK4" s="10"/>
      <c r="BL4" s="10"/>
      <c r="BM4" s="10"/>
    </row>
    <row r="5" ht="60" customHeight="1">
      <c r="A5" s="15">
        <v>1</v>
      </c>
      <c r="B5" t="s" s="16">
        <v>6</v>
      </c>
      <c r="C5" s="620">
        <v>1</v>
      </c>
      <c r="D5" t="s" s="171">
        <v>1012</v>
      </c>
      <c r="E5" s="166">
        <v>3</v>
      </c>
      <c r="F5" t="s" s="171">
        <v>1013</v>
      </c>
      <c r="G5" t="s" s="171">
        <v>1014</v>
      </c>
      <c r="H5" s="166">
        <v>1</v>
      </c>
      <c r="I5" t="s" s="18">
        <v>229</v>
      </c>
      <c r="J5" t="s" s="171">
        <v>1015</v>
      </c>
      <c r="K5" s="165">
        <v>16190</v>
      </c>
      <c r="L5" s="165">
        <v>168993</v>
      </c>
      <c r="M5" t="s" s="171">
        <v>1016</v>
      </c>
      <c r="N5" s="165">
        <v>4000</v>
      </c>
      <c r="O5" t="s" s="18">
        <v>1017</v>
      </c>
      <c r="P5" t="s" s="18">
        <v>1018</v>
      </c>
      <c r="Q5" t="s" s="170">
        <v>1019</v>
      </c>
      <c r="R5" s="621">
        <v>2</v>
      </c>
      <c r="S5" s="166">
        <v>2</v>
      </c>
      <c r="T5" s="166">
        <v>2</v>
      </c>
      <c r="U5" s="169"/>
      <c r="V5" s="166">
        <v>1</v>
      </c>
      <c r="W5" t="s" s="170">
        <v>1020</v>
      </c>
      <c r="X5" s="166">
        <v>2</v>
      </c>
      <c r="Y5" s="169"/>
      <c r="Z5" s="166">
        <v>1</v>
      </c>
      <c r="AA5" t="s" s="171">
        <v>1021</v>
      </c>
      <c r="AB5" t="s" s="171">
        <v>1022</v>
      </c>
      <c r="AC5" s="559">
        <v>0.6</v>
      </c>
      <c r="AD5" s="166">
        <v>2</v>
      </c>
      <c r="AE5" t="s" s="170">
        <v>1023</v>
      </c>
      <c r="AF5" t="s" s="171">
        <v>1024</v>
      </c>
      <c r="AG5" s="166">
        <v>2</v>
      </c>
      <c r="AH5" t="s" s="170">
        <v>1025</v>
      </c>
      <c r="AI5" t="s" s="171">
        <v>1026</v>
      </c>
      <c r="AJ5" s="166">
        <v>2</v>
      </c>
      <c r="AK5" t="s" s="18">
        <v>1027</v>
      </c>
      <c r="AL5" t="s" s="171">
        <v>1028</v>
      </c>
      <c r="AM5" t="s" s="171">
        <v>1029</v>
      </c>
      <c r="AN5" s="166">
        <v>1</v>
      </c>
      <c r="AO5" s="238">
        <v>0.95</v>
      </c>
      <c r="AP5" s="166">
        <v>3</v>
      </c>
      <c r="AQ5" s="166">
        <v>3</v>
      </c>
      <c r="AR5" t="s" s="171">
        <v>1030</v>
      </c>
      <c r="AS5" t="s" s="171">
        <v>1031</v>
      </c>
      <c r="AT5" t="s" s="18">
        <v>1032</v>
      </c>
      <c r="AU5" t="s" s="18">
        <v>197</v>
      </c>
      <c r="AV5" t="s" s="171">
        <v>197</v>
      </c>
      <c r="AW5" t="s" s="170">
        <v>1033</v>
      </c>
      <c r="AX5" t="s" s="18">
        <v>197</v>
      </c>
      <c r="AY5" t="s" s="171">
        <v>1034</v>
      </c>
      <c r="AZ5" s="622"/>
      <c r="BA5" s="166">
        <v>1</v>
      </c>
      <c r="BB5" s="166">
        <v>1</v>
      </c>
      <c r="BC5" s="166">
        <v>1</v>
      </c>
      <c r="BD5" s="166">
        <v>2</v>
      </c>
      <c r="BE5" s="166">
        <v>1</v>
      </c>
      <c r="BF5" s="166">
        <v>1</v>
      </c>
      <c r="BG5" s="166">
        <v>1</v>
      </c>
      <c r="BH5" s="166">
        <v>2</v>
      </c>
      <c r="BI5" s="166">
        <v>1</v>
      </c>
      <c r="BJ5" s="166">
        <v>1</v>
      </c>
      <c r="BK5" s="166">
        <v>1</v>
      </c>
      <c r="BL5" s="166">
        <v>1</v>
      </c>
      <c r="BM5" s="169"/>
    </row>
    <row r="6" ht="156" customHeight="1">
      <c r="A6" s="19"/>
      <c r="B6" s="20"/>
      <c r="C6" s="21"/>
      <c r="D6" s="22"/>
      <c r="E6" s="22"/>
      <c r="F6" s="22"/>
      <c r="G6" s="22"/>
      <c r="H6" s="22"/>
      <c r="I6" s="22"/>
      <c r="J6" s="22"/>
      <c r="K6" s="211"/>
      <c r="L6" s="211"/>
      <c r="M6" s="211"/>
      <c r="N6" s="22"/>
      <c r="O6" s="22"/>
      <c r="P6" s="623"/>
      <c r="Q6" s="211"/>
      <c r="R6" s="22"/>
      <c r="S6" s="22"/>
      <c r="T6" s="22"/>
      <c r="U6" s="22"/>
      <c r="V6" s="22"/>
      <c r="W6" s="211"/>
      <c r="X6" s="22"/>
      <c r="Y6" s="22"/>
      <c r="Z6" s="22"/>
      <c r="AA6" s="22"/>
      <c r="AB6" s="22"/>
      <c r="AC6" s="22"/>
      <c r="AD6" s="22"/>
      <c r="AE6" s="211"/>
      <c r="AF6" s="22"/>
      <c r="AG6" s="22"/>
      <c r="AH6" s="211"/>
      <c r="AI6" s="22"/>
      <c r="AJ6" s="22"/>
      <c r="AK6" t="s" s="182">
        <v>1035</v>
      </c>
      <c r="AL6" s="22"/>
      <c r="AM6" s="22"/>
      <c r="AN6" s="22"/>
      <c r="AO6" s="22"/>
      <c r="AP6" s="22"/>
      <c r="AQ6" s="22"/>
      <c r="AR6" t="s" s="182">
        <v>1036</v>
      </c>
      <c r="AS6" t="s" s="209">
        <v>1037</v>
      </c>
      <c r="AT6" t="s" s="209">
        <v>1038</v>
      </c>
      <c r="AU6" t="s" s="209">
        <v>1039</v>
      </c>
      <c r="AV6" t="s" s="209">
        <v>1040</v>
      </c>
      <c r="AW6" s="211"/>
      <c r="AX6" t="s" s="209">
        <v>197</v>
      </c>
      <c r="AY6" s="22"/>
      <c r="AZ6" s="22"/>
      <c r="BA6" s="22"/>
      <c r="BB6" s="22"/>
      <c r="BC6" s="22"/>
      <c r="BD6" s="22"/>
      <c r="BE6" s="22"/>
      <c r="BF6" s="22"/>
      <c r="BG6" s="22"/>
      <c r="BH6" s="22"/>
      <c r="BI6" s="22"/>
      <c r="BJ6" s="22"/>
      <c r="BK6" s="22"/>
      <c r="BL6" s="22"/>
      <c r="BM6" s="22"/>
    </row>
    <row r="7" ht="15" customHeight="1">
      <c r="A7" s="19"/>
      <c r="B7" s="20"/>
      <c r="C7" s="21"/>
      <c r="D7" s="22"/>
      <c r="E7" s="22"/>
      <c r="F7" s="22"/>
      <c r="G7" s="22"/>
      <c r="H7" s="22"/>
      <c r="I7" s="22"/>
      <c r="J7" s="22"/>
      <c r="K7" s="211"/>
      <c r="L7" s="211"/>
      <c r="M7" s="211"/>
      <c r="N7" s="22"/>
      <c r="O7" s="22"/>
      <c r="P7" s="22"/>
      <c r="Q7" s="211"/>
      <c r="R7" s="22"/>
      <c r="S7" s="22"/>
      <c r="T7" s="22"/>
      <c r="U7" s="22"/>
      <c r="V7" s="22"/>
      <c r="W7" s="211"/>
      <c r="X7" s="22"/>
      <c r="Y7" s="22"/>
      <c r="Z7" s="22"/>
      <c r="AA7" s="22"/>
      <c r="AB7" s="22"/>
      <c r="AC7" s="22"/>
      <c r="AD7" s="22"/>
      <c r="AE7" s="211"/>
      <c r="AF7" s="22"/>
      <c r="AG7" s="22"/>
      <c r="AH7" s="211"/>
      <c r="AI7" s="22"/>
      <c r="AJ7" s="22"/>
      <c r="AK7" s="22"/>
      <c r="AL7" s="22"/>
      <c r="AM7" s="22"/>
      <c r="AN7" s="22"/>
      <c r="AO7" s="22"/>
      <c r="AP7" s="22"/>
      <c r="AQ7" s="22"/>
      <c r="AR7" t="s" s="182">
        <v>1041</v>
      </c>
      <c r="AS7" t="s" s="209">
        <v>1042</v>
      </c>
      <c r="AT7" t="s" s="209">
        <v>1043</v>
      </c>
      <c r="AU7" t="s" s="209">
        <v>197</v>
      </c>
      <c r="AV7" t="s" s="209">
        <v>197</v>
      </c>
      <c r="AW7" s="211"/>
      <c r="AX7" s="22"/>
      <c r="AY7" s="22"/>
      <c r="AZ7" s="22"/>
      <c r="BA7" s="22"/>
      <c r="BB7" s="22"/>
      <c r="BC7" s="22"/>
      <c r="BD7" s="22"/>
      <c r="BE7" s="22"/>
      <c r="BF7" s="22"/>
      <c r="BG7" s="22"/>
      <c r="BH7" s="22"/>
      <c r="BI7" s="22"/>
      <c r="BJ7" s="22"/>
      <c r="BK7" s="22"/>
      <c r="BL7" s="22"/>
      <c r="BM7" s="22"/>
    </row>
    <row r="8" ht="15" customHeight="1">
      <c r="A8" s="19"/>
      <c r="B8" s="20"/>
      <c r="C8" s="21"/>
      <c r="D8" s="22"/>
      <c r="E8" s="22"/>
      <c r="F8" s="22"/>
      <c r="G8" s="22"/>
      <c r="H8" s="22"/>
      <c r="I8" s="22"/>
      <c r="J8" s="22"/>
      <c r="K8" s="211"/>
      <c r="L8" s="211"/>
      <c r="M8" s="211"/>
      <c r="N8" s="22"/>
      <c r="O8" s="22"/>
      <c r="P8" s="22"/>
      <c r="Q8" s="211"/>
      <c r="R8" s="22"/>
      <c r="S8" s="22"/>
      <c r="T8" s="22"/>
      <c r="U8" s="22"/>
      <c r="V8" s="22"/>
      <c r="W8" s="211"/>
      <c r="X8" s="22"/>
      <c r="Y8" s="22"/>
      <c r="Z8" s="22"/>
      <c r="AA8" s="22"/>
      <c r="AB8" s="22"/>
      <c r="AC8" s="22"/>
      <c r="AD8" s="22"/>
      <c r="AE8" s="211"/>
      <c r="AF8" s="22"/>
      <c r="AG8" s="22"/>
      <c r="AH8" s="211"/>
      <c r="AI8" s="22"/>
      <c r="AJ8" s="22"/>
      <c r="AK8" s="22"/>
      <c r="AL8" s="22"/>
      <c r="AM8" s="22"/>
      <c r="AN8" s="22"/>
      <c r="AO8" s="22"/>
      <c r="AP8" s="22"/>
      <c r="AQ8" s="22"/>
      <c r="AR8" s="22"/>
      <c r="AS8" s="22"/>
      <c r="AT8" s="22"/>
      <c r="AU8" s="22"/>
      <c r="AV8" s="22"/>
      <c r="AW8" s="211"/>
      <c r="AX8" s="22"/>
      <c r="AY8" s="22"/>
      <c r="AZ8" s="22"/>
      <c r="BA8" s="22"/>
      <c r="BB8" s="22"/>
      <c r="BC8" s="22"/>
      <c r="BD8" s="22"/>
      <c r="BE8" s="22"/>
      <c r="BF8" s="22"/>
      <c r="BG8" s="22"/>
      <c r="BH8" s="22"/>
      <c r="BI8" s="22"/>
      <c r="BJ8" s="22"/>
      <c r="BK8" s="22"/>
      <c r="BL8" s="22"/>
      <c r="BM8" s="22"/>
    </row>
    <row r="9" ht="15" customHeight="1">
      <c r="A9" s="19"/>
      <c r="B9" s="20"/>
      <c r="C9" s="21"/>
      <c r="D9" s="22"/>
      <c r="E9" s="22"/>
      <c r="F9" s="22"/>
      <c r="G9" s="22"/>
      <c r="H9" s="22"/>
      <c r="I9" s="22"/>
      <c r="J9" s="22"/>
      <c r="K9" s="211"/>
      <c r="L9" s="211"/>
      <c r="M9" s="211"/>
      <c r="N9" s="22"/>
      <c r="O9" s="22"/>
      <c r="P9" s="22"/>
      <c r="Q9" s="22"/>
      <c r="R9" s="22"/>
      <c r="S9" s="22"/>
      <c r="T9" s="22"/>
      <c r="U9" s="22"/>
      <c r="V9" s="22"/>
      <c r="W9" s="22"/>
      <c r="X9" s="22"/>
      <c r="Y9" s="22"/>
      <c r="Z9" s="22"/>
      <c r="AA9" s="22"/>
      <c r="AB9" s="22"/>
      <c r="AC9" s="22"/>
      <c r="AD9" s="22"/>
      <c r="AE9" s="211"/>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row>
    <row r="10" ht="15" customHeight="1">
      <c r="A10" s="19"/>
      <c r="B10" s="20"/>
      <c r="C10" s="21"/>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11"/>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row>
    <row r="11" ht="15" customHeight="1">
      <c r="A11" s="19"/>
      <c r="B11" s="20"/>
      <c r="C11" s="21"/>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11"/>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row>
    <row r="12" ht="15" customHeight="1">
      <c r="A12" s="23"/>
      <c r="B12" s="24"/>
      <c r="C12" s="25"/>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row>
    <row r="13" ht="48" customHeight="1">
      <c r="A13" s="27">
        <v>2</v>
      </c>
      <c r="B13" t="s" s="28">
        <v>10</v>
      </c>
      <c r="C13" s="620">
        <v>1</v>
      </c>
      <c r="D13" t="s" s="171">
        <v>1044</v>
      </c>
      <c r="E13" s="167">
        <v>2</v>
      </c>
      <c r="F13" t="s" s="171">
        <v>1045</v>
      </c>
      <c r="G13" t="s" s="171">
        <v>1046</v>
      </c>
      <c r="H13" s="167">
        <v>1</v>
      </c>
      <c r="I13" t="s" s="171">
        <v>229</v>
      </c>
      <c r="J13" t="s" s="171">
        <v>259</v>
      </c>
      <c r="K13" s="167">
        <v>5441</v>
      </c>
      <c r="L13" s="167">
        <v>64325</v>
      </c>
      <c r="M13" s="166">
        <v>2356</v>
      </c>
      <c r="N13" s="167">
        <v>364</v>
      </c>
      <c r="O13" t="s" s="18">
        <v>1047</v>
      </c>
      <c r="P13" t="s" s="18">
        <v>1048</v>
      </c>
      <c r="Q13" t="s" s="170">
        <v>1049</v>
      </c>
      <c r="R13" s="167">
        <v>1</v>
      </c>
      <c r="S13" s="167">
        <v>1</v>
      </c>
      <c r="T13" s="167">
        <v>2</v>
      </c>
      <c r="U13" t="s" s="171">
        <v>223</v>
      </c>
      <c r="V13" s="167">
        <v>1</v>
      </c>
      <c r="W13" t="s" s="170">
        <v>1050</v>
      </c>
      <c r="X13" s="167">
        <v>2</v>
      </c>
      <c r="Y13" t="s" s="171">
        <v>223</v>
      </c>
      <c r="Z13" s="167">
        <v>1</v>
      </c>
      <c r="AA13" t="s" s="170">
        <v>1051</v>
      </c>
      <c r="AB13" t="s" s="171">
        <v>1052</v>
      </c>
      <c r="AC13" s="167">
        <v>39.93</v>
      </c>
      <c r="AD13" s="167">
        <v>2</v>
      </c>
      <c r="AE13" t="s" s="170">
        <v>1053</v>
      </c>
      <c r="AF13" t="s" s="171">
        <v>1054</v>
      </c>
      <c r="AG13" s="167">
        <v>2</v>
      </c>
      <c r="AH13" t="s" s="170">
        <v>1053</v>
      </c>
      <c r="AI13" s="167">
        <v>38</v>
      </c>
      <c r="AJ13" s="167">
        <v>2</v>
      </c>
      <c r="AK13" t="s" s="171">
        <v>1055</v>
      </c>
      <c r="AL13" t="s" s="171">
        <v>1056</v>
      </c>
      <c r="AM13" t="s" s="171">
        <v>1057</v>
      </c>
      <c r="AN13" s="167">
        <v>1</v>
      </c>
      <c r="AO13" s="167">
        <v>40</v>
      </c>
      <c r="AP13" s="167">
        <v>3</v>
      </c>
      <c r="AQ13" s="167">
        <v>3</v>
      </c>
      <c r="AR13" t="s" s="171">
        <v>1058</v>
      </c>
      <c r="AS13" t="s" s="171">
        <v>223</v>
      </c>
      <c r="AT13" s="167">
        <v>1975</v>
      </c>
      <c r="AU13" t="s" s="171">
        <v>223</v>
      </c>
      <c r="AV13" t="s" s="171">
        <v>223</v>
      </c>
      <c r="AW13" t="s" s="171">
        <v>1059</v>
      </c>
      <c r="AX13" t="s" s="171">
        <v>1060</v>
      </c>
      <c r="AY13" s="168"/>
      <c r="AZ13" t="s" s="18">
        <v>1061</v>
      </c>
      <c r="BA13" s="167">
        <v>1</v>
      </c>
      <c r="BB13" s="167">
        <v>1</v>
      </c>
      <c r="BC13" s="167">
        <v>1</v>
      </c>
      <c r="BD13" s="167">
        <v>1</v>
      </c>
      <c r="BE13" s="167">
        <v>1</v>
      </c>
      <c r="BF13" s="167">
        <v>1</v>
      </c>
      <c r="BG13" s="167">
        <v>1</v>
      </c>
      <c r="BH13" s="167">
        <v>1</v>
      </c>
      <c r="BI13" s="167">
        <v>1</v>
      </c>
      <c r="BJ13" s="167">
        <v>1</v>
      </c>
      <c r="BK13" s="167">
        <v>1</v>
      </c>
      <c r="BL13" s="167">
        <v>1</v>
      </c>
      <c r="BM13" t="s" s="170">
        <v>1062</v>
      </c>
    </row>
    <row r="14" ht="15" customHeight="1">
      <c r="A14" s="31"/>
      <c r="B14" s="32"/>
      <c r="C14" s="33"/>
      <c r="D14" s="34"/>
      <c r="E14" s="34"/>
      <c r="F14" s="34"/>
      <c r="G14" s="34"/>
      <c r="H14" s="34"/>
      <c r="I14" s="34"/>
      <c r="J14" s="34"/>
      <c r="K14" s="34"/>
      <c r="L14" s="34"/>
      <c r="M14" s="22"/>
      <c r="N14" s="34"/>
      <c r="O14" s="34"/>
      <c r="P14" s="34"/>
      <c r="Q14" s="211"/>
      <c r="R14" s="34"/>
      <c r="S14" s="34"/>
      <c r="T14" s="34"/>
      <c r="U14" s="34"/>
      <c r="V14" s="34"/>
      <c r="W14" s="211"/>
      <c r="X14" s="34"/>
      <c r="Y14" s="34"/>
      <c r="Z14" s="34"/>
      <c r="AA14" s="211"/>
      <c r="AB14" s="34"/>
      <c r="AC14" s="34"/>
      <c r="AD14" s="34"/>
      <c r="AE14" s="211"/>
      <c r="AF14" s="34"/>
      <c r="AG14" s="34"/>
      <c r="AH14" s="211"/>
      <c r="AI14" s="34"/>
      <c r="AJ14" s="34"/>
      <c r="AK14" s="34"/>
      <c r="AL14" s="34"/>
      <c r="AM14" s="34"/>
      <c r="AN14" s="34"/>
      <c r="AO14" s="34"/>
      <c r="AP14" s="34"/>
      <c r="AQ14" s="34"/>
      <c r="AR14" t="s" s="182">
        <v>1063</v>
      </c>
      <c r="AS14" t="s" s="182">
        <v>223</v>
      </c>
      <c r="AT14" s="183">
        <v>1992</v>
      </c>
      <c r="AU14" t="s" s="182">
        <v>223</v>
      </c>
      <c r="AV14" t="s" s="182">
        <v>223</v>
      </c>
      <c r="AW14" s="34"/>
      <c r="AX14" s="34"/>
      <c r="AY14" s="34"/>
      <c r="AZ14" s="34"/>
      <c r="BA14" s="34"/>
      <c r="BB14" s="34"/>
      <c r="BC14" s="34"/>
      <c r="BD14" s="34"/>
      <c r="BE14" s="34"/>
      <c r="BF14" s="34"/>
      <c r="BG14" s="34"/>
      <c r="BH14" s="34"/>
      <c r="BI14" s="34"/>
      <c r="BJ14" s="34"/>
      <c r="BK14" s="34"/>
      <c r="BL14" s="34"/>
      <c r="BM14" s="211"/>
    </row>
    <row r="15" ht="24" customHeight="1">
      <c r="A15" s="31"/>
      <c r="B15" s="32"/>
      <c r="C15" s="33"/>
      <c r="D15" s="34"/>
      <c r="E15" s="34"/>
      <c r="F15" s="34"/>
      <c r="G15" s="34"/>
      <c r="H15" s="34"/>
      <c r="I15" s="34"/>
      <c r="J15" s="34"/>
      <c r="K15" s="34"/>
      <c r="L15" s="34"/>
      <c r="M15" s="34"/>
      <c r="N15" s="34"/>
      <c r="O15" s="34"/>
      <c r="P15" s="34"/>
      <c r="Q15" s="211"/>
      <c r="R15" s="34"/>
      <c r="S15" s="34"/>
      <c r="T15" s="34"/>
      <c r="U15" s="34"/>
      <c r="V15" s="34"/>
      <c r="W15" s="211"/>
      <c r="X15" s="34"/>
      <c r="Y15" s="34"/>
      <c r="Z15" s="34"/>
      <c r="AA15" s="211"/>
      <c r="AB15" s="34"/>
      <c r="AC15" s="34"/>
      <c r="AD15" s="34"/>
      <c r="AE15" s="211"/>
      <c r="AF15" s="34"/>
      <c r="AG15" s="34"/>
      <c r="AH15" s="211"/>
      <c r="AI15" s="34"/>
      <c r="AJ15" s="34"/>
      <c r="AK15" s="34"/>
      <c r="AL15" s="34"/>
      <c r="AM15" s="34"/>
      <c r="AN15" s="34"/>
      <c r="AO15" s="34"/>
      <c r="AP15" s="34"/>
      <c r="AQ15" s="34"/>
      <c r="AR15" t="s" s="182">
        <v>1064</v>
      </c>
      <c r="AS15" t="s" s="182">
        <v>223</v>
      </c>
      <c r="AT15" s="183">
        <v>2010</v>
      </c>
      <c r="AU15" t="s" s="182">
        <v>1065</v>
      </c>
      <c r="AV15" t="s" s="182">
        <v>1066</v>
      </c>
      <c r="AW15" s="34"/>
      <c r="AX15" s="34"/>
      <c r="AY15" s="34"/>
      <c r="AZ15" s="34"/>
      <c r="BA15" s="34"/>
      <c r="BB15" s="34"/>
      <c r="BC15" s="34"/>
      <c r="BD15" s="34"/>
      <c r="BE15" s="34"/>
      <c r="BF15" s="34"/>
      <c r="BG15" s="34"/>
      <c r="BH15" s="34"/>
      <c r="BI15" s="34"/>
      <c r="BJ15" s="34"/>
      <c r="BK15" s="34"/>
      <c r="BL15" s="34"/>
      <c r="BM15" s="211"/>
    </row>
    <row r="16" ht="15" customHeight="1">
      <c r="A16" s="31"/>
      <c r="B16" s="32"/>
      <c r="C16" s="33"/>
      <c r="D16" s="34"/>
      <c r="E16" s="34"/>
      <c r="F16" s="34"/>
      <c r="G16" s="34"/>
      <c r="H16" s="34"/>
      <c r="I16" s="34"/>
      <c r="J16" s="34"/>
      <c r="K16" s="34"/>
      <c r="L16" s="34"/>
      <c r="M16" s="34"/>
      <c r="N16" s="34"/>
      <c r="O16" s="34"/>
      <c r="P16" s="34"/>
      <c r="Q16" s="211"/>
      <c r="R16" s="34"/>
      <c r="S16" s="34"/>
      <c r="T16" s="34"/>
      <c r="U16" s="34"/>
      <c r="V16" s="34"/>
      <c r="W16" s="211"/>
      <c r="X16" s="34"/>
      <c r="Y16" s="34"/>
      <c r="Z16" s="34"/>
      <c r="AA16" s="211"/>
      <c r="AB16" s="34"/>
      <c r="AC16" s="34"/>
      <c r="AD16" s="34"/>
      <c r="AE16" s="211"/>
      <c r="AF16" s="34"/>
      <c r="AG16" s="34"/>
      <c r="AH16" s="211"/>
      <c r="AI16" s="34"/>
      <c r="AJ16" s="34"/>
      <c r="AK16" s="34"/>
      <c r="AL16" s="34"/>
      <c r="AM16" s="34"/>
      <c r="AN16" s="34"/>
      <c r="AO16" s="34"/>
      <c r="AP16" s="34"/>
      <c r="AQ16" s="34"/>
      <c r="AR16" t="s" s="182">
        <v>1067</v>
      </c>
      <c r="AS16" t="s" s="182">
        <v>223</v>
      </c>
      <c r="AT16" t="s" s="182">
        <v>223</v>
      </c>
      <c r="AU16" t="s" s="182">
        <v>223</v>
      </c>
      <c r="AV16" t="s" s="182">
        <v>223</v>
      </c>
      <c r="AW16" s="34"/>
      <c r="AX16" s="34"/>
      <c r="AY16" s="34"/>
      <c r="AZ16" s="34"/>
      <c r="BA16" s="34"/>
      <c r="BB16" s="34"/>
      <c r="BC16" s="34"/>
      <c r="BD16" s="34"/>
      <c r="BE16" s="34"/>
      <c r="BF16" s="34"/>
      <c r="BG16" s="34"/>
      <c r="BH16" s="34"/>
      <c r="BI16" s="34"/>
      <c r="BJ16" s="34"/>
      <c r="BK16" s="34"/>
      <c r="BL16" s="34"/>
      <c r="BM16" s="211"/>
    </row>
    <row r="17" ht="15" customHeight="1">
      <c r="A17" s="31"/>
      <c r="B17" s="32"/>
      <c r="C17" s="33"/>
      <c r="D17" s="34"/>
      <c r="E17" s="34"/>
      <c r="F17" s="34"/>
      <c r="G17" s="34"/>
      <c r="H17" s="34"/>
      <c r="I17" s="34"/>
      <c r="J17" s="34"/>
      <c r="K17" s="34"/>
      <c r="L17" s="34"/>
      <c r="M17" s="34"/>
      <c r="N17" s="34"/>
      <c r="O17" s="34"/>
      <c r="P17" s="34"/>
      <c r="Q17" s="211"/>
      <c r="R17" s="34"/>
      <c r="S17" s="34"/>
      <c r="T17" s="34"/>
      <c r="U17" s="34"/>
      <c r="V17" s="34"/>
      <c r="W17" s="211"/>
      <c r="X17" s="34"/>
      <c r="Y17" s="34"/>
      <c r="Z17" s="34"/>
      <c r="AA17" s="211"/>
      <c r="AB17" s="34"/>
      <c r="AC17" s="34"/>
      <c r="AD17" s="34"/>
      <c r="AE17" s="211"/>
      <c r="AF17" s="34"/>
      <c r="AG17" s="34"/>
      <c r="AH17" s="211"/>
      <c r="AI17" s="34"/>
      <c r="AJ17" s="34"/>
      <c r="AK17" s="34"/>
      <c r="AL17" s="34"/>
      <c r="AM17" s="34"/>
      <c r="AN17" s="34"/>
      <c r="AO17" s="34"/>
      <c r="AP17" s="34"/>
      <c r="AQ17" s="34"/>
      <c r="AR17" t="s" s="182">
        <v>1068</v>
      </c>
      <c r="AS17" t="s" s="182">
        <v>223</v>
      </c>
      <c r="AT17" t="s" s="182">
        <v>223</v>
      </c>
      <c r="AU17" t="s" s="182">
        <v>223</v>
      </c>
      <c r="AV17" t="s" s="182">
        <v>223</v>
      </c>
      <c r="AW17" s="34"/>
      <c r="AX17" s="34"/>
      <c r="AY17" s="34"/>
      <c r="AZ17" s="34"/>
      <c r="BA17" s="34"/>
      <c r="BB17" s="34"/>
      <c r="BC17" s="34"/>
      <c r="BD17" s="34"/>
      <c r="BE17" s="34"/>
      <c r="BF17" s="34"/>
      <c r="BG17" s="34"/>
      <c r="BH17" s="34"/>
      <c r="BI17" s="34"/>
      <c r="BJ17" s="34"/>
      <c r="BK17" s="34"/>
      <c r="BL17" s="34"/>
      <c r="BM17" s="211"/>
    </row>
    <row r="18" ht="15" customHeight="1">
      <c r="A18" s="35"/>
      <c r="B18" s="24"/>
      <c r="C18" s="25"/>
      <c r="D18" s="26"/>
      <c r="E18" s="26"/>
      <c r="F18" s="26"/>
      <c r="G18" s="26"/>
      <c r="H18" s="26"/>
      <c r="I18" s="26"/>
      <c r="J18" s="26"/>
      <c r="K18" s="26"/>
      <c r="L18" s="26"/>
      <c r="M18" s="26"/>
      <c r="N18" s="26"/>
      <c r="O18" s="26"/>
      <c r="P18" s="26"/>
      <c r="Q18" s="26"/>
      <c r="R18" s="26"/>
      <c r="S18" s="26"/>
      <c r="T18" s="26"/>
      <c r="U18" s="26"/>
      <c r="V18" s="26"/>
      <c r="W18" s="252"/>
      <c r="X18" s="26"/>
      <c r="Y18" s="26"/>
      <c r="Z18" s="26"/>
      <c r="AA18" s="252"/>
      <c r="AB18" s="26"/>
      <c r="AC18" s="26"/>
      <c r="AD18" s="26"/>
      <c r="AE18" s="252"/>
      <c r="AF18" s="26"/>
      <c r="AG18" s="26"/>
      <c r="AH18" s="252"/>
      <c r="AI18" s="26"/>
      <c r="AJ18" s="26"/>
      <c r="AK18" s="26"/>
      <c r="AL18" s="26"/>
      <c r="AM18" s="26"/>
      <c r="AN18" s="26"/>
      <c r="AO18" s="26"/>
      <c r="AP18" s="26"/>
      <c r="AQ18" s="26"/>
      <c r="AR18" t="s" s="624">
        <v>1069</v>
      </c>
      <c r="AS18" t="s" s="624">
        <v>223</v>
      </c>
      <c r="AT18" t="s" s="624">
        <v>223</v>
      </c>
      <c r="AU18" t="s" s="624">
        <v>223</v>
      </c>
      <c r="AV18" t="s" s="624">
        <v>223</v>
      </c>
      <c r="AW18" s="70"/>
      <c r="AX18" s="70"/>
      <c r="AY18" s="26"/>
      <c r="AZ18" s="26"/>
      <c r="BA18" s="26"/>
      <c r="BB18" s="26"/>
      <c r="BC18" s="26"/>
      <c r="BD18" s="26"/>
      <c r="BE18" s="26"/>
      <c r="BF18" s="26"/>
      <c r="BG18" s="26"/>
      <c r="BH18" s="26"/>
      <c r="BI18" s="26"/>
      <c r="BJ18" s="26"/>
      <c r="BK18" s="26"/>
      <c r="BL18" s="26"/>
      <c r="BM18" s="252"/>
    </row>
    <row r="19" ht="144" customHeight="1">
      <c r="A19" s="15">
        <v>3</v>
      </c>
      <c r="B19" t="s" s="16">
        <v>12</v>
      </c>
      <c r="C19" s="625">
        <v>1</v>
      </c>
      <c r="D19" t="s" s="18">
        <v>1070</v>
      </c>
      <c r="E19" s="166">
        <v>3</v>
      </c>
      <c r="F19" t="s" s="171">
        <v>1071</v>
      </c>
      <c r="G19" t="s" s="170">
        <v>1072</v>
      </c>
      <c r="H19" t="s" s="170">
        <v>1073</v>
      </c>
      <c r="I19" t="s" s="18">
        <v>230</v>
      </c>
      <c r="J19" t="s" s="18">
        <v>1074</v>
      </c>
      <c r="K19" s="626">
        <v>2355683.38</v>
      </c>
      <c r="L19" s="626"/>
      <c r="M19" s="169"/>
      <c r="N19" s="165">
        <v>4941</v>
      </c>
      <c r="O19" t="s" s="18">
        <v>1075</v>
      </c>
      <c r="P19" t="s" s="18">
        <v>1076</v>
      </c>
      <c r="Q19" t="s" s="171">
        <v>1077</v>
      </c>
      <c r="R19" s="167">
        <v>1</v>
      </c>
      <c r="S19" s="254">
        <v>1</v>
      </c>
      <c r="T19" s="166">
        <v>1</v>
      </c>
      <c r="U19" t="s" s="170">
        <v>1078</v>
      </c>
      <c r="V19" s="166">
        <v>1</v>
      </c>
      <c r="W19" t="s" s="170">
        <v>1079</v>
      </c>
      <c r="X19" s="166">
        <v>2</v>
      </c>
      <c r="Y19" s="169"/>
      <c r="Z19" s="167">
        <v>1</v>
      </c>
      <c r="AA19" t="s" s="170">
        <v>1080</v>
      </c>
      <c r="AB19" t="s" s="112">
        <v>1081</v>
      </c>
      <c r="AC19" s="627">
        <v>0.2668</v>
      </c>
      <c r="AD19" s="166">
        <v>1</v>
      </c>
      <c r="AE19" s="169"/>
      <c r="AF19" s="169"/>
      <c r="AG19" s="166">
        <v>1</v>
      </c>
      <c r="AH19" s="169"/>
      <c r="AI19" s="169"/>
      <c r="AJ19" s="166">
        <v>2</v>
      </c>
      <c r="AK19" t="s" s="18">
        <v>1082</v>
      </c>
      <c r="AL19" t="s" s="171">
        <v>1083</v>
      </c>
      <c r="AM19" t="s" s="18">
        <v>197</v>
      </c>
      <c r="AN19" s="166">
        <v>1</v>
      </c>
      <c r="AO19" s="166">
        <v>86.5</v>
      </c>
      <c r="AP19" t="s" s="171">
        <v>1084</v>
      </c>
      <c r="AQ19" t="s" s="18">
        <v>1085</v>
      </c>
      <c r="AR19" t="s" s="18">
        <v>1086</v>
      </c>
      <c r="AS19" s="337">
        <v>0.86</v>
      </c>
      <c r="AT19" s="166">
        <v>1955</v>
      </c>
      <c r="AU19" t="s" s="18">
        <v>197</v>
      </c>
      <c r="AV19" t="s" s="18">
        <v>1087</v>
      </c>
      <c r="AW19" t="s" s="171">
        <v>1088</v>
      </c>
      <c r="AX19" t="s" s="18">
        <v>197</v>
      </c>
      <c r="AY19" t="s" s="18">
        <v>1089</v>
      </c>
      <c r="AZ19" t="s" s="18">
        <v>1090</v>
      </c>
      <c r="BA19" s="166">
        <v>1</v>
      </c>
      <c r="BB19" s="166">
        <v>1</v>
      </c>
      <c r="BC19" s="166">
        <v>1</v>
      </c>
      <c r="BD19" s="166">
        <v>1</v>
      </c>
      <c r="BE19" s="166">
        <v>1</v>
      </c>
      <c r="BF19" s="166">
        <v>1</v>
      </c>
      <c r="BG19" s="166">
        <v>1</v>
      </c>
      <c r="BH19" s="166">
        <v>1</v>
      </c>
      <c r="BI19" s="166">
        <v>1</v>
      </c>
      <c r="BJ19" s="166">
        <v>1</v>
      </c>
      <c r="BK19" s="166">
        <v>1</v>
      </c>
      <c r="BL19" s="166">
        <v>1</v>
      </c>
      <c r="BM19" t="s" s="170">
        <v>1091</v>
      </c>
    </row>
    <row r="20" ht="15" customHeight="1">
      <c r="A20" s="19"/>
      <c r="B20" s="32"/>
      <c r="C20" s="21"/>
      <c r="D20" s="22"/>
      <c r="E20" s="22"/>
      <c r="F20" s="211"/>
      <c r="G20" s="211"/>
      <c r="H20" s="211"/>
      <c r="I20" s="211"/>
      <c r="J20" s="211"/>
      <c r="K20" s="211"/>
      <c r="L20" s="211"/>
      <c r="M20" s="211"/>
      <c r="N20" s="22"/>
      <c r="O20" s="22"/>
      <c r="P20" s="22"/>
      <c r="Q20" s="22"/>
      <c r="R20" s="22"/>
      <c r="S20" s="211"/>
      <c r="T20" s="22"/>
      <c r="U20" s="211"/>
      <c r="V20" s="22"/>
      <c r="W20" s="211"/>
      <c r="X20" s="22"/>
      <c r="Y20" s="22"/>
      <c r="Z20" s="22"/>
      <c r="AA20" s="211"/>
      <c r="AB20" s="22"/>
      <c r="AC20" s="22"/>
      <c r="AD20" s="22"/>
      <c r="AE20" s="22"/>
      <c r="AF20" s="22"/>
      <c r="AG20" s="22"/>
      <c r="AH20" s="22"/>
      <c r="AI20" s="22"/>
      <c r="AJ20" s="22"/>
      <c r="AK20" t="s" s="209">
        <v>1092</v>
      </c>
      <c r="AL20" s="22"/>
      <c r="AM20" s="22"/>
      <c r="AN20" s="22"/>
      <c r="AO20" s="22"/>
      <c r="AP20" s="22"/>
      <c r="AQ20" s="22"/>
      <c r="AR20" t="s" s="209">
        <v>1093</v>
      </c>
      <c r="AS20" s="517">
        <v>0.13</v>
      </c>
      <c r="AT20" s="208">
        <v>1940</v>
      </c>
      <c r="AU20" t="s" s="209">
        <v>197</v>
      </c>
      <c r="AV20" t="s" s="209">
        <v>1087</v>
      </c>
      <c r="AW20" s="22"/>
      <c r="AX20" t="s" s="209">
        <v>197</v>
      </c>
      <c r="AY20" s="22"/>
      <c r="AZ20" s="22"/>
      <c r="BA20" s="22"/>
      <c r="BB20" s="22"/>
      <c r="BC20" s="22"/>
      <c r="BD20" s="22"/>
      <c r="BE20" s="22"/>
      <c r="BF20" s="22"/>
      <c r="BG20" s="22"/>
      <c r="BH20" s="22"/>
      <c r="BI20" s="22"/>
      <c r="BJ20" s="22"/>
      <c r="BK20" s="22"/>
      <c r="BL20" s="22"/>
      <c r="BM20" s="211"/>
    </row>
    <row r="21" ht="15" customHeight="1">
      <c r="A21" s="19"/>
      <c r="B21" s="32"/>
      <c r="C21" s="21"/>
      <c r="D21" s="22"/>
      <c r="E21" s="22"/>
      <c r="F21" s="211"/>
      <c r="G21" s="211"/>
      <c r="H21" s="211"/>
      <c r="I21" s="211"/>
      <c r="J21" s="211"/>
      <c r="K21" s="22"/>
      <c r="L21" s="22"/>
      <c r="M21" s="22"/>
      <c r="N21" s="22"/>
      <c r="O21" s="22"/>
      <c r="P21" s="22"/>
      <c r="Q21" s="22"/>
      <c r="R21" s="22"/>
      <c r="S21" s="22"/>
      <c r="T21" s="22"/>
      <c r="U21" s="211"/>
      <c r="V21" s="22"/>
      <c r="W21" s="211"/>
      <c r="X21" s="22"/>
      <c r="Y21" s="22"/>
      <c r="Z21" s="22"/>
      <c r="AA21" s="211"/>
      <c r="AB21" s="22"/>
      <c r="AC21" s="22"/>
      <c r="AD21" s="22"/>
      <c r="AE21" s="22"/>
      <c r="AF21" s="22"/>
      <c r="AG21" s="22"/>
      <c r="AH21" s="22"/>
      <c r="AI21" s="22"/>
      <c r="AJ21" s="22"/>
      <c r="AK21" s="22"/>
      <c r="AL21" s="22"/>
      <c r="AM21" s="22"/>
      <c r="AN21" s="22"/>
      <c r="AO21" s="22"/>
      <c r="AP21" s="22"/>
      <c r="AQ21" s="22"/>
      <c r="AR21" t="s" s="209">
        <v>1094</v>
      </c>
      <c r="AS21" s="22"/>
      <c r="AT21" s="22"/>
      <c r="AU21" s="22"/>
      <c r="AV21" s="22"/>
      <c r="AW21" s="22"/>
      <c r="AX21" s="22"/>
      <c r="AY21" s="22"/>
      <c r="AZ21" s="22"/>
      <c r="BA21" s="22"/>
      <c r="BB21" s="22"/>
      <c r="BC21" s="22"/>
      <c r="BD21" s="22"/>
      <c r="BE21" s="22"/>
      <c r="BF21" s="22"/>
      <c r="BG21" s="22"/>
      <c r="BH21" s="22"/>
      <c r="BI21" s="22"/>
      <c r="BJ21" s="22"/>
      <c r="BK21" s="22"/>
      <c r="BL21" s="22"/>
      <c r="BM21" s="211"/>
    </row>
    <row r="22" ht="15" customHeight="1">
      <c r="A22" s="19"/>
      <c r="B22" s="32"/>
      <c r="C22" s="21"/>
      <c r="D22" s="22"/>
      <c r="E22" s="22"/>
      <c r="F22" s="211"/>
      <c r="G22" s="211"/>
      <c r="H22" s="211"/>
      <c r="I22" s="211"/>
      <c r="J22" s="211"/>
      <c r="K22" s="22"/>
      <c r="L22" s="22"/>
      <c r="M22" s="22"/>
      <c r="N22" s="22"/>
      <c r="O22" s="22"/>
      <c r="P22" s="22"/>
      <c r="Q22" s="22"/>
      <c r="R22" s="22"/>
      <c r="S22" s="22"/>
      <c r="T22" s="22"/>
      <c r="U22" s="211"/>
      <c r="V22" s="22"/>
      <c r="W22" s="22"/>
      <c r="X22" s="22"/>
      <c r="Y22" s="22"/>
      <c r="Z22" s="22"/>
      <c r="AA22" s="211"/>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11"/>
    </row>
    <row r="23" ht="15" customHeight="1">
      <c r="A23" s="19"/>
      <c r="B23" s="32"/>
      <c r="C23" s="21"/>
      <c r="D23" s="22"/>
      <c r="E23" s="22"/>
      <c r="F23" s="211"/>
      <c r="G23" s="211"/>
      <c r="H23" s="211"/>
      <c r="I23" s="211"/>
      <c r="J23" s="211"/>
      <c r="K23" s="22"/>
      <c r="L23" s="22"/>
      <c r="M23" s="22"/>
      <c r="N23" s="22"/>
      <c r="O23" s="22"/>
      <c r="P23" s="22"/>
      <c r="Q23" s="22"/>
      <c r="R23" s="22"/>
      <c r="S23" s="22"/>
      <c r="T23" s="22"/>
      <c r="U23" s="211"/>
      <c r="V23" s="22"/>
      <c r="W23" s="22"/>
      <c r="X23" s="22"/>
      <c r="Y23" s="22"/>
      <c r="Z23" s="22"/>
      <c r="AA23" s="211"/>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11"/>
    </row>
    <row r="24" ht="15" customHeight="1">
      <c r="A24" s="19"/>
      <c r="B24" s="32"/>
      <c r="C24" s="21"/>
      <c r="D24" s="22"/>
      <c r="E24" s="22"/>
      <c r="F24" s="211"/>
      <c r="G24" s="211"/>
      <c r="H24" s="211"/>
      <c r="I24" s="211"/>
      <c r="J24" s="211"/>
      <c r="K24" s="22"/>
      <c r="L24" s="22"/>
      <c r="M24" s="22"/>
      <c r="N24" s="22"/>
      <c r="O24" s="22"/>
      <c r="P24" s="22"/>
      <c r="Q24" s="22"/>
      <c r="R24" s="22"/>
      <c r="S24" s="22"/>
      <c r="T24" s="22"/>
      <c r="U24" s="211"/>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11"/>
    </row>
    <row r="25" ht="15" customHeight="1">
      <c r="A25" s="19"/>
      <c r="B25" s="32"/>
      <c r="C25" s="21"/>
      <c r="D25" s="22"/>
      <c r="E25" s="22"/>
      <c r="F25" s="211"/>
      <c r="G25" s="211"/>
      <c r="H25" s="211"/>
      <c r="I25" s="211"/>
      <c r="J25" s="211"/>
      <c r="K25" s="22"/>
      <c r="L25" s="22"/>
      <c r="M25" s="22"/>
      <c r="N25" s="22"/>
      <c r="O25" s="22"/>
      <c r="P25" s="22"/>
      <c r="Q25" s="22"/>
      <c r="R25" s="22"/>
      <c r="S25" s="22"/>
      <c r="T25" s="22"/>
      <c r="U25" s="211"/>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11"/>
    </row>
    <row r="26" ht="15" customHeight="1">
      <c r="A26" s="19"/>
      <c r="B26" s="32"/>
      <c r="C26" s="21"/>
      <c r="D26" s="22"/>
      <c r="E26" s="22"/>
      <c r="F26" s="211"/>
      <c r="G26" s="211"/>
      <c r="H26" s="211"/>
      <c r="I26" s="211"/>
      <c r="J26" s="211"/>
      <c r="K26" s="22"/>
      <c r="L26" s="22"/>
      <c r="M26" s="22"/>
      <c r="N26" s="22"/>
      <c r="O26" s="22"/>
      <c r="P26" s="22"/>
      <c r="Q26" s="22"/>
      <c r="R26" s="22"/>
      <c r="S26" s="22"/>
      <c r="T26" s="22"/>
      <c r="U26" s="211"/>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11"/>
    </row>
    <row r="27" ht="15" customHeight="1">
      <c r="A27" s="19"/>
      <c r="B27" s="32"/>
      <c r="C27" s="21"/>
      <c r="D27" s="22"/>
      <c r="E27" s="22"/>
      <c r="F27" s="211"/>
      <c r="G27" s="211"/>
      <c r="H27" s="211"/>
      <c r="I27" s="211"/>
      <c r="J27" s="211"/>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11"/>
    </row>
    <row r="28" ht="15" customHeight="1">
      <c r="A28" s="19"/>
      <c r="B28" s="32"/>
      <c r="C28" s="21"/>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11"/>
    </row>
    <row r="29" ht="15" customHeight="1">
      <c r="A29" s="19"/>
      <c r="B29" s="32"/>
      <c r="C29" s="21"/>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11"/>
    </row>
    <row r="30" ht="15" customHeight="1">
      <c r="A30" s="19"/>
      <c r="B30" s="32"/>
      <c r="C30" s="21"/>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11"/>
    </row>
    <row r="31" ht="15" customHeight="1">
      <c r="A31" s="19"/>
      <c r="B31" s="32"/>
      <c r="C31" s="21"/>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11"/>
    </row>
    <row r="32" ht="15" customHeight="1">
      <c r="A32" s="19"/>
      <c r="B32" s="32"/>
      <c r="C32" s="21"/>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11"/>
    </row>
    <row r="33" ht="15" customHeight="1">
      <c r="A33" s="19"/>
      <c r="B33" s="32"/>
      <c r="C33" s="21"/>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row>
    <row r="34" ht="15" customHeight="1">
      <c r="A34" s="19"/>
      <c r="B34" s="32"/>
      <c r="C34" s="21"/>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row>
    <row r="35" ht="15" customHeight="1">
      <c r="A35" s="19"/>
      <c r="B35" s="37"/>
      <c r="C35" s="538"/>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row>
    <row r="36" ht="15" customHeight="1">
      <c r="A36" s="19"/>
      <c r="B36" s="37"/>
      <c r="C36" s="538"/>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row>
    <row r="37" ht="15" customHeight="1">
      <c r="A37" s="19"/>
      <c r="B37" s="37"/>
      <c r="C37" s="538"/>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row>
    <row r="38" ht="15" customHeight="1">
      <c r="A38" s="19"/>
      <c r="B38" s="37"/>
      <c r="C38" s="538"/>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row>
    <row r="39" ht="15" customHeight="1">
      <c r="A39" s="19"/>
      <c r="B39" s="37"/>
      <c r="C39" s="538"/>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row>
    <row r="40" ht="15" customHeight="1">
      <c r="A40" s="19"/>
      <c r="B40" s="37"/>
      <c r="C40" s="538"/>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row>
    <row r="41" ht="15" customHeight="1">
      <c r="A41" s="19"/>
      <c r="B41" s="37"/>
      <c r="C41" s="538"/>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row>
    <row r="42" ht="15" customHeight="1">
      <c r="A42" s="23"/>
      <c r="B42" s="40"/>
      <c r="C42" s="540"/>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row>
    <row r="43" ht="96" customHeight="1">
      <c r="A43" s="15">
        <v>4</v>
      </c>
      <c r="B43" t="s" s="16">
        <v>14</v>
      </c>
      <c r="C43" s="625">
        <v>1</v>
      </c>
      <c r="D43" t="s" s="18">
        <v>1095</v>
      </c>
      <c r="E43" s="166">
        <v>3</v>
      </c>
      <c r="F43" t="s" s="171">
        <v>1096</v>
      </c>
      <c r="G43" t="s" s="171">
        <v>1097</v>
      </c>
      <c r="H43" s="167">
        <v>3</v>
      </c>
      <c r="I43" t="s" s="171">
        <v>230</v>
      </c>
      <c r="J43" t="s" s="171">
        <v>1098</v>
      </c>
      <c r="K43" s="167">
        <v>526</v>
      </c>
      <c r="L43" s="168"/>
      <c r="M43" s="168"/>
      <c r="N43" s="167">
        <v>15257</v>
      </c>
      <c r="O43" t="s" s="18">
        <v>1099</v>
      </c>
      <c r="P43" s="622"/>
      <c r="Q43" t="s" s="171">
        <v>1100</v>
      </c>
      <c r="R43" s="166">
        <v>1</v>
      </c>
      <c r="S43" s="166">
        <v>2</v>
      </c>
      <c r="T43" s="166">
        <v>2</v>
      </c>
      <c r="U43" s="169"/>
      <c r="V43" s="166">
        <v>1</v>
      </c>
      <c r="W43" t="s" s="170">
        <v>1101</v>
      </c>
      <c r="X43" s="166">
        <v>2</v>
      </c>
      <c r="Y43" s="169"/>
      <c r="Z43" s="167">
        <v>1</v>
      </c>
      <c r="AA43" t="s" s="171">
        <v>1102</v>
      </c>
      <c r="AB43" t="s" s="171">
        <v>1103</v>
      </c>
      <c r="AC43" s="627">
        <v>0.318</v>
      </c>
      <c r="AD43" s="166">
        <v>2</v>
      </c>
      <c r="AE43" t="s" s="170">
        <v>1104</v>
      </c>
      <c r="AF43" t="s" s="170">
        <v>1105</v>
      </c>
      <c r="AG43" s="166">
        <v>2</v>
      </c>
      <c r="AH43" t="s" s="170">
        <v>1106</v>
      </c>
      <c r="AI43" s="237">
        <v>0.08</v>
      </c>
      <c r="AJ43" s="166">
        <v>1</v>
      </c>
      <c r="AK43" t="s" s="18">
        <v>1107</v>
      </c>
      <c r="AL43" t="s" s="18">
        <v>374</v>
      </c>
      <c r="AM43" t="s" s="18">
        <v>374</v>
      </c>
      <c r="AN43" s="166">
        <v>1</v>
      </c>
      <c r="AO43" s="559">
        <v>1</v>
      </c>
      <c r="AP43" s="166">
        <v>4</v>
      </c>
      <c r="AQ43" s="166">
        <v>4</v>
      </c>
      <c r="AR43" t="s" s="18">
        <v>1108</v>
      </c>
      <c r="AS43" s="166">
        <v>54</v>
      </c>
      <c r="AT43" s="166">
        <v>1973</v>
      </c>
      <c r="AU43" t="s" s="18">
        <v>374</v>
      </c>
      <c r="AV43" t="s" s="18">
        <v>374</v>
      </c>
      <c r="AW43" t="s" s="18">
        <v>374</v>
      </c>
      <c r="AX43" t="s" s="18">
        <v>374</v>
      </c>
      <c r="AY43" t="s" s="171">
        <v>1109</v>
      </c>
      <c r="AZ43" s="622"/>
      <c r="BA43" s="166">
        <v>1</v>
      </c>
      <c r="BB43" s="166">
        <v>1</v>
      </c>
      <c r="BC43" s="166">
        <v>1</v>
      </c>
      <c r="BD43" s="166">
        <v>1</v>
      </c>
      <c r="BE43" s="166">
        <v>1</v>
      </c>
      <c r="BF43" s="166">
        <v>1</v>
      </c>
      <c r="BG43" s="166">
        <v>2</v>
      </c>
      <c r="BH43" s="166">
        <v>1</v>
      </c>
      <c r="BI43" s="166">
        <v>2</v>
      </c>
      <c r="BJ43" s="166">
        <v>1</v>
      </c>
      <c r="BK43" s="166">
        <v>1</v>
      </c>
      <c r="BL43" s="166">
        <v>1</v>
      </c>
      <c r="BM43" t="s" s="18">
        <v>374</v>
      </c>
    </row>
    <row r="44" ht="264" customHeight="1">
      <c r="A44" s="19"/>
      <c r="B44" s="44"/>
      <c r="C44" s="21"/>
      <c r="D44" s="22"/>
      <c r="E44" s="22"/>
      <c r="F44" s="22"/>
      <c r="G44" s="22"/>
      <c r="H44" s="22"/>
      <c r="I44" s="22"/>
      <c r="J44" s="22"/>
      <c r="K44" s="22"/>
      <c r="L44" s="22"/>
      <c r="M44" s="22"/>
      <c r="N44" s="22"/>
      <c r="O44" s="22"/>
      <c r="P44" s="623"/>
      <c r="Q44" s="22"/>
      <c r="R44" s="22"/>
      <c r="S44" s="22"/>
      <c r="T44" s="22"/>
      <c r="U44" s="22"/>
      <c r="V44" s="22"/>
      <c r="W44" s="211"/>
      <c r="X44" s="22"/>
      <c r="Y44" s="22"/>
      <c r="Z44" s="22"/>
      <c r="AA44" s="22"/>
      <c r="AB44" s="22"/>
      <c r="AC44" s="22"/>
      <c r="AD44" s="22"/>
      <c r="AE44" s="211"/>
      <c r="AF44" s="211"/>
      <c r="AG44" s="22"/>
      <c r="AH44" s="211"/>
      <c r="AI44" s="211"/>
      <c r="AJ44" s="22"/>
      <c r="AK44" t="s" s="182">
        <v>1110</v>
      </c>
      <c r="AL44" s="22"/>
      <c r="AM44" s="22"/>
      <c r="AN44" s="22"/>
      <c r="AO44" s="22"/>
      <c r="AP44" s="22"/>
      <c r="AQ44" s="22"/>
      <c r="AR44" t="s" s="209">
        <v>1111</v>
      </c>
      <c r="AS44" s="208">
        <v>30</v>
      </c>
      <c r="AT44" s="208">
        <v>1959</v>
      </c>
      <c r="AU44" t="s" s="209">
        <v>374</v>
      </c>
      <c r="AV44" t="s" s="209">
        <v>374</v>
      </c>
      <c r="AW44" t="s" s="209">
        <v>374</v>
      </c>
      <c r="AX44" t="s" s="209">
        <v>374</v>
      </c>
      <c r="AY44" s="22"/>
      <c r="AZ44" s="22"/>
      <c r="BA44" s="22"/>
      <c r="BB44" s="22"/>
      <c r="BC44" s="22"/>
      <c r="BD44" s="22"/>
      <c r="BE44" s="22"/>
      <c r="BF44" s="22"/>
      <c r="BG44" s="22"/>
      <c r="BH44" s="22"/>
      <c r="BI44" s="22"/>
      <c r="BJ44" s="22"/>
      <c r="BK44" s="22"/>
      <c r="BL44" s="22"/>
      <c r="BM44" s="22"/>
    </row>
    <row r="45" ht="216" customHeight="1">
      <c r="A45" s="19"/>
      <c r="B45" s="44"/>
      <c r="C45" s="21"/>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11"/>
      <c r="AF45" s="22"/>
      <c r="AG45" s="22"/>
      <c r="AH45" s="22"/>
      <c r="AI45" s="22"/>
      <c r="AJ45" s="22"/>
      <c r="AK45" t="s" s="182">
        <v>1112</v>
      </c>
      <c r="AL45" s="22"/>
      <c r="AM45" s="22"/>
      <c r="AN45" s="22"/>
      <c r="AO45" s="22"/>
      <c r="AP45" s="22"/>
      <c r="AQ45" s="22"/>
      <c r="AR45" t="s" s="209">
        <v>1113</v>
      </c>
      <c r="AS45" s="183">
        <v>11</v>
      </c>
      <c r="AT45" s="208">
        <v>1992</v>
      </c>
      <c r="AU45" t="s" s="209">
        <v>374</v>
      </c>
      <c r="AV45" t="s" s="209">
        <v>374</v>
      </c>
      <c r="AW45" t="s" s="209">
        <v>374</v>
      </c>
      <c r="AX45" t="s" s="209">
        <v>374</v>
      </c>
      <c r="AY45" s="22"/>
      <c r="AZ45" s="22"/>
      <c r="BA45" s="22"/>
      <c r="BB45" s="22"/>
      <c r="BC45" s="22"/>
      <c r="BD45" s="22"/>
      <c r="BE45" s="22"/>
      <c r="BF45" s="22"/>
      <c r="BG45" s="22"/>
      <c r="BH45" s="22"/>
      <c r="BI45" s="22"/>
      <c r="BJ45" s="22"/>
      <c r="BK45" s="22"/>
      <c r="BL45" s="22"/>
      <c r="BM45" s="22"/>
    </row>
    <row r="46" ht="15" customHeight="1">
      <c r="A46" s="19"/>
      <c r="B46" s="44"/>
      <c r="C46" s="21"/>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11"/>
      <c r="AF46" s="22"/>
      <c r="AG46" s="22"/>
      <c r="AH46" s="22"/>
      <c r="AI46" s="22"/>
      <c r="AJ46" s="22"/>
      <c r="AK46" s="22"/>
      <c r="AL46" s="22"/>
      <c r="AM46" s="22"/>
      <c r="AN46" s="22"/>
      <c r="AO46" s="22"/>
      <c r="AP46" s="22"/>
      <c r="AQ46" s="22"/>
      <c r="AR46" t="s" s="209">
        <v>1114</v>
      </c>
      <c r="AS46" s="208">
        <v>5</v>
      </c>
      <c r="AT46" s="208">
        <v>1939</v>
      </c>
      <c r="AU46" t="s" s="209">
        <v>374</v>
      </c>
      <c r="AV46" t="s" s="209">
        <v>374</v>
      </c>
      <c r="AW46" t="s" s="209">
        <v>374</v>
      </c>
      <c r="AX46" t="s" s="209">
        <v>374</v>
      </c>
      <c r="AY46" s="22"/>
      <c r="AZ46" s="22"/>
      <c r="BA46" s="22"/>
      <c r="BB46" s="22"/>
      <c r="BC46" s="22"/>
      <c r="BD46" s="22"/>
      <c r="BE46" s="22"/>
      <c r="BF46" s="22"/>
      <c r="BG46" s="22"/>
      <c r="BH46" s="22"/>
      <c r="BI46" s="22"/>
      <c r="BJ46" s="22"/>
      <c r="BK46" s="22"/>
      <c r="BL46" s="22"/>
      <c r="BM46" s="22"/>
    </row>
    <row r="47" ht="15" customHeight="1">
      <c r="A47" s="23"/>
      <c r="B47" s="45"/>
      <c r="C47" s="2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52"/>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row>
    <row r="48" ht="48" customHeight="1">
      <c r="A48" s="27">
        <v>5</v>
      </c>
      <c r="B48" t="s" s="28">
        <v>16</v>
      </c>
      <c r="C48" s="620">
        <v>1</v>
      </c>
      <c r="D48" t="s" s="171">
        <v>1115</v>
      </c>
      <c r="E48" s="167">
        <v>1</v>
      </c>
      <c r="F48" t="s" s="171">
        <v>1116</v>
      </c>
      <c r="G48" t="s" s="171">
        <v>1117</v>
      </c>
      <c r="H48" s="167">
        <v>1</v>
      </c>
      <c r="I48" t="s" s="171">
        <v>229</v>
      </c>
      <c r="J48" t="s" s="171">
        <v>200</v>
      </c>
      <c r="K48" s="196">
        <v>40750</v>
      </c>
      <c r="L48" s="196">
        <v>526869</v>
      </c>
      <c r="M48" s="196">
        <v>1555</v>
      </c>
      <c r="N48" s="196">
        <v>2700</v>
      </c>
      <c r="O48" t="s" s="18">
        <v>334</v>
      </c>
      <c r="P48" t="s" s="171">
        <v>335</v>
      </c>
      <c r="Q48" t="s" s="170">
        <v>1118</v>
      </c>
      <c r="R48" s="167">
        <v>1</v>
      </c>
      <c r="S48" s="167">
        <v>2</v>
      </c>
      <c r="T48" s="167">
        <v>1</v>
      </c>
      <c r="U48" t="s" s="171">
        <v>1119</v>
      </c>
      <c r="V48" s="167">
        <v>1</v>
      </c>
      <c r="W48" t="s" s="171">
        <v>1120</v>
      </c>
      <c r="X48" s="167">
        <v>2</v>
      </c>
      <c r="Y48" s="168"/>
      <c r="Z48" s="167">
        <v>2</v>
      </c>
      <c r="AA48" s="168"/>
      <c r="AB48" t="s" s="171">
        <v>1121</v>
      </c>
      <c r="AC48" s="167">
        <v>48</v>
      </c>
      <c r="AD48" s="167">
        <v>1</v>
      </c>
      <c r="AE48" s="168"/>
      <c r="AF48" s="168"/>
      <c r="AG48" s="167">
        <v>1</v>
      </c>
      <c r="AH48" s="168"/>
      <c r="AI48" s="167">
        <v>0</v>
      </c>
      <c r="AJ48" s="167">
        <v>1</v>
      </c>
      <c r="AK48" t="s" s="171">
        <v>1122</v>
      </c>
      <c r="AL48" t="s" s="171">
        <v>1123</v>
      </c>
      <c r="AM48" t="s" s="171">
        <v>1124</v>
      </c>
      <c r="AN48" s="167">
        <v>1</v>
      </c>
      <c r="AO48" s="167">
        <v>42</v>
      </c>
      <c r="AP48" s="167">
        <v>1</v>
      </c>
      <c r="AQ48" s="167">
        <v>1</v>
      </c>
      <c r="AR48" t="s" s="171">
        <v>1125</v>
      </c>
      <c r="AS48" s="238">
        <v>0.6</v>
      </c>
      <c r="AT48" t="s" s="171">
        <v>1043</v>
      </c>
      <c r="AU48" t="s" s="171">
        <v>197</v>
      </c>
      <c r="AV48" t="s" s="171">
        <v>1126</v>
      </c>
      <c r="AW48" t="s" s="171">
        <v>1127</v>
      </c>
      <c r="AX48" t="s" s="171">
        <v>1128</v>
      </c>
      <c r="AY48" t="s" s="628">
        <v>1129</v>
      </c>
      <c r="AZ48" t="s" s="18">
        <v>335</v>
      </c>
      <c r="BA48" s="167">
        <v>1</v>
      </c>
      <c r="BB48" s="167">
        <v>1</v>
      </c>
      <c r="BC48" s="167">
        <v>1</v>
      </c>
      <c r="BD48" s="167">
        <v>1</v>
      </c>
      <c r="BE48" s="167">
        <v>1</v>
      </c>
      <c r="BF48" s="167">
        <v>1</v>
      </c>
      <c r="BG48" s="167">
        <v>1</v>
      </c>
      <c r="BH48" s="167">
        <v>1</v>
      </c>
      <c r="BI48" s="167">
        <v>2</v>
      </c>
      <c r="BJ48" s="167">
        <v>1</v>
      </c>
      <c r="BK48" s="167">
        <v>1</v>
      </c>
      <c r="BL48" s="167">
        <v>1</v>
      </c>
      <c r="BM48" t="s" s="170">
        <v>1130</v>
      </c>
    </row>
    <row r="49" ht="24" customHeight="1">
      <c r="A49" s="31"/>
      <c r="B49" s="46"/>
      <c r="C49" s="47"/>
      <c r="D49" s="48"/>
      <c r="E49" s="48"/>
      <c r="F49" s="48"/>
      <c r="G49" s="48"/>
      <c r="H49" s="48"/>
      <c r="I49" s="48"/>
      <c r="J49" s="48"/>
      <c r="K49" s="48"/>
      <c r="L49" s="48"/>
      <c r="M49" s="48"/>
      <c r="N49" s="48"/>
      <c r="O49" s="48"/>
      <c r="P49" s="48"/>
      <c r="Q49" s="211"/>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t="s" s="629">
        <v>1131</v>
      </c>
      <c r="AS49" s="630">
        <v>0.2</v>
      </c>
      <c r="AT49" t="s" s="629">
        <v>1132</v>
      </c>
      <c r="AU49" t="s" s="262">
        <v>197</v>
      </c>
      <c r="AV49" s="48"/>
      <c r="AW49" t="s" s="629">
        <v>1133</v>
      </c>
      <c r="AX49" t="s" s="262">
        <v>1134</v>
      </c>
      <c r="AY49" s="48"/>
      <c r="AZ49" s="48"/>
      <c r="BA49" s="48"/>
      <c r="BB49" s="48"/>
      <c r="BC49" s="48"/>
      <c r="BD49" s="48"/>
      <c r="BE49" s="48"/>
      <c r="BF49" s="48"/>
      <c r="BG49" s="48"/>
      <c r="BH49" s="48"/>
      <c r="BI49" s="48"/>
      <c r="BJ49" s="48"/>
      <c r="BK49" s="48"/>
      <c r="BL49" s="48"/>
      <c r="BM49" s="211"/>
    </row>
    <row r="50" ht="24" customHeight="1">
      <c r="A50" s="31"/>
      <c r="B50" s="46"/>
      <c r="C50" s="47"/>
      <c r="D50" s="48"/>
      <c r="E50" s="48"/>
      <c r="F50" s="48"/>
      <c r="G50" s="48"/>
      <c r="H50" s="48"/>
      <c r="I50" s="48"/>
      <c r="J50" s="48"/>
      <c r="K50" s="48"/>
      <c r="L50" s="48"/>
      <c r="M50" s="48"/>
      <c r="N50" s="48"/>
      <c r="O50" s="48"/>
      <c r="P50" s="48"/>
      <c r="Q50" s="211"/>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t="s" s="629">
        <v>1135</v>
      </c>
      <c r="AS50" s="630">
        <v>0.19</v>
      </c>
      <c r="AT50" t="s" s="629">
        <v>1136</v>
      </c>
      <c r="AU50" t="s" s="262">
        <v>197</v>
      </c>
      <c r="AV50" s="48"/>
      <c r="AW50" t="s" s="629">
        <v>1137</v>
      </c>
      <c r="AX50" t="s" s="629">
        <v>1138</v>
      </c>
      <c r="AY50" s="48"/>
      <c r="AZ50" s="48"/>
      <c r="BA50" s="48"/>
      <c r="BB50" s="48"/>
      <c r="BC50" s="48"/>
      <c r="BD50" s="48"/>
      <c r="BE50" s="48"/>
      <c r="BF50" s="48"/>
      <c r="BG50" s="48"/>
      <c r="BH50" s="48"/>
      <c r="BI50" s="48"/>
      <c r="BJ50" s="48"/>
      <c r="BK50" s="48"/>
      <c r="BL50" s="48"/>
      <c r="BM50" s="211"/>
    </row>
    <row r="51" ht="24.75" customHeight="1">
      <c r="A51" s="31"/>
      <c r="B51" s="46"/>
      <c r="C51" s="47"/>
      <c r="D51" s="48"/>
      <c r="E51" s="48"/>
      <c r="F51" s="48"/>
      <c r="G51" s="48"/>
      <c r="H51" s="48"/>
      <c r="I51" s="48"/>
      <c r="J51" s="48"/>
      <c r="K51" s="48"/>
      <c r="L51" s="48"/>
      <c r="M51" s="48"/>
      <c r="N51" s="48"/>
      <c r="O51" s="48"/>
      <c r="P51" s="48"/>
      <c r="Q51" s="211"/>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t="s" s="514">
        <v>1139</v>
      </c>
      <c r="AS51" s="631">
        <v>0.01</v>
      </c>
      <c r="AT51" t="s" s="514">
        <v>1140</v>
      </c>
      <c r="AU51" t="s" s="632">
        <v>197</v>
      </c>
      <c r="AV51" s="225"/>
      <c r="AW51" t="s" s="632">
        <v>1141</v>
      </c>
      <c r="AX51" t="s" s="514">
        <v>1142</v>
      </c>
      <c r="AY51" s="48"/>
      <c r="AZ51" s="48"/>
      <c r="BA51" s="48"/>
      <c r="BB51" s="48"/>
      <c r="BC51" s="48"/>
      <c r="BD51" s="48"/>
      <c r="BE51" s="48"/>
      <c r="BF51" s="48"/>
      <c r="BG51" s="48"/>
      <c r="BH51" s="48"/>
      <c r="BI51" s="48"/>
      <c r="BJ51" s="48"/>
      <c r="BK51" s="48"/>
      <c r="BL51" s="48"/>
      <c r="BM51" s="211"/>
    </row>
    <row r="52" ht="15" customHeight="1">
      <c r="A52" s="31"/>
      <c r="B52" s="46"/>
      <c r="C52" s="47"/>
      <c r="D52" s="48"/>
      <c r="E52" s="48"/>
      <c r="F52" s="48"/>
      <c r="G52" s="48"/>
      <c r="H52" s="48"/>
      <c r="I52" s="48"/>
      <c r="J52" s="48"/>
      <c r="K52" s="48"/>
      <c r="L52" s="48"/>
      <c r="M52" s="48"/>
      <c r="N52" s="48"/>
      <c r="O52" s="48"/>
      <c r="P52" s="48"/>
      <c r="Q52" s="211"/>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633"/>
      <c r="AS52" s="630"/>
      <c r="AT52" s="633"/>
      <c r="AU52" s="48"/>
      <c r="AV52" s="48"/>
      <c r="AW52" s="633"/>
      <c r="AX52" s="633"/>
      <c r="AY52" s="48"/>
      <c r="AZ52" s="48"/>
      <c r="BA52" s="48"/>
      <c r="BB52" s="48"/>
      <c r="BC52" s="48"/>
      <c r="BD52" s="48"/>
      <c r="BE52" s="48"/>
      <c r="BF52" s="48"/>
      <c r="BG52" s="48"/>
      <c r="BH52" s="48"/>
      <c r="BI52" s="48"/>
      <c r="BJ52" s="48"/>
      <c r="BK52" s="48"/>
      <c r="BL52" s="48"/>
      <c r="BM52" s="211"/>
    </row>
    <row r="53" ht="15" customHeight="1">
      <c r="A53" s="31"/>
      <c r="B53" s="46"/>
      <c r="C53" s="47"/>
      <c r="D53" s="48"/>
      <c r="E53" s="48"/>
      <c r="F53" s="48"/>
      <c r="G53" s="48"/>
      <c r="H53" s="48"/>
      <c r="I53" s="48"/>
      <c r="J53" s="48"/>
      <c r="K53" s="48"/>
      <c r="L53" s="48"/>
      <c r="M53" s="48"/>
      <c r="N53" s="48"/>
      <c r="O53" s="48"/>
      <c r="P53" s="48"/>
      <c r="Q53" s="211"/>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633"/>
      <c r="AS53" s="630"/>
      <c r="AT53" s="633"/>
      <c r="AU53" s="48"/>
      <c r="AV53" s="48"/>
      <c r="AW53" s="633"/>
      <c r="AX53" s="633"/>
      <c r="AY53" s="48"/>
      <c r="AZ53" s="48"/>
      <c r="BA53" s="48"/>
      <c r="BB53" s="48"/>
      <c r="BC53" s="48"/>
      <c r="BD53" s="48"/>
      <c r="BE53" s="48"/>
      <c r="BF53" s="48"/>
      <c r="BG53" s="48"/>
      <c r="BH53" s="48"/>
      <c r="BI53" s="48"/>
      <c r="BJ53" s="48"/>
      <c r="BK53" s="48"/>
      <c r="BL53" s="48"/>
      <c r="BM53" s="211"/>
    </row>
    <row r="54" ht="15" customHeight="1">
      <c r="A54" s="31"/>
      <c r="B54" s="46"/>
      <c r="C54" s="47"/>
      <c r="D54" s="48"/>
      <c r="E54" s="48"/>
      <c r="F54" s="48"/>
      <c r="G54" s="48"/>
      <c r="H54" s="48"/>
      <c r="I54" s="48"/>
      <c r="J54" s="48"/>
      <c r="K54" s="48"/>
      <c r="L54" s="48"/>
      <c r="M54" s="48"/>
      <c r="N54" s="48"/>
      <c r="O54" s="48"/>
      <c r="P54" s="48"/>
      <c r="Q54" s="211"/>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633"/>
      <c r="AS54" s="630"/>
      <c r="AT54" s="633"/>
      <c r="AU54" s="48"/>
      <c r="AV54" s="48"/>
      <c r="AW54" s="633"/>
      <c r="AX54" s="633"/>
      <c r="AY54" s="48"/>
      <c r="AZ54" s="48"/>
      <c r="BA54" s="48"/>
      <c r="BB54" s="48"/>
      <c r="BC54" s="48"/>
      <c r="BD54" s="48"/>
      <c r="BE54" s="48"/>
      <c r="BF54" s="48"/>
      <c r="BG54" s="48"/>
      <c r="BH54" s="48"/>
      <c r="BI54" s="48"/>
      <c r="BJ54" s="48"/>
      <c r="BK54" s="48"/>
      <c r="BL54" s="48"/>
      <c r="BM54" s="211"/>
    </row>
    <row r="55" ht="15" customHeight="1">
      <c r="A55" s="35"/>
      <c r="B55" s="49"/>
      <c r="C55" s="50"/>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row>
    <row r="56" ht="75" customHeight="1">
      <c r="A56" s="52">
        <v>6</v>
      </c>
      <c r="B56" t="s" s="53">
        <v>19</v>
      </c>
      <c r="C56" s="634">
        <v>1</v>
      </c>
      <c r="D56" t="s" s="82">
        <v>1143</v>
      </c>
      <c r="E56" t="s" s="82">
        <v>1144</v>
      </c>
      <c r="F56" t="s" s="82">
        <v>1145</v>
      </c>
      <c r="G56" t="s" s="293">
        <v>1146</v>
      </c>
      <c r="H56" s="285">
        <v>1</v>
      </c>
      <c r="I56" t="s" s="82">
        <v>230</v>
      </c>
      <c r="J56" t="s" s="82">
        <v>259</v>
      </c>
      <c r="K56" s="554">
        <v>81041</v>
      </c>
      <c r="L56" s="554">
        <v>720000</v>
      </c>
      <c r="M56" s="123"/>
      <c r="N56" t="s" s="82">
        <v>197</v>
      </c>
      <c r="O56" t="s" s="82">
        <v>1147</v>
      </c>
      <c r="P56" s="123"/>
      <c r="Q56" t="s" s="296">
        <v>1148</v>
      </c>
      <c r="R56" s="285">
        <v>1</v>
      </c>
      <c r="S56" s="285">
        <v>2</v>
      </c>
      <c r="T56" s="285">
        <v>1</v>
      </c>
      <c r="U56" t="s" s="283">
        <v>1149</v>
      </c>
      <c r="V56" s="285">
        <v>1</v>
      </c>
      <c r="W56" t="s" s="82">
        <v>1150</v>
      </c>
      <c r="X56" s="285">
        <v>1</v>
      </c>
      <c r="Y56" t="s" s="283">
        <v>1151</v>
      </c>
      <c r="Z56" s="285">
        <v>1</v>
      </c>
      <c r="AA56" t="s" s="296">
        <v>1152</v>
      </c>
      <c r="AB56" t="s" s="82">
        <v>1153</v>
      </c>
      <c r="AC56" s="337">
        <v>0.49</v>
      </c>
      <c r="AD56" s="285">
        <v>2</v>
      </c>
      <c r="AE56" t="s" s="283">
        <v>1154</v>
      </c>
      <c r="AF56" t="s" s="82">
        <v>1155</v>
      </c>
      <c r="AG56" s="285">
        <v>2</v>
      </c>
      <c r="AH56" t="s" s="635">
        <v>1156</v>
      </c>
      <c r="AI56" s="337">
        <v>0.2</v>
      </c>
      <c r="AJ56" s="285">
        <v>2</v>
      </c>
      <c r="AK56" t="s" s="283">
        <v>1157</v>
      </c>
      <c r="AL56" t="s" s="283">
        <v>1158</v>
      </c>
      <c r="AM56" t="s" s="283">
        <v>1159</v>
      </c>
      <c r="AN56" s="285">
        <v>1</v>
      </c>
      <c r="AO56" s="285">
        <v>88.5</v>
      </c>
      <c r="AP56" s="285">
        <v>2</v>
      </c>
      <c r="AQ56" s="285">
        <v>2</v>
      </c>
      <c r="AR56" t="s" s="112">
        <v>1160</v>
      </c>
      <c r="AS56" s="123"/>
      <c r="AT56" s="285">
        <v>2011</v>
      </c>
      <c r="AU56" t="s" s="82">
        <v>1161</v>
      </c>
      <c r="AV56" t="s" s="112">
        <v>1162</v>
      </c>
      <c r="AW56" s="123"/>
      <c r="AX56" s="123"/>
      <c r="AY56" t="s" s="82">
        <v>1147</v>
      </c>
      <c r="AZ56" s="123"/>
      <c r="BA56" s="285">
        <v>1</v>
      </c>
      <c r="BB56" s="285">
        <v>1</v>
      </c>
      <c r="BC56" s="285">
        <v>1</v>
      </c>
      <c r="BD56" t="s" s="82">
        <v>306</v>
      </c>
      <c r="BE56" s="285">
        <v>1</v>
      </c>
      <c r="BF56" s="285">
        <v>1</v>
      </c>
      <c r="BG56" s="285">
        <v>1</v>
      </c>
      <c r="BH56" s="285">
        <v>1</v>
      </c>
      <c r="BI56" s="285">
        <v>1</v>
      </c>
      <c r="BJ56" s="285">
        <v>1</v>
      </c>
      <c r="BK56" s="285">
        <v>1</v>
      </c>
      <c r="BL56" s="285">
        <v>1</v>
      </c>
      <c r="BM56" t="s" s="82">
        <v>1163</v>
      </c>
    </row>
    <row r="57" ht="15" customHeight="1">
      <c r="A57" s="56"/>
      <c r="B57" s="57"/>
      <c r="C57" s="58"/>
      <c r="D57" s="59"/>
      <c r="E57" s="59"/>
      <c r="F57" s="59"/>
      <c r="G57" s="304"/>
      <c r="H57" s="59"/>
      <c r="I57" s="59"/>
      <c r="J57" s="59"/>
      <c r="K57" s="59"/>
      <c r="L57" s="59"/>
      <c r="M57" s="59"/>
      <c r="N57" s="59"/>
      <c r="O57" s="59"/>
      <c r="P57" s="59"/>
      <c r="Q57" s="305"/>
      <c r="R57" s="59"/>
      <c r="S57" s="59"/>
      <c r="T57" s="59"/>
      <c r="U57" s="59"/>
      <c r="V57" s="59"/>
      <c r="W57" s="59"/>
      <c r="X57" s="59"/>
      <c r="Y57" s="636"/>
      <c r="Z57" s="59"/>
      <c r="AA57" s="305"/>
      <c r="AB57" s="59"/>
      <c r="AC57" s="59"/>
      <c r="AD57" s="59"/>
      <c r="AE57" s="59"/>
      <c r="AF57" s="59"/>
      <c r="AG57" s="59"/>
      <c r="AH57" s="465"/>
      <c r="AI57" s="59"/>
      <c r="AJ57" s="59"/>
      <c r="AK57" t="s" s="637">
        <v>1164</v>
      </c>
      <c r="AL57" s="59"/>
      <c r="AM57" s="59"/>
      <c r="AN57" s="59"/>
      <c r="AO57" s="59"/>
      <c r="AP57" s="59"/>
      <c r="AQ57" s="59"/>
      <c r="AR57" t="s" s="247">
        <v>1165</v>
      </c>
      <c r="AS57" s="59"/>
      <c r="AT57" s="59"/>
      <c r="AU57" s="59"/>
      <c r="AV57" t="s" s="303">
        <v>1162</v>
      </c>
      <c r="AW57" s="59"/>
      <c r="AX57" s="59"/>
      <c r="AY57" s="59"/>
      <c r="AZ57" s="59"/>
      <c r="BA57" s="59"/>
      <c r="BB57" t="s" s="303">
        <v>1166</v>
      </c>
      <c r="BC57" s="59"/>
      <c r="BD57" s="59"/>
      <c r="BE57" s="59"/>
      <c r="BF57" s="59"/>
      <c r="BG57" s="59"/>
      <c r="BH57" s="59"/>
      <c r="BI57" s="59"/>
      <c r="BJ57" s="59"/>
      <c r="BK57" s="59"/>
      <c r="BL57" s="59"/>
      <c r="BM57" s="59"/>
    </row>
    <row r="58" ht="15" customHeight="1">
      <c r="A58" s="56"/>
      <c r="B58" s="57"/>
      <c r="C58" s="58"/>
      <c r="D58" s="59"/>
      <c r="E58" s="59"/>
      <c r="F58" s="59"/>
      <c r="G58" s="304"/>
      <c r="H58" s="59"/>
      <c r="I58" s="59"/>
      <c r="J58" s="59"/>
      <c r="K58" s="59"/>
      <c r="L58" s="59"/>
      <c r="M58" s="59"/>
      <c r="N58" s="59"/>
      <c r="O58" s="59"/>
      <c r="P58" s="59"/>
      <c r="Q58" s="305"/>
      <c r="R58" s="59"/>
      <c r="S58" s="59"/>
      <c r="T58" s="59"/>
      <c r="U58" s="59"/>
      <c r="V58" s="59"/>
      <c r="W58" s="59"/>
      <c r="X58" s="59"/>
      <c r="Y58" s="636"/>
      <c r="Z58" s="59"/>
      <c r="AA58" s="305"/>
      <c r="AB58" s="59"/>
      <c r="AC58" s="59"/>
      <c r="AD58" s="59"/>
      <c r="AE58" s="59"/>
      <c r="AF58" s="59"/>
      <c r="AG58" s="59"/>
      <c r="AH58" s="465"/>
      <c r="AI58" s="59"/>
      <c r="AJ58" s="59"/>
      <c r="AK58" s="302"/>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row>
    <row r="59" ht="28.5" customHeight="1">
      <c r="A59" s="60"/>
      <c r="B59" s="57"/>
      <c r="C59" s="58"/>
      <c r="D59" s="59"/>
      <c r="E59" s="59"/>
      <c r="F59" s="59"/>
      <c r="G59" s="304"/>
      <c r="H59" s="59"/>
      <c r="I59" s="59"/>
      <c r="J59" s="59"/>
      <c r="K59" s="59"/>
      <c r="L59" s="59"/>
      <c r="M59" s="59"/>
      <c r="N59" s="59"/>
      <c r="O59" s="59"/>
      <c r="P59" s="59"/>
      <c r="Q59" s="305"/>
      <c r="R59" s="59"/>
      <c r="S59" s="59"/>
      <c r="T59" s="59"/>
      <c r="U59" s="59"/>
      <c r="V59" s="59"/>
      <c r="W59" s="59"/>
      <c r="X59" s="59"/>
      <c r="Y59" s="636"/>
      <c r="Z59" s="59"/>
      <c r="AA59" s="636"/>
      <c r="AB59" s="59"/>
      <c r="AC59" s="59"/>
      <c r="AD59" s="59"/>
      <c r="AE59" s="59"/>
      <c r="AF59" s="59"/>
      <c r="AG59" s="59"/>
      <c r="AH59" s="59"/>
      <c r="AI59" s="59"/>
      <c r="AJ59" s="59"/>
      <c r="AK59" s="302"/>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row>
    <row r="60" ht="28.5" customHeight="1">
      <c r="A60" s="60"/>
      <c r="B60" s="57"/>
      <c r="C60" s="58"/>
      <c r="D60" s="59"/>
      <c r="E60" s="59"/>
      <c r="F60" s="59"/>
      <c r="G60" s="638"/>
      <c r="H60" s="59"/>
      <c r="I60" s="59"/>
      <c r="J60" s="59"/>
      <c r="K60" s="59"/>
      <c r="L60" s="59"/>
      <c r="M60" s="59"/>
      <c r="N60" s="59"/>
      <c r="O60" s="59"/>
      <c r="P60" s="59"/>
      <c r="Q60" s="305"/>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row>
    <row r="61" ht="28.5" customHeight="1">
      <c r="A61" s="60"/>
      <c r="B61" s="57"/>
      <c r="C61" s="58"/>
      <c r="D61" s="59"/>
      <c r="E61" s="59"/>
      <c r="F61" s="59"/>
      <c r="G61" s="638"/>
      <c r="H61" s="59"/>
      <c r="I61" s="59"/>
      <c r="J61" s="59"/>
      <c r="K61" s="59"/>
      <c r="L61" s="59"/>
      <c r="M61" s="59"/>
      <c r="N61" s="59"/>
      <c r="O61" s="59"/>
      <c r="P61" s="59"/>
      <c r="Q61" s="305"/>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row>
    <row r="62" ht="28.5" customHeight="1">
      <c r="A62" s="60"/>
      <c r="B62" s="57"/>
      <c r="C62" s="58"/>
      <c r="D62" s="59"/>
      <c r="E62" s="59"/>
      <c r="F62" s="59"/>
      <c r="G62" s="638"/>
      <c r="H62" s="59"/>
      <c r="I62" s="59"/>
      <c r="J62" s="59"/>
      <c r="K62" s="59"/>
      <c r="L62" s="59"/>
      <c r="M62" s="59"/>
      <c r="N62" s="59"/>
      <c r="O62" s="59"/>
      <c r="P62" s="59"/>
      <c r="Q62" s="305"/>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row>
    <row r="63" ht="28.5" customHeight="1">
      <c r="A63" s="60"/>
      <c r="B63" s="57"/>
      <c r="C63" s="58"/>
      <c r="D63" s="59"/>
      <c r="E63" s="59"/>
      <c r="F63" s="59"/>
      <c r="G63" s="638"/>
      <c r="H63" s="59"/>
      <c r="I63" s="59"/>
      <c r="J63" s="59"/>
      <c r="K63" s="59"/>
      <c r="L63" s="59"/>
      <c r="M63" s="59"/>
      <c r="N63" s="59"/>
      <c r="O63" s="59"/>
      <c r="P63" s="59"/>
      <c r="Q63" s="636"/>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row>
    <row r="64" ht="28.5" customHeight="1">
      <c r="A64" s="60"/>
      <c r="B64" s="57"/>
      <c r="C64" s="58"/>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row>
    <row r="65" ht="28.5" customHeight="1">
      <c r="A65" s="60"/>
      <c r="B65" s="57"/>
      <c r="C65" s="58"/>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row>
    <row r="66" ht="28.5" customHeight="1">
      <c r="A66" s="60"/>
      <c r="B66" s="57"/>
      <c r="C66" s="58"/>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row>
    <row r="67" ht="28.5" customHeight="1">
      <c r="A67" s="60"/>
      <c r="B67" s="57"/>
      <c r="C67" s="58"/>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row>
    <row r="68" ht="28.5" customHeight="1">
      <c r="A68" s="60"/>
      <c r="B68" s="57"/>
      <c r="C68" s="58"/>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row>
    <row r="69" ht="28.5" customHeight="1">
      <c r="A69" s="61"/>
      <c r="B69" s="62"/>
      <c r="C69" s="63"/>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row>
    <row r="70" ht="132" customHeight="1">
      <c r="A70" s="15">
        <v>7</v>
      </c>
      <c r="B70" t="s" s="65">
        <v>21</v>
      </c>
      <c r="C70" s="625">
        <v>1</v>
      </c>
      <c r="D70" t="s" s="171">
        <v>1167</v>
      </c>
      <c r="E70" s="166">
        <v>1</v>
      </c>
      <c r="F70" t="s" s="18">
        <v>1168</v>
      </c>
      <c r="G70" t="s" s="18">
        <v>1169</v>
      </c>
      <c r="H70" s="166">
        <v>1</v>
      </c>
      <c r="I70" t="s" s="18">
        <v>200</v>
      </c>
      <c r="J70" t="s" s="18">
        <v>259</v>
      </c>
      <c r="K70" s="196">
        <v>63398</v>
      </c>
      <c r="L70" s="165">
        <v>345701</v>
      </c>
      <c r="M70" s="166">
        <v>0</v>
      </c>
      <c r="N70" s="196">
        <v>9500</v>
      </c>
      <c r="O70" s="169"/>
      <c r="P70" t="s" s="18">
        <v>1170</v>
      </c>
      <c r="Q70" t="s" s="170">
        <v>1171</v>
      </c>
      <c r="R70" s="313">
        <v>1</v>
      </c>
      <c r="S70" s="166">
        <v>2</v>
      </c>
      <c r="T70" s="166">
        <v>1</v>
      </c>
      <c r="U70" t="s" s="170">
        <v>1172</v>
      </c>
      <c r="V70" s="166">
        <v>1</v>
      </c>
      <c r="W70" t="s" s="171">
        <v>1173</v>
      </c>
      <c r="X70" s="166">
        <v>1</v>
      </c>
      <c r="Y70" t="s" s="170">
        <v>1173</v>
      </c>
      <c r="Z70" s="166">
        <v>2</v>
      </c>
      <c r="AA70" s="169"/>
      <c r="AB70" t="s" s="18">
        <v>1174</v>
      </c>
      <c r="AC70" s="166">
        <v>40</v>
      </c>
      <c r="AD70" s="166">
        <v>1</v>
      </c>
      <c r="AE70" s="169"/>
      <c r="AF70" s="169"/>
      <c r="AG70" s="166">
        <v>1</v>
      </c>
      <c r="AH70" s="169"/>
      <c r="AI70" s="169"/>
      <c r="AJ70" s="166">
        <v>2</v>
      </c>
      <c r="AK70" t="s" s="171">
        <v>1175</v>
      </c>
      <c r="AL70" t="s" s="171">
        <v>1176</v>
      </c>
      <c r="AM70" t="s" s="171">
        <v>1177</v>
      </c>
      <c r="AN70" s="166">
        <v>1</v>
      </c>
      <c r="AO70" s="166">
        <v>100</v>
      </c>
      <c r="AP70" s="166">
        <v>4</v>
      </c>
      <c r="AQ70" s="166">
        <v>4</v>
      </c>
      <c r="AR70" t="s" s="18">
        <v>1178</v>
      </c>
      <c r="AS70" s="167">
        <v>45</v>
      </c>
      <c r="AT70" s="166">
        <v>1982</v>
      </c>
      <c r="AU70" t="s" s="18">
        <v>374</v>
      </c>
      <c r="AV70" t="s" s="171">
        <v>1179</v>
      </c>
      <c r="AW70" s="165">
        <v>916258000</v>
      </c>
      <c r="AX70" t="s" s="18">
        <v>374</v>
      </c>
      <c r="AY70" t="s" s="173">
        <v>1180</v>
      </c>
      <c r="AZ70" s="639"/>
      <c r="BA70" s="166">
        <v>1</v>
      </c>
      <c r="BB70" s="166">
        <v>1</v>
      </c>
      <c r="BC70" s="166">
        <v>1</v>
      </c>
      <c r="BD70" s="166">
        <v>2</v>
      </c>
      <c r="BE70" s="166">
        <v>1</v>
      </c>
      <c r="BF70" s="166">
        <v>1</v>
      </c>
      <c r="BG70" s="166">
        <v>1</v>
      </c>
      <c r="BH70" s="166">
        <v>1</v>
      </c>
      <c r="BI70" s="166">
        <v>1</v>
      </c>
      <c r="BJ70" s="166">
        <v>2</v>
      </c>
      <c r="BK70" s="166">
        <v>1</v>
      </c>
      <c r="BL70" s="166">
        <v>1</v>
      </c>
      <c r="BM70" t="s" s="170">
        <v>1181</v>
      </c>
    </row>
    <row r="71" ht="156" customHeight="1">
      <c r="A71" s="19"/>
      <c r="B71" s="67"/>
      <c r="C71" s="21"/>
      <c r="D71" s="22"/>
      <c r="E71" s="22"/>
      <c r="F71" s="22"/>
      <c r="G71" s="22"/>
      <c r="H71" s="22"/>
      <c r="I71" s="22"/>
      <c r="J71" s="22"/>
      <c r="K71" s="22"/>
      <c r="L71" s="22"/>
      <c r="M71" s="22"/>
      <c r="N71" s="22"/>
      <c r="O71" s="22"/>
      <c r="P71" s="623"/>
      <c r="Q71" s="211"/>
      <c r="R71" s="316"/>
      <c r="S71" s="22"/>
      <c r="T71" s="22"/>
      <c r="U71" s="211"/>
      <c r="V71" s="22"/>
      <c r="W71" s="22"/>
      <c r="X71" s="22"/>
      <c r="Y71" s="211"/>
      <c r="Z71" s="22"/>
      <c r="AA71" s="22"/>
      <c r="AB71" s="22"/>
      <c r="AC71" s="22"/>
      <c r="AD71" s="22"/>
      <c r="AE71" s="22"/>
      <c r="AF71" s="22"/>
      <c r="AG71" s="22"/>
      <c r="AH71" s="22"/>
      <c r="AI71" s="22"/>
      <c r="AJ71" s="22"/>
      <c r="AK71" t="s" s="182">
        <v>1182</v>
      </c>
      <c r="AL71" s="22"/>
      <c r="AM71" s="22"/>
      <c r="AN71" s="22"/>
      <c r="AO71" s="22"/>
      <c r="AP71" s="22"/>
      <c r="AQ71" s="22"/>
      <c r="AR71" t="s" s="209">
        <v>1183</v>
      </c>
      <c r="AS71" s="208">
        <v>2.5</v>
      </c>
      <c r="AT71" s="208">
        <v>1879</v>
      </c>
      <c r="AU71" t="s" s="209">
        <v>374</v>
      </c>
      <c r="AV71" t="s" s="182">
        <v>1184</v>
      </c>
      <c r="AW71" s="179">
        <v>32448000</v>
      </c>
      <c r="AX71" t="s" s="209">
        <v>374</v>
      </c>
      <c r="AY71" s="22"/>
      <c r="AZ71" s="22"/>
      <c r="BA71" s="22"/>
      <c r="BB71" s="22"/>
      <c r="BC71" s="22"/>
      <c r="BD71" s="22"/>
      <c r="BE71" s="22"/>
      <c r="BF71" s="22"/>
      <c r="BG71" s="22"/>
      <c r="BH71" s="22"/>
      <c r="BI71" s="22"/>
      <c r="BJ71" s="22"/>
      <c r="BK71" s="22"/>
      <c r="BL71" s="22"/>
      <c r="BM71" s="211"/>
    </row>
    <row r="72" ht="36" customHeight="1">
      <c r="A72" s="19"/>
      <c r="B72" s="67"/>
      <c r="C72" s="21"/>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t="s" s="209">
        <v>1185</v>
      </c>
      <c r="AS72" s="183">
        <v>31.5</v>
      </c>
      <c r="AT72" t="s" s="209">
        <v>1186</v>
      </c>
      <c r="AU72" t="s" s="209">
        <v>374</v>
      </c>
      <c r="AV72" t="s" s="182">
        <v>1187</v>
      </c>
      <c r="AW72" s="179">
        <v>29938000</v>
      </c>
      <c r="AX72" t="s" s="209">
        <v>374</v>
      </c>
      <c r="AY72" s="22"/>
      <c r="AZ72" s="22"/>
      <c r="BA72" s="22"/>
      <c r="BB72" s="22"/>
      <c r="BC72" s="22"/>
      <c r="BD72" s="22"/>
      <c r="BE72" s="22"/>
      <c r="BF72" s="22"/>
      <c r="BG72" s="22"/>
      <c r="BH72" s="22"/>
      <c r="BI72" s="22"/>
      <c r="BJ72" s="22"/>
      <c r="BK72" s="22"/>
      <c r="BL72" s="22"/>
      <c r="BM72" s="211"/>
    </row>
    <row r="73" ht="15" customHeight="1">
      <c r="A73" s="19"/>
      <c r="B73" s="67"/>
      <c r="C73" s="21"/>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t="s" s="209">
        <v>1188</v>
      </c>
      <c r="AS73" s="208">
        <v>21</v>
      </c>
      <c r="AT73" s="208">
        <v>2015</v>
      </c>
      <c r="AU73" t="s" s="209">
        <v>374</v>
      </c>
      <c r="AV73" t="s" s="243">
        <v>1189</v>
      </c>
      <c r="AW73" t="s" s="209">
        <v>197</v>
      </c>
      <c r="AX73" t="s" s="209">
        <v>374</v>
      </c>
      <c r="AY73" s="22"/>
      <c r="AZ73" s="22"/>
      <c r="BA73" s="22"/>
      <c r="BB73" s="22"/>
      <c r="BC73" s="22"/>
      <c r="BD73" s="22"/>
      <c r="BE73" s="22"/>
      <c r="BF73" s="22"/>
      <c r="BG73" s="22"/>
      <c r="BH73" s="22"/>
      <c r="BI73" s="22"/>
      <c r="BJ73" s="22"/>
      <c r="BK73" s="22"/>
      <c r="BL73" s="22"/>
      <c r="BM73" s="22"/>
    </row>
    <row r="74" ht="15" customHeight="1">
      <c r="A74" s="19"/>
      <c r="B74" s="67"/>
      <c r="C74" s="21"/>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11"/>
      <c r="AW74" s="22"/>
      <c r="AX74" s="22"/>
      <c r="AY74" s="22"/>
      <c r="AZ74" s="22"/>
      <c r="BA74" s="22"/>
      <c r="BB74" s="22"/>
      <c r="BC74" s="22"/>
      <c r="BD74" s="22"/>
      <c r="BE74" s="22"/>
      <c r="BF74" s="22"/>
      <c r="BG74" s="22"/>
      <c r="BH74" s="22"/>
      <c r="BI74" s="22"/>
      <c r="BJ74" s="22"/>
      <c r="BK74" s="22"/>
      <c r="BL74" s="22"/>
      <c r="BM74" s="22"/>
    </row>
    <row r="75" ht="15" customHeight="1">
      <c r="A75" s="19"/>
      <c r="B75" s="67"/>
      <c r="C75" s="21"/>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11"/>
      <c r="AW75" s="22"/>
      <c r="AX75" s="22"/>
      <c r="AY75" s="22"/>
      <c r="AZ75" s="22"/>
      <c r="BA75" s="22"/>
      <c r="BB75" s="22"/>
      <c r="BC75" s="22"/>
      <c r="BD75" s="22"/>
      <c r="BE75" s="22"/>
      <c r="BF75" s="22"/>
      <c r="BG75" s="22"/>
      <c r="BH75" s="22"/>
      <c r="BI75" s="22"/>
      <c r="BJ75" s="22"/>
      <c r="BK75" s="22"/>
      <c r="BL75" s="22"/>
      <c r="BM75" s="22"/>
    </row>
    <row r="76" ht="15" customHeight="1">
      <c r="A76" s="19"/>
      <c r="B76" s="67"/>
      <c r="C76" s="21"/>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row>
    <row r="77" ht="15" customHeight="1">
      <c r="A77" s="19"/>
      <c r="B77" s="67"/>
      <c r="C77" s="21"/>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row>
    <row r="78" ht="15" customHeight="1">
      <c r="A78" s="19"/>
      <c r="B78" s="67"/>
      <c r="C78" s="21"/>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row>
    <row r="79" ht="15" customHeight="1">
      <c r="A79" s="19"/>
      <c r="B79" s="67"/>
      <c r="C79" s="21"/>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row>
    <row r="80" ht="15" customHeight="1">
      <c r="A80" s="23"/>
      <c r="B80" s="68"/>
      <c r="C80" s="25"/>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row>
    <row r="81" ht="150" customHeight="1">
      <c r="A81" s="71">
        <v>8</v>
      </c>
      <c r="B81" t="s" s="72">
        <v>22</v>
      </c>
      <c r="C81" s="640">
        <v>1</v>
      </c>
      <c r="D81" t="s" s="320">
        <v>1190</v>
      </c>
      <c r="E81" t="s" s="320">
        <v>1191</v>
      </c>
      <c r="F81" t="s" s="320">
        <v>1192</v>
      </c>
      <c r="G81" t="s" s="641">
        <v>1193</v>
      </c>
      <c r="H81" t="s" s="320">
        <v>1194</v>
      </c>
      <c r="I81" t="s" s="320">
        <v>1195</v>
      </c>
      <c r="J81" t="s" s="320">
        <v>1196</v>
      </c>
      <c r="K81" s="325"/>
      <c r="L81" s="325"/>
      <c r="M81" t="s" s="75">
        <v>1197</v>
      </c>
      <c r="N81" s="321">
        <v>3000</v>
      </c>
      <c r="O81" t="s" s="75">
        <v>1198</v>
      </c>
      <c r="P81" t="s" s="75">
        <v>1199</v>
      </c>
      <c r="Q81" t="s" s="292">
        <v>1200</v>
      </c>
      <c r="R81" s="321">
        <v>2</v>
      </c>
      <c r="S81" s="321">
        <v>1</v>
      </c>
      <c r="T81" s="321">
        <v>1</v>
      </c>
      <c r="U81" t="s" s="292">
        <v>1201</v>
      </c>
      <c r="V81" s="321">
        <v>1</v>
      </c>
      <c r="W81" t="s" s="75">
        <v>1202</v>
      </c>
      <c r="X81" s="321">
        <v>2</v>
      </c>
      <c r="Y81" t="s" s="292">
        <v>1203</v>
      </c>
      <c r="Z81" s="321">
        <v>2</v>
      </c>
      <c r="AA81" s="325"/>
      <c r="AB81" t="s" s="320">
        <v>1204</v>
      </c>
      <c r="AC81" s="563">
        <v>0.375</v>
      </c>
      <c r="AD81" s="321">
        <v>2</v>
      </c>
      <c r="AE81" t="s" s="292">
        <v>1205</v>
      </c>
      <c r="AF81" t="s" s="320">
        <v>1206</v>
      </c>
      <c r="AG81" s="321">
        <v>1</v>
      </c>
      <c r="AH81" s="325"/>
      <c r="AI81" s="325"/>
      <c r="AJ81" s="321">
        <v>2</v>
      </c>
      <c r="AK81" t="s" s="75">
        <v>1207</v>
      </c>
      <c r="AL81" t="s" s="75">
        <v>1208</v>
      </c>
      <c r="AM81" t="s" s="75">
        <v>1209</v>
      </c>
      <c r="AN81" s="321">
        <v>1</v>
      </c>
      <c r="AO81" s="322">
        <v>1</v>
      </c>
      <c r="AP81" s="321">
        <v>9</v>
      </c>
      <c r="AQ81" s="321">
        <v>9</v>
      </c>
      <c r="AR81" t="s" s="320">
        <v>1210</v>
      </c>
      <c r="AS81" t="s" s="320">
        <v>186</v>
      </c>
      <c r="AT81" t="s" s="320">
        <v>1211</v>
      </c>
      <c r="AU81" s="325"/>
      <c r="AV81" s="325"/>
      <c r="AW81" s="325"/>
      <c r="AX81" t="s" s="320">
        <v>1212</v>
      </c>
      <c r="AY81" t="s" s="320">
        <v>1213</v>
      </c>
      <c r="AZ81" t="s" s="75">
        <v>1214</v>
      </c>
      <c r="BA81" s="321">
        <v>1</v>
      </c>
      <c r="BB81" s="321">
        <v>1</v>
      </c>
      <c r="BC81" s="321">
        <v>1</v>
      </c>
      <c r="BD81" s="321">
        <v>1</v>
      </c>
      <c r="BE81" s="321">
        <v>1</v>
      </c>
      <c r="BF81" s="321">
        <v>1</v>
      </c>
      <c r="BG81" s="321">
        <v>1</v>
      </c>
      <c r="BH81" t="s" s="75">
        <v>1215</v>
      </c>
      <c r="BI81" s="321">
        <v>1</v>
      </c>
      <c r="BJ81" s="321">
        <v>1</v>
      </c>
      <c r="BK81" s="321">
        <v>1</v>
      </c>
      <c r="BL81" s="321">
        <v>1</v>
      </c>
      <c r="BM81" t="s" s="292">
        <v>1216</v>
      </c>
    </row>
    <row r="82" ht="15" customHeight="1">
      <c r="A82" s="76"/>
      <c r="B82" s="77"/>
      <c r="C82" s="78"/>
      <c r="D82" s="79"/>
      <c r="E82" s="79"/>
      <c r="F82" s="79"/>
      <c r="G82" s="300"/>
      <c r="H82" s="79"/>
      <c r="I82" s="79"/>
      <c r="J82" s="79"/>
      <c r="K82" s="79"/>
      <c r="L82" s="79"/>
      <c r="M82" s="79"/>
      <c r="N82" s="79"/>
      <c r="O82" s="79"/>
      <c r="P82" s="79"/>
      <c r="Q82" s="302"/>
      <c r="R82" s="79"/>
      <c r="S82" s="79"/>
      <c r="T82" s="79"/>
      <c r="U82" s="302"/>
      <c r="V82" s="79"/>
      <c r="W82" s="79"/>
      <c r="X82" s="79"/>
      <c r="Y82" s="302"/>
      <c r="Z82" s="79"/>
      <c r="AA82" s="79"/>
      <c r="AB82" s="79"/>
      <c r="AC82" s="79"/>
      <c r="AD82" s="79"/>
      <c r="AE82" s="302"/>
      <c r="AF82" s="79"/>
      <c r="AG82" s="79"/>
      <c r="AH82" s="79"/>
      <c r="AI82" s="79"/>
      <c r="AJ82" s="79"/>
      <c r="AK82" s="79"/>
      <c r="AL82" s="79"/>
      <c r="AM82" s="79"/>
      <c r="AN82" s="79"/>
      <c r="AO82" s="79"/>
      <c r="AP82" s="79"/>
      <c r="AQ82" s="79"/>
      <c r="AR82" t="s" s="329">
        <v>1217</v>
      </c>
      <c r="AS82" t="s" s="329">
        <v>186</v>
      </c>
      <c r="AT82" t="s" s="329">
        <v>1218</v>
      </c>
      <c r="AU82" s="79"/>
      <c r="AV82" s="79"/>
      <c r="AW82" s="79"/>
      <c r="AX82" t="s" s="303">
        <v>1219</v>
      </c>
      <c r="AY82" s="79"/>
      <c r="AZ82" s="79"/>
      <c r="BA82" s="79"/>
      <c r="BB82" s="79"/>
      <c r="BC82" s="79"/>
      <c r="BD82" s="79"/>
      <c r="BE82" s="79"/>
      <c r="BF82" s="79"/>
      <c r="BG82" s="79"/>
      <c r="BH82" s="79"/>
      <c r="BI82" s="79"/>
      <c r="BJ82" s="79"/>
      <c r="BK82" s="79"/>
      <c r="BL82" s="79"/>
      <c r="BM82" s="302"/>
    </row>
    <row r="83" ht="28.5" customHeight="1">
      <c r="A83" s="80"/>
      <c r="B83" s="77"/>
      <c r="C83" s="78"/>
      <c r="D83" s="79"/>
      <c r="E83" s="79"/>
      <c r="F83" s="79"/>
      <c r="G83" s="300"/>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t="s" s="329">
        <v>1220</v>
      </c>
      <c r="AS83" t="s" s="329">
        <v>186</v>
      </c>
      <c r="AT83" s="335">
        <v>2005</v>
      </c>
      <c r="AU83" s="79"/>
      <c r="AV83" s="79"/>
      <c r="AW83" s="79"/>
      <c r="AX83" t="s" s="303">
        <v>1221</v>
      </c>
      <c r="AY83" s="79"/>
      <c r="AZ83" s="79"/>
      <c r="BA83" s="79"/>
      <c r="BB83" s="79"/>
      <c r="BC83" s="79"/>
      <c r="BD83" s="79"/>
      <c r="BE83" s="79"/>
      <c r="BF83" s="79"/>
      <c r="BG83" s="79"/>
      <c r="BH83" s="79"/>
      <c r="BI83" s="79"/>
      <c r="BJ83" s="79"/>
      <c r="BK83" s="79"/>
      <c r="BL83" s="79"/>
      <c r="BM83" s="79"/>
    </row>
    <row r="84" ht="28.5" customHeight="1">
      <c r="A84" s="81"/>
      <c r="B84" s="57"/>
      <c r="C84" s="78"/>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t="s" s="329">
        <v>1222</v>
      </c>
      <c r="AS84" t="s" s="329">
        <v>186</v>
      </c>
      <c r="AT84" s="335">
        <v>2005</v>
      </c>
      <c r="AU84" s="79"/>
      <c r="AV84" s="79"/>
      <c r="AW84" s="79"/>
      <c r="AX84" t="s" s="329">
        <v>1223</v>
      </c>
      <c r="AY84" s="79"/>
      <c r="AZ84" s="79"/>
      <c r="BA84" s="79"/>
      <c r="BB84" s="79"/>
      <c r="BC84" s="79"/>
      <c r="BD84" s="79"/>
      <c r="BE84" s="79"/>
      <c r="BF84" s="79"/>
      <c r="BG84" s="79"/>
      <c r="BH84" s="79"/>
      <c r="BI84" s="79"/>
      <c r="BJ84" s="79"/>
      <c r="BK84" s="79"/>
      <c r="BL84" s="79"/>
      <c r="BM84" s="79"/>
    </row>
    <row r="85" ht="28.5" customHeight="1">
      <c r="A85" s="19"/>
      <c r="B85" s="57"/>
      <c r="C85" s="58"/>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t="s" s="303">
        <v>1224</v>
      </c>
      <c r="AS85" t="s" s="303">
        <v>186</v>
      </c>
      <c r="AT85" s="299">
        <v>2012</v>
      </c>
      <c r="AU85" s="59"/>
      <c r="AV85" s="59"/>
      <c r="AW85" s="59"/>
      <c r="AX85" t="s" s="303">
        <v>1225</v>
      </c>
      <c r="AY85" s="59"/>
      <c r="AZ85" s="59"/>
      <c r="BA85" s="59"/>
      <c r="BB85" s="59"/>
      <c r="BC85" s="59"/>
      <c r="BD85" s="59"/>
      <c r="BE85" s="59"/>
      <c r="BF85" s="59"/>
      <c r="BG85" s="59"/>
      <c r="BH85" s="59"/>
      <c r="BI85" s="59"/>
      <c r="BJ85" s="59"/>
      <c r="BK85" s="59"/>
      <c r="BL85" s="59"/>
      <c r="BM85" s="59"/>
    </row>
    <row r="86" ht="28.5" customHeight="1">
      <c r="A86" s="19"/>
      <c r="B86" s="57"/>
      <c r="C86" s="58"/>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t="s" s="303">
        <v>1226</v>
      </c>
      <c r="AS86" t="s" s="303">
        <v>186</v>
      </c>
      <c r="AT86" s="299">
        <v>1910</v>
      </c>
      <c r="AU86" s="59"/>
      <c r="AV86" s="59"/>
      <c r="AW86" s="59"/>
      <c r="AX86" s="59"/>
      <c r="AY86" s="59"/>
      <c r="AZ86" s="59"/>
      <c r="BA86" s="59"/>
      <c r="BB86" s="59"/>
      <c r="BC86" s="59"/>
      <c r="BD86" s="59"/>
      <c r="BE86" s="59"/>
      <c r="BF86" s="59"/>
      <c r="BG86" s="59"/>
      <c r="BH86" s="59"/>
      <c r="BI86" s="59"/>
      <c r="BJ86" s="59"/>
      <c r="BK86" s="59"/>
      <c r="BL86" s="59"/>
      <c r="BM86" s="59"/>
    </row>
    <row r="87" ht="28.5" customHeight="1">
      <c r="A87" s="19"/>
      <c r="B87" s="57"/>
      <c r="C87" s="58"/>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row>
    <row r="88" ht="28.5" customHeight="1">
      <c r="A88" s="19"/>
      <c r="B88" s="57"/>
      <c r="C88" s="58"/>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row>
    <row r="89" ht="28.5" customHeight="1">
      <c r="A89" s="23"/>
      <c r="B89" s="62"/>
      <c r="C89" s="63"/>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row>
    <row r="90" ht="75" customHeight="1">
      <c r="A90" s="52">
        <v>9</v>
      </c>
      <c r="B90" t="s" s="53">
        <v>24</v>
      </c>
      <c r="C90" s="634">
        <v>1</v>
      </c>
      <c r="D90" t="s" s="584">
        <v>1227</v>
      </c>
      <c r="E90" s="285">
        <v>4</v>
      </c>
      <c r="F90" t="s" s="82">
        <v>1228</v>
      </c>
      <c r="G90" t="s" s="293">
        <v>1229</v>
      </c>
      <c r="H90" s="285">
        <v>1</v>
      </c>
      <c r="I90" t="s" s="82">
        <v>1230</v>
      </c>
      <c r="J90" t="s" s="82">
        <v>200</v>
      </c>
      <c r="K90" s="123"/>
      <c r="L90" s="123"/>
      <c r="M90" t="s" s="82">
        <v>1231</v>
      </c>
      <c r="N90" s="287">
        <v>1246</v>
      </c>
      <c r="O90" t="s" s="112">
        <v>1232</v>
      </c>
      <c r="P90" t="s" s="112">
        <v>1233</v>
      </c>
      <c r="Q90" t="s" s="283">
        <v>1234</v>
      </c>
      <c r="R90" s="285">
        <v>1</v>
      </c>
      <c r="S90" s="285">
        <v>2</v>
      </c>
      <c r="T90" s="285">
        <v>2</v>
      </c>
      <c r="U90" s="123"/>
      <c r="V90" s="285">
        <v>1</v>
      </c>
      <c r="W90" t="s" s="484">
        <v>1235</v>
      </c>
      <c r="X90" s="285">
        <v>1</v>
      </c>
      <c r="Y90" t="s" s="484">
        <v>1236</v>
      </c>
      <c r="Z90" s="285">
        <v>2</v>
      </c>
      <c r="AA90" s="123"/>
      <c r="AB90" t="s" s="82">
        <v>1237</v>
      </c>
      <c r="AC90" s="285">
        <v>33</v>
      </c>
      <c r="AD90" s="285">
        <v>1</v>
      </c>
      <c r="AE90" s="123"/>
      <c r="AF90" s="123"/>
      <c r="AG90" s="285">
        <v>1</v>
      </c>
      <c r="AH90" s="123"/>
      <c r="AI90" s="123"/>
      <c r="AJ90" s="285">
        <v>2</v>
      </c>
      <c r="AK90" t="s" s="82">
        <v>1238</v>
      </c>
      <c r="AL90" t="s" s="82">
        <v>197</v>
      </c>
      <c r="AM90" t="s" s="82">
        <v>197</v>
      </c>
      <c r="AN90" s="285">
        <v>1</v>
      </c>
      <c r="AO90" s="285">
        <v>100</v>
      </c>
      <c r="AP90" s="285">
        <v>2</v>
      </c>
      <c r="AQ90" s="285">
        <v>2</v>
      </c>
      <c r="AR90" t="s" s="82">
        <v>1239</v>
      </c>
      <c r="AS90" s="285">
        <v>6</v>
      </c>
      <c r="AT90" t="s" s="82">
        <v>1240</v>
      </c>
      <c r="AU90" t="s" s="82">
        <v>197</v>
      </c>
      <c r="AV90" t="s" s="641">
        <v>1241</v>
      </c>
      <c r="AW90" t="s" s="82">
        <v>1242</v>
      </c>
      <c r="AX90" t="s" s="82">
        <v>1243</v>
      </c>
      <c r="AY90" s="123"/>
      <c r="AZ90" t="s" s="83">
        <v>1244</v>
      </c>
      <c r="BA90" s="285">
        <v>1</v>
      </c>
      <c r="BB90" s="285">
        <v>1</v>
      </c>
      <c r="BC90" s="285">
        <v>1</v>
      </c>
      <c r="BD90" s="284">
        <v>1</v>
      </c>
      <c r="BE90" s="285">
        <v>1</v>
      </c>
      <c r="BF90" s="285">
        <v>1</v>
      </c>
      <c r="BG90" s="285">
        <v>1</v>
      </c>
      <c r="BH90" s="285">
        <v>1</v>
      </c>
      <c r="BI90" s="285">
        <v>2</v>
      </c>
      <c r="BJ90" s="285">
        <v>1</v>
      </c>
      <c r="BK90" s="285">
        <v>1</v>
      </c>
      <c r="BL90" s="285">
        <v>1</v>
      </c>
      <c r="BM90" t="s" s="82">
        <v>1245</v>
      </c>
    </row>
    <row r="91" ht="45" customHeight="1">
      <c r="A91" s="56"/>
      <c r="B91" s="57"/>
      <c r="C91" s="642"/>
      <c r="D91" s="59"/>
      <c r="E91" s="59"/>
      <c r="F91" s="59"/>
      <c r="G91" s="304"/>
      <c r="H91" s="59"/>
      <c r="I91" s="59"/>
      <c r="J91" s="59"/>
      <c r="K91" s="59"/>
      <c r="L91" s="59"/>
      <c r="M91" s="59"/>
      <c r="N91" s="300"/>
      <c r="O91" s="59"/>
      <c r="P91" s="59"/>
      <c r="Q91" s="59"/>
      <c r="R91" s="59"/>
      <c r="S91" s="59"/>
      <c r="T91" s="59"/>
      <c r="U91" s="59"/>
      <c r="V91" s="59"/>
      <c r="W91" s="491"/>
      <c r="X91" s="59"/>
      <c r="Y91" s="491"/>
      <c r="Z91" s="59"/>
      <c r="AA91" s="59"/>
      <c r="AB91" s="59"/>
      <c r="AC91" s="59"/>
      <c r="AD91" s="59"/>
      <c r="AE91" s="59"/>
      <c r="AF91" s="59"/>
      <c r="AG91" s="59"/>
      <c r="AH91" s="59"/>
      <c r="AI91" s="59"/>
      <c r="AJ91" s="59"/>
      <c r="AK91" s="59"/>
      <c r="AL91" s="59"/>
      <c r="AM91" s="59"/>
      <c r="AN91" s="59"/>
      <c r="AO91" s="59"/>
      <c r="AP91" s="59"/>
      <c r="AQ91" s="59"/>
      <c r="AR91" t="s" s="303">
        <v>1246</v>
      </c>
      <c r="AS91" s="299">
        <v>54</v>
      </c>
      <c r="AT91" t="s" s="303">
        <v>1247</v>
      </c>
      <c r="AU91" t="s" s="303">
        <v>197</v>
      </c>
      <c r="AV91" t="s" s="512">
        <v>1248</v>
      </c>
      <c r="AW91" t="s" s="303">
        <v>1249</v>
      </c>
      <c r="AX91" t="s" s="303">
        <v>1250</v>
      </c>
      <c r="AY91" s="59"/>
      <c r="AZ91" s="59"/>
      <c r="BA91" s="59"/>
      <c r="BB91" s="59"/>
      <c r="BC91" s="59"/>
      <c r="BD91" s="59"/>
      <c r="BE91" s="59"/>
      <c r="BF91" s="59"/>
      <c r="BG91" s="59"/>
      <c r="BH91" s="59"/>
      <c r="BI91" s="59"/>
      <c r="BJ91" s="59"/>
      <c r="BK91" s="59"/>
      <c r="BL91" s="59"/>
      <c r="BM91" s="59"/>
    </row>
    <row r="92" ht="15" customHeight="1">
      <c r="A92" s="56"/>
      <c r="B92" s="57"/>
      <c r="C92" s="58"/>
      <c r="D92" s="59"/>
      <c r="E92" s="59"/>
      <c r="F92" s="59"/>
      <c r="G92" s="636"/>
      <c r="H92" s="59"/>
      <c r="I92" s="59"/>
      <c r="J92" s="59"/>
      <c r="K92" s="59"/>
      <c r="L92" s="59"/>
      <c r="M92" s="59"/>
      <c r="N92" s="300"/>
      <c r="O92" s="59"/>
      <c r="P92" s="59"/>
      <c r="Q92" s="59"/>
      <c r="R92" s="59"/>
      <c r="S92" s="59"/>
      <c r="T92" s="59"/>
      <c r="U92" s="59"/>
      <c r="V92" s="59"/>
      <c r="W92" s="491"/>
      <c r="X92" s="59"/>
      <c r="Y92" s="491"/>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row>
    <row r="93" ht="28.5" customHeight="1">
      <c r="A93" s="60"/>
      <c r="B93" s="57"/>
      <c r="C93" s="58"/>
      <c r="D93" s="59"/>
      <c r="E93" s="59"/>
      <c r="F93" s="59"/>
      <c r="G93" s="59"/>
      <c r="H93" s="59"/>
      <c r="I93" s="59"/>
      <c r="J93" s="59"/>
      <c r="K93" s="59"/>
      <c r="L93" s="59"/>
      <c r="M93" s="59"/>
      <c r="N93" s="59"/>
      <c r="O93" s="59"/>
      <c r="P93" s="59"/>
      <c r="Q93" s="59"/>
      <c r="R93" s="59"/>
      <c r="S93" s="59"/>
      <c r="T93" s="59"/>
      <c r="U93" s="59"/>
      <c r="V93" s="59"/>
      <c r="W93" s="643"/>
      <c r="X93" s="59"/>
      <c r="Y93" s="643"/>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row>
    <row r="94" ht="28.5" customHeight="1">
      <c r="A94" s="60"/>
      <c r="B94" s="57"/>
      <c r="C94" s="58"/>
      <c r="D94" s="59"/>
      <c r="E94" s="59"/>
      <c r="F94" s="59"/>
      <c r="G94" s="59"/>
      <c r="H94" s="59"/>
      <c r="I94" s="59"/>
      <c r="J94" s="59"/>
      <c r="K94" s="59"/>
      <c r="L94" s="59"/>
      <c r="M94" s="59"/>
      <c r="N94" s="59"/>
      <c r="O94" s="59"/>
      <c r="P94" s="59"/>
      <c r="Q94" s="59"/>
      <c r="R94" s="59"/>
      <c r="S94" s="59"/>
      <c r="T94" s="59"/>
      <c r="U94" s="59"/>
      <c r="V94" s="59"/>
      <c r="W94" s="59"/>
      <c r="X94" s="59"/>
      <c r="Y94" s="643"/>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row>
    <row r="95" ht="28.5" customHeight="1">
      <c r="A95" s="60"/>
      <c r="B95" s="57"/>
      <c r="C95" s="58"/>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row>
    <row r="96" ht="28.5" customHeight="1">
      <c r="A96" s="60"/>
      <c r="B96" s="57"/>
      <c r="C96" s="58"/>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row>
    <row r="97" ht="28.5" customHeight="1">
      <c r="A97" s="60"/>
      <c r="B97" s="57"/>
      <c r="C97" s="58"/>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row>
    <row r="98" ht="28.5" customHeight="1">
      <c r="A98" s="60"/>
      <c r="B98" s="57"/>
      <c r="C98" s="58"/>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row>
    <row r="99" ht="28.5" customHeight="1">
      <c r="A99" s="60"/>
      <c r="B99" s="57"/>
      <c r="C99" s="58"/>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row>
    <row r="100" ht="28.5" customHeight="1">
      <c r="A100" s="60"/>
      <c r="B100" s="57"/>
      <c r="C100" s="58"/>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row>
    <row r="101" ht="28.5" customHeight="1">
      <c r="A101" s="61"/>
      <c r="B101" s="62"/>
      <c r="C101" s="63"/>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row>
    <row r="102" ht="36.75" customHeight="1">
      <c r="A102" s="84">
        <v>10</v>
      </c>
      <c r="B102" t="s" s="85">
        <v>28</v>
      </c>
      <c r="C102" t="s" s="86">
        <v>1251</v>
      </c>
      <c r="D102" t="s" s="377">
        <v>1252</v>
      </c>
      <c r="E102" s="375">
        <v>3</v>
      </c>
      <c r="F102" t="s" s="481">
        <v>1253</v>
      </c>
      <c r="G102" t="s" s="377">
        <v>1254</v>
      </c>
      <c r="H102" s="375">
        <v>1</v>
      </c>
      <c r="I102" t="s" s="377">
        <v>230</v>
      </c>
      <c r="J102" t="s" s="385">
        <v>1255</v>
      </c>
      <c r="K102" t="s" s="377">
        <v>1256</v>
      </c>
      <c r="L102" t="s" s="377">
        <v>1257</v>
      </c>
      <c r="M102" t="s" s="377">
        <v>1258</v>
      </c>
      <c r="N102" t="s" s="481">
        <v>1259</v>
      </c>
      <c r="O102" t="s" s="377">
        <v>1260</v>
      </c>
      <c r="P102" t="s" s="383">
        <v>1261</v>
      </c>
      <c r="Q102" t="s" s="170">
        <v>1262</v>
      </c>
      <c r="R102" s="375">
        <v>2</v>
      </c>
      <c r="S102" s="375">
        <v>2</v>
      </c>
      <c r="T102" s="375">
        <v>2</v>
      </c>
      <c r="U102" s="384"/>
      <c r="V102" s="375">
        <v>2</v>
      </c>
      <c r="W102" s="384"/>
      <c r="X102" s="375">
        <v>2</v>
      </c>
      <c r="Y102" s="384"/>
      <c r="Z102" s="375">
        <v>1</v>
      </c>
      <c r="AA102" t="s" s="385">
        <v>1263</v>
      </c>
      <c r="AB102" t="s" s="377">
        <v>1264</v>
      </c>
      <c r="AC102" s="379">
        <v>0.2322</v>
      </c>
      <c r="AD102" s="375">
        <v>1</v>
      </c>
      <c r="AE102" s="384"/>
      <c r="AF102" s="384"/>
      <c r="AG102" s="375">
        <v>1</v>
      </c>
      <c r="AH102" s="384"/>
      <c r="AI102" s="384"/>
      <c r="AJ102" s="375">
        <v>2</v>
      </c>
      <c r="AK102" t="s" s="481">
        <v>1265</v>
      </c>
      <c r="AL102" t="s" s="377">
        <v>1266</v>
      </c>
      <c r="AM102" t="s" s="377">
        <v>1267</v>
      </c>
      <c r="AN102" s="375">
        <v>1</v>
      </c>
      <c r="AO102" t="s" s="377">
        <v>1268</v>
      </c>
      <c r="AP102" s="375">
        <v>4</v>
      </c>
      <c r="AQ102" s="375">
        <v>4</v>
      </c>
      <c r="AR102" t="s" s="377">
        <v>1269</v>
      </c>
      <c r="AS102" s="380">
        <v>0.02</v>
      </c>
      <c r="AT102" t="s" s="377">
        <v>1270</v>
      </c>
      <c r="AU102" t="s" s="377">
        <v>374</v>
      </c>
      <c r="AV102" t="s" s="377">
        <v>374</v>
      </c>
      <c r="AW102" t="s" s="377">
        <v>374</v>
      </c>
      <c r="AX102" t="s" s="377">
        <v>374</v>
      </c>
      <c r="AY102" t="s" s="377">
        <v>1271</v>
      </c>
      <c r="AZ102" t="s" s="377">
        <v>1272</v>
      </c>
      <c r="BA102" s="375">
        <v>1</v>
      </c>
      <c r="BB102" s="375">
        <v>1</v>
      </c>
      <c r="BC102" s="375">
        <v>1</v>
      </c>
      <c r="BD102" s="375">
        <v>2</v>
      </c>
      <c r="BE102" s="375">
        <v>1</v>
      </c>
      <c r="BF102" s="375">
        <v>1</v>
      </c>
      <c r="BG102" s="375">
        <v>1</v>
      </c>
      <c r="BH102" t="s" s="377">
        <v>1273</v>
      </c>
      <c r="BI102" t="s" s="377">
        <v>1274</v>
      </c>
      <c r="BJ102" s="375">
        <v>1</v>
      </c>
      <c r="BK102" s="375">
        <v>1</v>
      </c>
      <c r="BL102" s="375">
        <v>1</v>
      </c>
      <c r="BM102" t="s" s="481">
        <v>1275</v>
      </c>
    </row>
    <row r="103" ht="15" customHeight="1">
      <c r="A103" s="88"/>
      <c r="B103" s="89"/>
      <c r="C103" s="90"/>
      <c r="D103" s="91"/>
      <c r="E103" s="91"/>
      <c r="F103" t="s" s="389">
        <v>1276</v>
      </c>
      <c r="G103" s="91"/>
      <c r="H103" s="91"/>
      <c r="I103" s="91"/>
      <c r="J103" s="394"/>
      <c r="K103" s="91"/>
      <c r="L103" s="91"/>
      <c r="M103" s="91"/>
      <c r="N103" s="91"/>
      <c r="O103" t="s" s="389">
        <v>1277</v>
      </c>
      <c r="P103" s="91"/>
      <c r="Q103" s="211"/>
      <c r="R103" s="91"/>
      <c r="S103" s="91"/>
      <c r="T103" s="91"/>
      <c r="U103" s="91"/>
      <c r="V103" s="91"/>
      <c r="W103" s="91"/>
      <c r="X103" s="91"/>
      <c r="Y103" s="91"/>
      <c r="Z103" s="91"/>
      <c r="AA103" s="394"/>
      <c r="AB103" t="s" s="389">
        <v>1278</v>
      </c>
      <c r="AC103" s="91"/>
      <c r="AD103" s="91"/>
      <c r="AE103" s="91"/>
      <c r="AF103" s="91"/>
      <c r="AG103" s="91"/>
      <c r="AH103" s="91"/>
      <c r="AI103" s="91"/>
      <c r="AJ103" s="91"/>
      <c r="AK103" t="s" s="389">
        <v>1279</v>
      </c>
      <c r="AL103" s="91"/>
      <c r="AM103" s="91"/>
      <c r="AN103" s="91"/>
      <c r="AO103" s="91"/>
      <c r="AP103" s="91"/>
      <c r="AQ103" s="91"/>
      <c r="AR103" t="s" s="389">
        <v>1280</v>
      </c>
      <c r="AS103" s="393">
        <v>0.004</v>
      </c>
      <c r="AT103" t="s" s="389">
        <v>1281</v>
      </c>
      <c r="AU103" t="s" s="389">
        <v>374</v>
      </c>
      <c r="AV103" t="s" s="389">
        <v>1282</v>
      </c>
      <c r="AW103" t="s" s="389">
        <v>374</v>
      </c>
      <c r="AX103" t="s" s="389">
        <v>374</v>
      </c>
      <c r="AY103" t="s" s="389">
        <v>1283</v>
      </c>
      <c r="AZ103" s="91"/>
      <c r="BA103" s="91"/>
      <c r="BB103" s="91"/>
      <c r="BC103" s="91"/>
      <c r="BD103" s="91"/>
      <c r="BE103" s="91"/>
      <c r="BF103" s="91"/>
      <c r="BG103" s="91"/>
      <c r="BH103" s="91"/>
      <c r="BI103" s="91"/>
      <c r="BJ103" s="91"/>
      <c r="BK103" s="91"/>
      <c r="BL103" s="91"/>
      <c r="BM103" s="91"/>
    </row>
    <row r="104" ht="15" customHeight="1">
      <c r="A104" s="88"/>
      <c r="B104" s="89"/>
      <c r="C104" s="90"/>
      <c r="D104" s="91"/>
      <c r="E104" s="91"/>
      <c r="F104" s="91"/>
      <c r="G104" s="91"/>
      <c r="H104" s="91"/>
      <c r="I104" s="91"/>
      <c r="J104" s="394"/>
      <c r="K104" s="91"/>
      <c r="L104" s="91"/>
      <c r="M104" s="91"/>
      <c r="N104" s="91"/>
      <c r="O104" s="91"/>
      <c r="P104" s="91"/>
      <c r="Q104" s="211"/>
      <c r="R104" s="91"/>
      <c r="S104" s="91"/>
      <c r="T104" s="91"/>
      <c r="U104" s="91"/>
      <c r="V104" s="91"/>
      <c r="W104" s="91"/>
      <c r="X104" s="91"/>
      <c r="Y104" s="91"/>
      <c r="Z104" s="91"/>
      <c r="AA104" s="394"/>
      <c r="AB104" s="91"/>
      <c r="AC104" s="91"/>
      <c r="AD104" s="91"/>
      <c r="AE104" s="91"/>
      <c r="AF104" s="91"/>
      <c r="AG104" s="91"/>
      <c r="AH104" s="91"/>
      <c r="AI104" s="91"/>
      <c r="AJ104" s="91"/>
      <c r="AK104" s="91"/>
      <c r="AL104" s="91"/>
      <c r="AM104" s="91"/>
      <c r="AN104" s="91"/>
      <c r="AO104" s="91"/>
      <c r="AP104" s="91"/>
      <c r="AQ104" s="91"/>
      <c r="AR104" t="s" s="389">
        <v>1284</v>
      </c>
      <c r="AS104" s="393">
        <v>0.0964</v>
      </c>
      <c r="AT104" t="s" s="389">
        <v>1285</v>
      </c>
      <c r="AU104" t="s" s="389">
        <v>1286</v>
      </c>
      <c r="AV104" t="s" s="389">
        <v>1287</v>
      </c>
      <c r="AW104" t="s" s="389">
        <v>374</v>
      </c>
      <c r="AX104" t="s" s="389">
        <v>374</v>
      </c>
      <c r="AY104" s="91"/>
      <c r="AZ104" s="91"/>
      <c r="BA104" s="91"/>
      <c r="BB104" s="91"/>
      <c r="BC104" s="91"/>
      <c r="BD104" s="91"/>
      <c r="BE104" s="91"/>
      <c r="BF104" s="91"/>
      <c r="BG104" s="91"/>
      <c r="BH104" s="91"/>
      <c r="BI104" s="91"/>
      <c r="BJ104" s="91"/>
      <c r="BK104" s="91"/>
      <c r="BL104" s="91"/>
      <c r="BM104" s="91"/>
    </row>
    <row r="105" ht="15" customHeight="1">
      <c r="A105" s="88"/>
      <c r="B105" s="89"/>
      <c r="C105" s="90"/>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t="s" s="389">
        <v>1288</v>
      </c>
      <c r="AS105" s="393">
        <v>0.0964</v>
      </c>
      <c r="AT105" t="s" s="389">
        <v>1289</v>
      </c>
      <c r="AU105" t="s" s="389">
        <v>1290</v>
      </c>
      <c r="AV105" t="s" s="389">
        <v>1291</v>
      </c>
      <c r="AW105" t="s" s="389">
        <v>374</v>
      </c>
      <c r="AX105" t="s" s="389">
        <v>374</v>
      </c>
      <c r="AY105" s="91"/>
      <c r="AZ105" s="91"/>
      <c r="BA105" s="91"/>
      <c r="BB105" s="91"/>
      <c r="BC105" s="91"/>
      <c r="BD105" s="91"/>
      <c r="BE105" s="91"/>
      <c r="BF105" s="91"/>
      <c r="BG105" s="91"/>
      <c r="BH105" s="91"/>
      <c r="BI105" s="91"/>
      <c r="BJ105" s="91"/>
      <c r="BK105" s="91"/>
      <c r="BL105" s="91"/>
      <c r="BM105" s="91"/>
    </row>
    <row r="106" ht="15" customHeight="1">
      <c r="A106" s="92"/>
      <c r="B106" s="89"/>
      <c r="C106" s="90"/>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row>
    <row r="107" ht="15" customHeight="1">
      <c r="A107" s="92"/>
      <c r="B107" s="89"/>
      <c r="C107" s="90"/>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row>
    <row r="108" ht="15" customHeight="1">
      <c r="A108" s="92"/>
      <c r="B108" s="89"/>
      <c r="C108" s="90"/>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row>
    <row r="109" ht="15" customHeight="1">
      <c r="A109" s="93"/>
      <c r="B109" s="94"/>
      <c r="C109" s="95"/>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row>
    <row r="110" ht="48" customHeight="1">
      <c r="A110" s="15">
        <v>11</v>
      </c>
      <c r="B110" t="s" s="97">
        <v>30</v>
      </c>
      <c r="C110" s="644">
        <v>1</v>
      </c>
      <c r="D110" t="s" s="407">
        <v>1292</v>
      </c>
      <c r="E110" s="645">
        <v>1</v>
      </c>
      <c r="F110" t="s" s="407">
        <v>1293</v>
      </c>
      <c r="G110" t="s" s="408">
        <v>1294</v>
      </c>
      <c r="H110" s="645">
        <v>1</v>
      </c>
      <c r="I110" t="s" s="407">
        <v>230</v>
      </c>
      <c r="J110" t="s" s="408">
        <v>1295</v>
      </c>
      <c r="K110" s="405">
        <v>343507</v>
      </c>
      <c r="L110" s="405">
        <v>1493642</v>
      </c>
      <c r="M110" s="410"/>
      <c r="N110" s="405">
        <v>11297</v>
      </c>
      <c r="O110" t="s" s="407">
        <v>1296</v>
      </c>
      <c r="P110" t="s" s="407">
        <v>1297</v>
      </c>
      <c r="Q110" t="s" s="170">
        <v>1298</v>
      </c>
      <c r="R110" s="645">
        <v>2</v>
      </c>
      <c r="S110" s="645">
        <v>2</v>
      </c>
      <c r="T110" s="645">
        <v>2</v>
      </c>
      <c r="U110" s="410"/>
      <c r="V110" s="645">
        <v>2</v>
      </c>
      <c r="W110" s="410"/>
      <c r="X110" s="645">
        <v>2</v>
      </c>
      <c r="Y110" s="410"/>
      <c r="Z110" s="645">
        <v>1</v>
      </c>
      <c r="AA110" t="s" s="170">
        <v>1299</v>
      </c>
      <c r="AB110" t="s" s="408">
        <v>1300</v>
      </c>
      <c r="AC110" s="645">
        <v>50</v>
      </c>
      <c r="AD110" s="645">
        <v>2</v>
      </c>
      <c r="AE110" t="s" s="170">
        <v>1301</v>
      </c>
      <c r="AF110" t="s" s="407">
        <v>1302</v>
      </c>
      <c r="AG110" s="645">
        <v>2</v>
      </c>
      <c r="AH110" t="s" s="408">
        <v>1303</v>
      </c>
      <c r="AI110" s="645">
        <v>50</v>
      </c>
      <c r="AJ110" s="645">
        <v>2</v>
      </c>
      <c r="AK110" t="s" s="407">
        <v>1304</v>
      </c>
      <c r="AL110" t="s" s="408">
        <v>1305</v>
      </c>
      <c r="AM110" t="s" s="407">
        <v>1306</v>
      </c>
      <c r="AN110" s="645">
        <v>1</v>
      </c>
      <c r="AO110" s="645">
        <v>50</v>
      </c>
      <c r="AP110" s="645">
        <v>7</v>
      </c>
      <c r="AQ110" s="645">
        <v>6</v>
      </c>
      <c r="AR110" t="s" s="407">
        <v>1307</v>
      </c>
      <c r="AS110" s="167">
        <v>13</v>
      </c>
      <c r="AT110" s="645">
        <v>2003</v>
      </c>
      <c r="AU110" t="s" s="407">
        <v>1308</v>
      </c>
      <c r="AV110" t="s" s="408">
        <v>1309</v>
      </c>
      <c r="AW110" t="s" s="407">
        <v>1310</v>
      </c>
      <c r="AX110" t="s" s="407">
        <v>1311</v>
      </c>
      <c r="AY110" t="s" s="407">
        <v>1312</v>
      </c>
      <c r="AZ110" t="s" s="646">
        <v>1313</v>
      </c>
      <c r="BA110" s="645">
        <v>1</v>
      </c>
      <c r="BB110" s="645">
        <v>2</v>
      </c>
      <c r="BC110" s="645">
        <v>1</v>
      </c>
      <c r="BD110" s="645">
        <v>2</v>
      </c>
      <c r="BE110" s="645">
        <v>1</v>
      </c>
      <c r="BF110" s="645">
        <v>2</v>
      </c>
      <c r="BG110" s="645">
        <v>2</v>
      </c>
      <c r="BH110" t="s" s="407">
        <v>1314</v>
      </c>
      <c r="BI110" s="645">
        <v>2</v>
      </c>
      <c r="BJ110" s="645">
        <v>2</v>
      </c>
      <c r="BK110" s="645">
        <v>2</v>
      </c>
      <c r="BL110" s="645">
        <v>2</v>
      </c>
      <c r="BM110" t="s" s="407">
        <v>1315</v>
      </c>
    </row>
    <row r="111" ht="24" customHeight="1">
      <c r="A111" s="19"/>
      <c r="B111" s="100"/>
      <c r="C111" s="21"/>
      <c r="D111" s="22"/>
      <c r="E111" s="22"/>
      <c r="F111" s="22"/>
      <c r="G111" s="22"/>
      <c r="H111" s="22"/>
      <c r="I111" s="22"/>
      <c r="J111" s="22"/>
      <c r="K111" s="22"/>
      <c r="L111" s="22"/>
      <c r="M111" s="22"/>
      <c r="N111" s="22"/>
      <c r="O111" s="22"/>
      <c r="P111" s="623"/>
      <c r="Q111" s="211"/>
      <c r="R111" s="22"/>
      <c r="S111" s="22"/>
      <c r="T111" s="22"/>
      <c r="U111" s="22"/>
      <c r="V111" s="22"/>
      <c r="W111" s="22"/>
      <c r="X111" s="22"/>
      <c r="Y111" s="22"/>
      <c r="Z111" s="22"/>
      <c r="AA111" s="211"/>
      <c r="AB111" s="22"/>
      <c r="AC111" s="22"/>
      <c r="AD111" s="22"/>
      <c r="AE111" s="211"/>
      <c r="AF111" s="22"/>
      <c r="AG111" s="22"/>
      <c r="AH111" s="22"/>
      <c r="AI111" s="22"/>
      <c r="AJ111" s="22"/>
      <c r="AK111" t="s" s="209">
        <v>1316</v>
      </c>
      <c r="AL111" s="22"/>
      <c r="AM111" t="s" s="209">
        <v>1317</v>
      </c>
      <c r="AN111" s="22"/>
      <c r="AO111" s="22"/>
      <c r="AP111" s="22"/>
      <c r="AQ111" s="22"/>
      <c r="AR111" t="s" s="209">
        <v>1318</v>
      </c>
      <c r="AS111" s="183">
        <v>17</v>
      </c>
      <c r="AT111" t="s" s="209">
        <v>1319</v>
      </c>
      <c r="AU111" s="22"/>
      <c r="AV111" s="22"/>
      <c r="AW111" t="s" s="182">
        <v>1320</v>
      </c>
      <c r="AX111" t="s" s="182">
        <v>1321</v>
      </c>
      <c r="AY111" s="22"/>
      <c r="AZ111" s="22"/>
      <c r="BA111" s="22"/>
      <c r="BB111" s="22"/>
      <c r="BC111" s="22"/>
      <c r="BD111" s="22"/>
      <c r="BE111" s="22"/>
      <c r="BF111" s="22"/>
      <c r="BG111" s="22"/>
      <c r="BH111" s="22"/>
      <c r="BI111" s="22"/>
      <c r="BJ111" s="22"/>
      <c r="BK111" s="22"/>
      <c r="BL111" s="22"/>
      <c r="BM111" s="22"/>
    </row>
    <row r="112" ht="15" customHeight="1">
      <c r="A112" s="19"/>
      <c r="B112" s="100"/>
      <c r="C112" s="21"/>
      <c r="D112" s="22"/>
      <c r="E112" s="22"/>
      <c r="F112" s="22"/>
      <c r="G112" s="22"/>
      <c r="H112" s="22"/>
      <c r="I112" s="22"/>
      <c r="J112" s="22"/>
      <c r="K112" s="22"/>
      <c r="L112" s="22"/>
      <c r="M112" s="22"/>
      <c r="N112" s="22"/>
      <c r="O112" s="22"/>
      <c r="P112" s="22"/>
      <c r="Q112" s="211"/>
      <c r="R112" s="22"/>
      <c r="S112" s="22"/>
      <c r="T112" s="22"/>
      <c r="U112" s="22"/>
      <c r="V112" s="22"/>
      <c r="W112" s="22"/>
      <c r="X112" s="22"/>
      <c r="Y112" s="22"/>
      <c r="Z112" s="22"/>
      <c r="AA112" s="211"/>
      <c r="AB112" s="22"/>
      <c r="AC112" s="22"/>
      <c r="AD112" s="22"/>
      <c r="AE112" s="211"/>
      <c r="AF112" s="22"/>
      <c r="AG112" s="22"/>
      <c r="AH112" s="22"/>
      <c r="AI112" s="22"/>
      <c r="AJ112" s="22"/>
      <c r="AK112" s="22"/>
      <c r="AL112" s="22"/>
      <c r="AM112" s="22"/>
      <c r="AN112" s="22"/>
      <c r="AO112" s="22"/>
      <c r="AP112" s="22"/>
      <c r="AQ112" s="22"/>
      <c r="AR112" t="s" s="209">
        <v>1322</v>
      </c>
      <c r="AS112" s="183">
        <v>0</v>
      </c>
      <c r="AT112" t="s" s="209">
        <v>1323</v>
      </c>
      <c r="AU112" t="s" s="209">
        <v>1324</v>
      </c>
      <c r="AV112" t="s" s="182">
        <v>1309</v>
      </c>
      <c r="AW112" t="s" s="209">
        <v>1325</v>
      </c>
      <c r="AX112" t="s" s="209">
        <v>1326</v>
      </c>
      <c r="AY112" s="22"/>
      <c r="AZ112" s="22"/>
      <c r="BA112" s="22"/>
      <c r="BB112" s="22"/>
      <c r="BC112" s="22"/>
      <c r="BD112" s="22"/>
      <c r="BE112" s="22"/>
      <c r="BF112" s="22"/>
      <c r="BG112" s="22"/>
      <c r="BH112" s="22"/>
      <c r="BI112" s="22"/>
      <c r="BJ112" s="22"/>
      <c r="BK112" s="22"/>
      <c r="BL112" s="22"/>
      <c r="BM112" s="22"/>
    </row>
    <row r="113" ht="15" customHeight="1">
      <c r="A113" s="19"/>
      <c r="B113" s="100"/>
      <c r="C113" s="21"/>
      <c r="D113" s="22"/>
      <c r="E113" s="22"/>
      <c r="F113" s="22"/>
      <c r="G113" s="22"/>
      <c r="H113" s="22"/>
      <c r="I113" s="22"/>
      <c r="J113" s="22"/>
      <c r="K113" s="22"/>
      <c r="L113" s="22"/>
      <c r="M113" s="22"/>
      <c r="N113" s="22"/>
      <c r="O113" s="22"/>
      <c r="P113" s="22"/>
      <c r="Q113" s="211"/>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t="s" s="209">
        <v>1327</v>
      </c>
      <c r="AS113" s="183">
        <v>5</v>
      </c>
      <c r="AT113" t="s" s="209">
        <v>1328</v>
      </c>
      <c r="AU113" s="22"/>
      <c r="AV113" s="22"/>
      <c r="AW113" t="s" s="209">
        <v>1329</v>
      </c>
      <c r="AX113" t="s" s="209">
        <v>1330</v>
      </c>
      <c r="AY113" s="22"/>
      <c r="AZ113" s="22"/>
      <c r="BA113" s="22"/>
      <c r="BB113" s="22"/>
      <c r="BC113" s="22"/>
      <c r="BD113" s="22"/>
      <c r="BE113" s="22"/>
      <c r="BF113" s="22"/>
      <c r="BG113" s="22"/>
      <c r="BH113" s="22"/>
      <c r="BI113" s="22"/>
      <c r="BJ113" s="22"/>
      <c r="BK113" s="22"/>
      <c r="BL113" s="22"/>
      <c r="BM113" s="22"/>
    </row>
    <row r="114" ht="15" customHeight="1">
      <c r="A114" s="19"/>
      <c r="B114" s="100"/>
      <c r="C114" s="21"/>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t="s" s="209">
        <v>1331</v>
      </c>
      <c r="AS114" s="183">
        <v>15</v>
      </c>
      <c r="AT114" t="s" s="209">
        <v>1332</v>
      </c>
      <c r="AU114" s="22"/>
      <c r="AV114" s="22"/>
      <c r="AW114" t="s" s="209">
        <v>1333</v>
      </c>
      <c r="AX114" t="s" s="209">
        <v>1334</v>
      </c>
      <c r="AY114" s="22"/>
      <c r="AZ114" s="22"/>
      <c r="BA114" s="22"/>
      <c r="BB114" s="22"/>
      <c r="BC114" s="22"/>
      <c r="BD114" s="22"/>
      <c r="BE114" s="22"/>
      <c r="BF114" s="22"/>
      <c r="BG114" s="22"/>
      <c r="BH114" s="22"/>
      <c r="BI114" s="22"/>
      <c r="BJ114" s="22"/>
      <c r="BK114" s="22"/>
      <c r="BL114" s="22"/>
      <c r="BM114" s="22"/>
    </row>
    <row r="115" ht="15" customHeight="1">
      <c r="A115" s="19"/>
      <c r="B115" s="100"/>
      <c r="C115" s="21"/>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row>
    <row r="116" ht="15" customHeight="1">
      <c r="A116" s="19"/>
      <c r="B116" s="100"/>
      <c r="C116" s="21"/>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row>
    <row r="117" ht="15" customHeight="1">
      <c r="A117" s="19"/>
      <c r="B117" s="100"/>
      <c r="C117" s="21"/>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row>
    <row r="118" ht="15" customHeight="1">
      <c r="A118" s="23"/>
      <c r="B118" s="101"/>
      <c r="C118" s="25"/>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row>
    <row r="119" ht="63.75" customHeight="1">
      <c r="A119" s="15">
        <v>12</v>
      </c>
      <c r="B119" t="s" s="102">
        <v>32</v>
      </c>
      <c r="C119" s="647">
        <v>1</v>
      </c>
      <c r="D119" t="s" s="430">
        <v>1335</v>
      </c>
      <c r="E119" s="429">
        <v>3</v>
      </c>
      <c r="F119" t="s" s="430">
        <v>1336</v>
      </c>
      <c r="G119" t="s" s="431">
        <v>1337</v>
      </c>
      <c r="H119" s="429">
        <v>1</v>
      </c>
      <c r="I119" t="s" s="430">
        <v>229</v>
      </c>
      <c r="J119" t="s" s="430">
        <v>1338</v>
      </c>
      <c r="K119" t="s" s="648">
        <v>1339</v>
      </c>
      <c r="L119" s="649"/>
      <c r="M119" s="649"/>
      <c r="N119" s="429">
        <v>1763</v>
      </c>
      <c r="O119" t="s" s="430">
        <v>1340</v>
      </c>
      <c r="P119" t="s" s="431">
        <v>1341</v>
      </c>
      <c r="Q119" t="s" s="635">
        <v>1342</v>
      </c>
      <c r="R119" s="429">
        <v>2</v>
      </c>
      <c r="S119" s="429">
        <v>2</v>
      </c>
      <c r="T119" s="429">
        <v>2</v>
      </c>
      <c r="U119" t="s" s="430">
        <v>197</v>
      </c>
      <c r="V119" s="429">
        <v>1</v>
      </c>
      <c r="W119" t="s" s="432">
        <v>1343</v>
      </c>
      <c r="X119" s="429">
        <v>2</v>
      </c>
      <c r="Y119" t="s" s="430">
        <v>197</v>
      </c>
      <c r="Z119" s="429">
        <v>1</v>
      </c>
      <c r="AA119" t="s" s="432">
        <v>1344</v>
      </c>
      <c r="AB119" t="s" s="431">
        <v>1345</v>
      </c>
      <c r="AC119" s="650">
        <v>0.34</v>
      </c>
      <c r="AD119" s="437">
        <v>2</v>
      </c>
      <c r="AE119" t="s" s="431">
        <v>1346</v>
      </c>
      <c r="AF119" t="s" s="431">
        <v>1347</v>
      </c>
      <c r="AG119" s="429">
        <v>2</v>
      </c>
      <c r="AH119" t="s" s="432">
        <v>1348</v>
      </c>
      <c r="AI119" s="651">
        <v>0.22</v>
      </c>
      <c r="AJ119" s="429">
        <v>2</v>
      </c>
      <c r="AK119" t="s" s="431">
        <v>1349</v>
      </c>
      <c r="AL119" t="s" s="431">
        <v>1350</v>
      </c>
      <c r="AM119" t="s" s="431">
        <v>1351</v>
      </c>
      <c r="AN119" s="429">
        <v>1</v>
      </c>
      <c r="AO119" s="650">
        <v>0.95</v>
      </c>
      <c r="AP119" s="429">
        <v>3</v>
      </c>
      <c r="AQ119" s="429">
        <v>3</v>
      </c>
      <c r="AR119" t="s" s="430">
        <v>1352</v>
      </c>
      <c r="AS119" s="429">
        <v>20</v>
      </c>
      <c r="AT119" s="429">
        <v>1928</v>
      </c>
      <c r="AU119" t="s" s="430">
        <v>1353</v>
      </c>
      <c r="AV119" t="s" s="430">
        <v>1354</v>
      </c>
      <c r="AW119" t="s" s="430">
        <v>1355</v>
      </c>
      <c r="AX119" t="s" s="430">
        <v>1356</v>
      </c>
      <c r="AY119" t="s" s="430">
        <v>1357</v>
      </c>
      <c r="AZ119" t="s" s="431">
        <v>1358</v>
      </c>
      <c r="BA119" s="429">
        <v>1</v>
      </c>
      <c r="BB119" s="429">
        <v>1</v>
      </c>
      <c r="BC119" s="429">
        <v>1</v>
      </c>
      <c r="BD119" s="429">
        <v>1</v>
      </c>
      <c r="BE119" s="429">
        <v>1</v>
      </c>
      <c r="BF119" s="429">
        <v>1</v>
      </c>
      <c r="BG119" s="429">
        <v>1</v>
      </c>
      <c r="BH119" s="429">
        <v>2</v>
      </c>
      <c r="BI119" s="429">
        <v>2</v>
      </c>
      <c r="BJ119" s="429">
        <v>1</v>
      </c>
      <c r="BK119" s="429">
        <v>1</v>
      </c>
      <c r="BL119" s="429">
        <v>1</v>
      </c>
      <c r="BM119" t="s" s="431">
        <v>1359</v>
      </c>
    </row>
    <row r="120" ht="26.25" customHeight="1">
      <c r="A120" s="19"/>
      <c r="B120" s="105"/>
      <c r="C120" s="106"/>
      <c r="D120" s="107"/>
      <c r="E120" s="107"/>
      <c r="F120" s="107"/>
      <c r="G120" s="107"/>
      <c r="H120" s="107"/>
      <c r="I120" s="107"/>
      <c r="J120" s="107"/>
      <c r="K120" s="107"/>
      <c r="L120" s="107"/>
      <c r="M120" s="107"/>
      <c r="N120" s="107"/>
      <c r="O120" s="107"/>
      <c r="P120" s="107"/>
      <c r="Q120" s="465"/>
      <c r="R120" s="107"/>
      <c r="S120" s="107"/>
      <c r="T120" s="107"/>
      <c r="U120" s="107"/>
      <c r="V120" s="107"/>
      <c r="W120" s="454"/>
      <c r="X120" s="107"/>
      <c r="Y120" s="107"/>
      <c r="Z120" s="107"/>
      <c r="AA120" s="454"/>
      <c r="AB120" s="107"/>
      <c r="AC120" s="107"/>
      <c r="AD120" s="107"/>
      <c r="AE120" s="107"/>
      <c r="AF120" s="107"/>
      <c r="AG120" s="107"/>
      <c r="AH120" s="454"/>
      <c r="AI120" s="107"/>
      <c r="AJ120" s="107"/>
      <c r="AK120" t="s" s="462">
        <v>1360</v>
      </c>
      <c r="AL120" s="107"/>
      <c r="AM120" s="107"/>
      <c r="AN120" s="107"/>
      <c r="AO120" s="107"/>
      <c r="AP120" s="107"/>
      <c r="AQ120" s="107"/>
      <c r="AR120" t="s" s="448">
        <v>1361</v>
      </c>
      <c r="AS120" s="450">
        <v>30</v>
      </c>
      <c r="AT120" s="450">
        <v>1992</v>
      </c>
      <c r="AU120" t="s" s="531">
        <v>1362</v>
      </c>
      <c r="AV120" t="s" s="531">
        <v>1363</v>
      </c>
      <c r="AW120" t="s" s="531">
        <v>1364</v>
      </c>
      <c r="AX120" t="s" s="531">
        <v>1365</v>
      </c>
      <c r="AY120" s="107"/>
      <c r="AZ120" s="107"/>
      <c r="BA120" s="107"/>
      <c r="BB120" s="107"/>
      <c r="BC120" s="107"/>
      <c r="BD120" s="107"/>
      <c r="BE120" s="107"/>
      <c r="BF120" s="107"/>
      <c r="BG120" s="107"/>
      <c r="BH120" s="107"/>
      <c r="BI120" s="107"/>
      <c r="BJ120" s="107"/>
      <c r="BK120" s="107"/>
      <c r="BL120" s="107"/>
      <c r="BM120" s="107"/>
    </row>
    <row r="121" ht="39" customHeight="1">
      <c r="A121" s="19"/>
      <c r="B121" s="105"/>
      <c r="C121" s="106"/>
      <c r="D121" s="107"/>
      <c r="E121" s="107"/>
      <c r="F121" s="107"/>
      <c r="G121" s="107"/>
      <c r="H121" s="107"/>
      <c r="I121" s="107"/>
      <c r="J121" s="107"/>
      <c r="K121" s="107"/>
      <c r="L121" s="107"/>
      <c r="M121" s="107"/>
      <c r="N121" s="107"/>
      <c r="O121" s="107"/>
      <c r="P121" s="107"/>
      <c r="Q121" s="465"/>
      <c r="R121" s="107"/>
      <c r="S121" s="107"/>
      <c r="T121" s="107"/>
      <c r="U121" s="107"/>
      <c r="V121" s="107"/>
      <c r="W121" s="107"/>
      <c r="X121" s="107"/>
      <c r="Y121" s="107"/>
      <c r="Z121" s="107"/>
      <c r="AA121" s="107"/>
      <c r="AB121" s="107"/>
      <c r="AC121" s="107"/>
      <c r="AD121" s="107"/>
      <c r="AE121" s="107"/>
      <c r="AF121" s="107"/>
      <c r="AG121" s="107"/>
      <c r="AH121" s="454"/>
      <c r="AI121" s="107"/>
      <c r="AJ121" s="107"/>
      <c r="AK121" s="107"/>
      <c r="AL121" s="107"/>
      <c r="AM121" s="107"/>
      <c r="AN121" s="107"/>
      <c r="AO121" s="107"/>
      <c r="AP121" s="107"/>
      <c r="AQ121" s="107"/>
      <c r="AR121" t="s" s="448">
        <v>1366</v>
      </c>
      <c r="AS121" s="450">
        <v>50</v>
      </c>
      <c r="AT121" s="450">
        <v>2006</v>
      </c>
      <c r="AU121" t="s" s="531">
        <v>1367</v>
      </c>
      <c r="AV121" t="s" s="531">
        <v>1368</v>
      </c>
      <c r="AW121" t="s" s="531">
        <v>1369</v>
      </c>
      <c r="AX121" t="s" s="531">
        <v>1370</v>
      </c>
      <c r="AY121" s="107"/>
      <c r="AZ121" s="107"/>
      <c r="BA121" s="107"/>
      <c r="BB121" s="107"/>
      <c r="BC121" s="107"/>
      <c r="BD121" s="107"/>
      <c r="BE121" s="107"/>
      <c r="BF121" s="107"/>
      <c r="BG121" s="107"/>
      <c r="BH121" s="107"/>
      <c r="BI121" s="107"/>
      <c r="BJ121" s="107"/>
      <c r="BK121" s="107"/>
      <c r="BL121" s="107"/>
      <c r="BM121" s="107"/>
    </row>
    <row r="122" ht="15" customHeight="1">
      <c r="A122" s="19"/>
      <c r="B122" s="105"/>
      <c r="C122" s="106"/>
      <c r="D122" s="107"/>
      <c r="E122" s="107"/>
      <c r="F122" s="107"/>
      <c r="G122" s="107"/>
      <c r="H122" s="107"/>
      <c r="I122" s="107"/>
      <c r="J122" s="107"/>
      <c r="K122" s="107"/>
      <c r="L122" s="107"/>
      <c r="M122" s="107"/>
      <c r="N122" s="107"/>
      <c r="O122" s="107"/>
      <c r="P122" s="107"/>
      <c r="Q122" s="465"/>
      <c r="R122" s="107"/>
      <c r="S122" s="107"/>
      <c r="T122" s="107"/>
      <c r="U122" s="107"/>
      <c r="V122" s="107"/>
      <c r="W122" s="107"/>
      <c r="X122" s="107"/>
      <c r="Y122" s="107"/>
      <c r="Z122" s="107"/>
      <c r="AA122" s="107"/>
      <c r="AB122" s="107"/>
      <c r="AC122" s="107"/>
      <c r="AD122" s="107"/>
      <c r="AE122" s="107"/>
      <c r="AF122" s="107"/>
      <c r="AG122" s="107"/>
      <c r="AH122" s="454"/>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row>
    <row r="123" ht="15" customHeight="1">
      <c r="A123" s="19"/>
      <c r="B123" s="105"/>
      <c r="C123" s="106"/>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row>
    <row r="124" ht="15" customHeight="1">
      <c r="A124" s="19"/>
      <c r="B124" s="105"/>
      <c r="C124" s="106"/>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row>
    <row r="125" ht="15" customHeight="1">
      <c r="A125" s="23"/>
      <c r="B125" s="108"/>
      <c r="C125" s="109"/>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row>
    <row r="126" ht="96.75" customHeight="1">
      <c r="A126" s="15">
        <v>13</v>
      </c>
      <c r="B126" t="s" s="111">
        <v>34</v>
      </c>
      <c r="C126" t="s" s="653">
        <v>1371</v>
      </c>
      <c r="D126" t="s" s="283">
        <v>1372</v>
      </c>
      <c r="E126" s="285">
        <v>2</v>
      </c>
      <c r="F126" t="s" s="82">
        <v>1228</v>
      </c>
      <c r="G126" t="s" s="82">
        <v>197</v>
      </c>
      <c r="H126" s="285">
        <v>1</v>
      </c>
      <c r="I126" t="s" s="82">
        <v>230</v>
      </c>
      <c r="J126" t="s" s="82">
        <v>197</v>
      </c>
      <c r="K126" t="s" s="286">
        <v>197</v>
      </c>
      <c r="L126" s="475"/>
      <c r="M126" s="475"/>
      <c r="N126" t="s" s="82">
        <v>197</v>
      </c>
      <c r="O126" t="s" s="112">
        <v>1373</v>
      </c>
      <c r="P126" t="s" s="112">
        <v>1374</v>
      </c>
      <c r="Q126" t="s" s="484">
        <v>1375</v>
      </c>
      <c r="R126" s="285">
        <v>2</v>
      </c>
      <c r="S126" s="285">
        <v>2</v>
      </c>
      <c r="T126" s="285">
        <v>1</v>
      </c>
      <c r="U126" t="s" s="506">
        <v>1376</v>
      </c>
      <c r="V126" s="285">
        <v>1</v>
      </c>
      <c r="W126" t="s" s="506">
        <v>1377</v>
      </c>
      <c r="X126" s="285">
        <v>1</v>
      </c>
      <c r="Y126" t="s" s="483">
        <v>1378</v>
      </c>
      <c r="Z126" s="285">
        <v>2</v>
      </c>
      <c r="AA126" s="123"/>
      <c r="AB126" t="s" s="432">
        <v>1379</v>
      </c>
      <c r="AC126" s="654">
        <v>0.65</v>
      </c>
      <c r="AD126" s="285">
        <v>2</v>
      </c>
      <c r="AE126" t="s" s="483">
        <v>1380</v>
      </c>
      <c r="AF126" t="s" s="506">
        <v>1381</v>
      </c>
      <c r="AG126" s="285">
        <v>1</v>
      </c>
      <c r="AH126" t="s" s="112">
        <v>1382</v>
      </c>
      <c r="AI126" s="477">
        <v>0.78</v>
      </c>
      <c r="AJ126" s="655">
        <v>2</v>
      </c>
      <c r="AK126" t="s" s="479">
        <v>1383</v>
      </c>
      <c r="AL126" t="s" s="479">
        <v>1384</v>
      </c>
      <c r="AM126" t="s" s="479">
        <v>1385</v>
      </c>
      <c r="AN126" s="285">
        <v>1</v>
      </c>
      <c r="AO126" s="337">
        <v>0.39</v>
      </c>
      <c r="AP126" t="s" s="483">
        <v>1386</v>
      </c>
      <c r="AQ126" t="s" s="483">
        <v>1387</v>
      </c>
      <c r="AR126" t="s" s="112">
        <v>1388</v>
      </c>
      <c r="AS126" s="551">
        <v>0.006</v>
      </c>
      <c r="AT126" s="285">
        <v>1910</v>
      </c>
      <c r="AU126" t="s" s="112">
        <v>1389</v>
      </c>
      <c r="AV126" t="s" s="483">
        <v>1390</v>
      </c>
      <c r="AW126" t="s" s="82">
        <v>1391</v>
      </c>
      <c r="AX126" t="s" s="82">
        <v>1391</v>
      </c>
      <c r="AY126" t="s" s="112">
        <v>1392</v>
      </c>
      <c r="AZ126" s="123"/>
      <c r="BA126" s="285">
        <v>1</v>
      </c>
      <c r="BB126" s="285">
        <v>1</v>
      </c>
      <c r="BC126" s="285">
        <v>1</v>
      </c>
      <c r="BD126" s="285">
        <v>2</v>
      </c>
      <c r="BE126" s="285">
        <v>1</v>
      </c>
      <c r="BF126" s="285">
        <v>1</v>
      </c>
      <c r="BG126" s="285">
        <v>1</v>
      </c>
      <c r="BH126" s="285">
        <v>1</v>
      </c>
      <c r="BI126" s="285">
        <v>2</v>
      </c>
      <c r="BJ126" s="285">
        <v>1</v>
      </c>
      <c r="BK126" s="285">
        <v>1</v>
      </c>
      <c r="BL126" s="285">
        <v>1</v>
      </c>
      <c r="BM126" t="s" s="506">
        <v>1393</v>
      </c>
    </row>
    <row r="127" ht="105" customHeight="1">
      <c r="A127" s="19"/>
      <c r="B127" s="113"/>
      <c r="C127" s="58"/>
      <c r="D127" t="s" s="303">
        <v>1394</v>
      </c>
      <c r="E127" s="299">
        <v>2</v>
      </c>
      <c r="F127" t="s" s="303">
        <v>1228</v>
      </c>
      <c r="G127" t="s" s="303">
        <v>197</v>
      </c>
      <c r="H127" s="299">
        <v>1</v>
      </c>
      <c r="I127" t="s" s="303">
        <v>230</v>
      </c>
      <c r="J127" t="s" s="303">
        <v>197</v>
      </c>
      <c r="K127" t="s" s="656">
        <v>197</v>
      </c>
      <c r="L127" s="297"/>
      <c r="M127" s="297"/>
      <c r="N127" t="s" s="303">
        <v>197</v>
      </c>
      <c r="O127" s="59"/>
      <c r="P127" s="59"/>
      <c r="Q127" s="491"/>
      <c r="R127" s="59"/>
      <c r="S127" s="59"/>
      <c r="T127" s="59"/>
      <c r="U127" s="510"/>
      <c r="V127" s="59"/>
      <c r="W127" s="510"/>
      <c r="X127" s="59"/>
      <c r="Y127" s="59"/>
      <c r="Z127" s="59"/>
      <c r="AA127" s="59"/>
      <c r="AB127" s="454"/>
      <c r="AC127" s="59"/>
      <c r="AD127" s="59"/>
      <c r="AE127" s="59"/>
      <c r="AF127" s="59"/>
      <c r="AG127" s="59"/>
      <c r="AH127" s="59"/>
      <c r="AI127" s="59"/>
      <c r="AJ127" s="59"/>
      <c r="AK127" s="59"/>
      <c r="AL127" t="s" s="448">
        <v>1395</v>
      </c>
      <c r="AM127" t="s" s="512">
        <v>1396</v>
      </c>
      <c r="AN127" s="59"/>
      <c r="AO127" s="59"/>
      <c r="AP127" s="59"/>
      <c r="AQ127" s="59"/>
      <c r="AR127" t="s" s="247">
        <v>1397</v>
      </c>
      <c r="AS127" s="657">
        <v>0.004</v>
      </c>
      <c r="AT127" s="299">
        <v>1979</v>
      </c>
      <c r="AU127" t="s" s="303">
        <v>197</v>
      </c>
      <c r="AV127" t="s" s="514">
        <v>1398</v>
      </c>
      <c r="AW127" t="s" s="512">
        <v>1399</v>
      </c>
      <c r="AX127" t="s" s="512">
        <v>1399</v>
      </c>
      <c r="AY127" s="59"/>
      <c r="AZ127" s="59"/>
      <c r="BA127" s="59"/>
      <c r="BB127" s="59"/>
      <c r="BC127" s="59"/>
      <c r="BD127" s="59"/>
      <c r="BE127" s="59"/>
      <c r="BF127" s="59"/>
      <c r="BG127" s="59"/>
      <c r="BH127" s="59"/>
      <c r="BI127" s="59"/>
      <c r="BJ127" s="59"/>
      <c r="BK127" s="59"/>
      <c r="BL127" s="59"/>
      <c r="BM127" s="510"/>
    </row>
    <row r="128" ht="51.75" customHeight="1">
      <c r="A128" s="19"/>
      <c r="B128" s="113"/>
      <c r="C128" s="58"/>
      <c r="D128" t="s" s="303">
        <v>1400</v>
      </c>
      <c r="E128" s="299">
        <v>2</v>
      </c>
      <c r="F128" t="s" s="303">
        <v>1228</v>
      </c>
      <c r="G128" t="s" s="303">
        <v>197</v>
      </c>
      <c r="H128" s="299">
        <v>1</v>
      </c>
      <c r="I128" t="s" s="303">
        <v>230</v>
      </c>
      <c r="J128" t="s" s="303">
        <v>197</v>
      </c>
      <c r="K128" t="s" s="656">
        <v>197</v>
      </c>
      <c r="L128" s="297"/>
      <c r="M128" s="297"/>
      <c r="N128" t="s" s="303">
        <v>197</v>
      </c>
      <c r="O128" s="59"/>
      <c r="P128" s="59"/>
      <c r="Q128" s="491"/>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t="s" s="247">
        <v>1401</v>
      </c>
      <c r="AS128" s="658">
        <v>0.12</v>
      </c>
      <c r="AT128" s="299">
        <v>1991</v>
      </c>
      <c r="AU128" t="s" s="303">
        <v>197</v>
      </c>
      <c r="AV128" t="s" s="514">
        <v>1402</v>
      </c>
      <c r="AW128" t="s" s="448">
        <v>1403</v>
      </c>
      <c r="AX128" t="s" s="448">
        <v>1404</v>
      </c>
      <c r="AY128" s="59"/>
      <c r="AZ128" s="59"/>
      <c r="BA128" s="59"/>
      <c r="BB128" s="59"/>
      <c r="BC128" s="59"/>
      <c r="BD128" s="59"/>
      <c r="BE128" s="59"/>
      <c r="BF128" s="59"/>
      <c r="BG128" s="59"/>
      <c r="BH128" s="59"/>
      <c r="BI128" s="59"/>
      <c r="BJ128" s="59"/>
      <c r="BK128" s="59"/>
      <c r="BL128" s="59"/>
      <c r="BM128" s="510"/>
    </row>
    <row r="129" ht="51.75" customHeight="1">
      <c r="A129" s="19"/>
      <c r="B129" s="113"/>
      <c r="C129" s="58"/>
      <c r="D129" t="s" s="303">
        <v>1405</v>
      </c>
      <c r="E129" s="299">
        <v>2</v>
      </c>
      <c r="F129" t="s" s="303">
        <v>197</v>
      </c>
      <c r="G129" t="s" s="303">
        <v>197</v>
      </c>
      <c r="H129" s="299">
        <v>1</v>
      </c>
      <c r="I129" t="s" s="303">
        <v>230</v>
      </c>
      <c r="J129" t="s" s="303">
        <v>197</v>
      </c>
      <c r="K129" t="s" s="656">
        <v>197</v>
      </c>
      <c r="L129" s="297"/>
      <c r="M129" s="297"/>
      <c r="N129" t="s" s="303">
        <v>197</v>
      </c>
      <c r="O129" s="59"/>
      <c r="P129" s="59"/>
      <c r="Q129" s="491"/>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t="s" s="637">
        <v>1406</v>
      </c>
      <c r="AS129" s="657">
        <v>0.002</v>
      </c>
      <c r="AT129" s="299">
        <v>2016</v>
      </c>
      <c r="AU129" t="s" s="659">
        <v>1407</v>
      </c>
      <c r="AV129" t="s" s="514">
        <v>1408</v>
      </c>
      <c r="AW129" t="s" s="448">
        <v>1409</v>
      </c>
      <c r="AX129" t="s" s="448">
        <v>1410</v>
      </c>
      <c r="AY129" s="59"/>
      <c r="AZ129" s="59"/>
      <c r="BA129" s="59"/>
      <c r="BB129" s="59"/>
      <c r="BC129" s="59"/>
      <c r="BD129" s="59"/>
      <c r="BE129" s="59"/>
      <c r="BF129" s="59"/>
      <c r="BG129" s="59"/>
      <c r="BH129" s="59"/>
      <c r="BI129" s="59"/>
      <c r="BJ129" s="59"/>
      <c r="BK129" s="59"/>
      <c r="BL129" s="59"/>
      <c r="BM129" s="59"/>
    </row>
    <row r="130" ht="15" customHeight="1">
      <c r="A130" s="19"/>
      <c r="B130" s="113"/>
      <c r="C130" s="58"/>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row>
    <row r="131" ht="15" customHeight="1">
      <c r="A131" s="19"/>
      <c r="B131" s="113"/>
      <c r="C131" s="58"/>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row>
    <row r="132" ht="15" customHeight="1">
      <c r="A132" s="19"/>
      <c r="B132" s="113"/>
      <c r="C132" s="58"/>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row>
    <row r="133" ht="15" customHeight="1">
      <c r="A133" s="19"/>
      <c r="B133" s="113"/>
      <c r="C133" s="58"/>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row>
    <row r="134" ht="15" customHeight="1">
      <c r="A134" s="19"/>
      <c r="B134" s="113"/>
      <c r="C134" s="58"/>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row>
    <row r="135" ht="15" customHeight="1">
      <c r="A135" s="19"/>
      <c r="B135" s="113"/>
      <c r="C135" s="58"/>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row>
    <row r="136" ht="15" customHeight="1">
      <c r="A136" s="23"/>
      <c r="B136" s="114"/>
      <c r="C136" s="63"/>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row>
    <row r="137" ht="156" customHeight="1">
      <c r="A137" s="15">
        <v>14</v>
      </c>
      <c r="B137" t="s" s="115">
        <v>38</v>
      </c>
      <c r="C137" s="625">
        <v>1</v>
      </c>
      <c r="D137" t="s" s="18">
        <v>1411</v>
      </c>
      <c r="E137" s="166">
        <v>3</v>
      </c>
      <c r="F137" t="s" s="18">
        <v>1412</v>
      </c>
      <c r="G137" t="s" s="171">
        <v>1413</v>
      </c>
      <c r="H137" s="166">
        <v>3</v>
      </c>
      <c r="I137" t="s" s="171">
        <v>1414</v>
      </c>
      <c r="J137" t="s" s="18">
        <v>1415</v>
      </c>
      <c r="K137" s="165">
        <v>8951</v>
      </c>
      <c r="L137" s="165">
        <v>203599</v>
      </c>
      <c r="M137" t="s" s="18">
        <v>1416</v>
      </c>
      <c r="N137" s="166">
        <v>818</v>
      </c>
      <c r="O137" t="s" s="18">
        <v>1417</v>
      </c>
      <c r="P137" t="s" s="18">
        <v>1418</v>
      </c>
      <c r="Q137" t="s" s="171">
        <v>1419</v>
      </c>
      <c r="R137" s="166">
        <v>1</v>
      </c>
      <c r="S137" s="166">
        <v>2</v>
      </c>
      <c r="T137" s="166">
        <v>2</v>
      </c>
      <c r="U137" s="169"/>
      <c r="V137" s="166">
        <v>1</v>
      </c>
      <c r="W137" t="s" s="170">
        <v>1420</v>
      </c>
      <c r="X137" s="166">
        <v>1</v>
      </c>
      <c r="Y137" t="s" s="170">
        <v>1421</v>
      </c>
      <c r="Z137" s="166">
        <v>2</v>
      </c>
      <c r="AA137" s="169"/>
      <c r="AB137" s="165">
        <v>75831</v>
      </c>
      <c r="AC137" s="166">
        <v>44</v>
      </c>
      <c r="AD137" s="166">
        <v>2</v>
      </c>
      <c r="AE137" t="s" s="170">
        <v>1422</v>
      </c>
      <c r="AF137" t="s" s="171">
        <v>1423</v>
      </c>
      <c r="AG137" s="166">
        <v>2</v>
      </c>
      <c r="AH137" t="s" s="171">
        <v>1424</v>
      </c>
      <c r="AI137" s="166">
        <v>43</v>
      </c>
      <c r="AJ137" s="166">
        <v>2</v>
      </c>
      <c r="AK137" t="s" s="171">
        <v>1425</v>
      </c>
      <c r="AL137" t="s" s="171">
        <v>1426</v>
      </c>
      <c r="AM137" t="s" s="18">
        <v>197</v>
      </c>
      <c r="AN137" s="166">
        <v>1</v>
      </c>
      <c r="AO137" s="559">
        <v>0.6</v>
      </c>
      <c r="AP137" s="166">
        <v>1</v>
      </c>
      <c r="AQ137" s="166">
        <v>1</v>
      </c>
      <c r="AR137" t="s" s="18">
        <v>1427</v>
      </c>
      <c r="AS137" s="660">
        <v>64</v>
      </c>
      <c r="AT137" s="167">
        <v>1967</v>
      </c>
      <c r="AU137" t="s" s="171">
        <v>197</v>
      </c>
      <c r="AV137" t="s" s="171">
        <v>1428</v>
      </c>
      <c r="AW137" t="s" s="170">
        <v>1429</v>
      </c>
      <c r="AX137" t="s" s="170">
        <v>1430</v>
      </c>
      <c r="AY137" t="s" s="18">
        <v>1431</v>
      </c>
      <c r="AZ137" t="s" s="171">
        <v>1432</v>
      </c>
      <c r="BA137" s="166">
        <v>1</v>
      </c>
      <c r="BB137" s="166">
        <v>1</v>
      </c>
      <c r="BC137" s="166">
        <v>1</v>
      </c>
      <c r="BD137" s="166">
        <v>2</v>
      </c>
      <c r="BE137" s="166">
        <v>1</v>
      </c>
      <c r="BF137" s="166">
        <v>1</v>
      </c>
      <c r="BG137" s="166">
        <v>1</v>
      </c>
      <c r="BH137" s="167">
        <v>2</v>
      </c>
      <c r="BI137" s="167">
        <v>1</v>
      </c>
      <c r="BJ137" s="167">
        <v>1</v>
      </c>
      <c r="BK137" s="166">
        <v>1</v>
      </c>
      <c r="BL137" s="166">
        <v>1</v>
      </c>
      <c r="BM137" t="s" s="170">
        <v>1433</v>
      </c>
    </row>
    <row r="138" ht="72" customHeight="1">
      <c r="A138" s="19"/>
      <c r="B138" s="116"/>
      <c r="C138" s="21"/>
      <c r="D138" s="22"/>
      <c r="E138" s="22"/>
      <c r="F138" s="22"/>
      <c r="G138" s="22"/>
      <c r="H138" s="22"/>
      <c r="I138" s="22"/>
      <c r="J138" s="22"/>
      <c r="K138" s="22"/>
      <c r="L138" s="22"/>
      <c r="M138" s="22"/>
      <c r="N138" s="22"/>
      <c r="O138" s="22"/>
      <c r="P138" s="623"/>
      <c r="Q138" s="22"/>
      <c r="R138" s="22"/>
      <c r="S138" s="22"/>
      <c r="T138" s="22"/>
      <c r="U138" s="22"/>
      <c r="V138" s="22"/>
      <c r="W138" s="211"/>
      <c r="X138" s="22"/>
      <c r="Y138" s="211"/>
      <c r="Z138" s="22"/>
      <c r="AA138" s="22"/>
      <c r="AB138" s="22"/>
      <c r="AC138" s="22"/>
      <c r="AD138" s="22"/>
      <c r="AE138" s="211"/>
      <c r="AF138" s="22"/>
      <c r="AG138" s="22"/>
      <c r="AH138" s="22"/>
      <c r="AI138" s="22"/>
      <c r="AJ138" s="22"/>
      <c r="AK138" s="22"/>
      <c r="AL138" s="22"/>
      <c r="AM138" s="22"/>
      <c r="AN138" s="22"/>
      <c r="AO138" s="22"/>
      <c r="AP138" s="22"/>
      <c r="AQ138" s="22"/>
      <c r="AR138" t="s" s="209">
        <v>1434</v>
      </c>
      <c r="AS138" s="242"/>
      <c r="AT138" s="208">
        <v>1987</v>
      </c>
      <c r="AU138" t="s" s="209">
        <v>197</v>
      </c>
      <c r="AV138" t="s" s="182">
        <v>1435</v>
      </c>
      <c r="AW138" s="211"/>
      <c r="AX138" s="211"/>
      <c r="AY138" s="22"/>
      <c r="AZ138" s="22"/>
      <c r="BA138" s="22"/>
      <c r="BB138" s="22"/>
      <c r="BC138" s="22"/>
      <c r="BD138" s="22"/>
      <c r="BE138" s="22"/>
      <c r="BF138" s="22"/>
      <c r="BG138" s="22"/>
      <c r="BH138" s="22"/>
      <c r="BI138" s="22"/>
      <c r="BJ138" s="22"/>
      <c r="BK138" s="22"/>
      <c r="BL138" s="22"/>
      <c r="BM138" s="211"/>
    </row>
    <row r="139" ht="72" customHeight="1">
      <c r="A139" s="19"/>
      <c r="B139" s="116"/>
      <c r="C139" s="21"/>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t="s" s="209">
        <v>1436</v>
      </c>
      <c r="AS139" s="242"/>
      <c r="AT139" s="208">
        <v>2011</v>
      </c>
      <c r="AU139" t="s" s="209">
        <v>1437</v>
      </c>
      <c r="AV139" t="s" s="661">
        <v>1435</v>
      </c>
      <c r="AW139" s="211"/>
      <c r="AX139" s="211"/>
      <c r="AY139" s="22"/>
      <c r="AZ139" s="22"/>
      <c r="BA139" s="22"/>
      <c r="BB139" s="22"/>
      <c r="BC139" s="22"/>
      <c r="BD139" s="22"/>
      <c r="BE139" s="22"/>
      <c r="BF139" s="22"/>
      <c r="BG139" s="22"/>
      <c r="BH139" s="22"/>
      <c r="BI139" s="22"/>
      <c r="BJ139" s="22"/>
      <c r="BK139" s="22"/>
      <c r="BL139" s="22"/>
      <c r="BM139" s="211"/>
    </row>
    <row r="140" ht="15" customHeight="1">
      <c r="A140" s="19"/>
      <c r="B140" s="116"/>
      <c r="C140" s="21"/>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11"/>
    </row>
    <row r="141" ht="15" customHeight="1">
      <c r="A141" s="19"/>
      <c r="B141" s="116"/>
      <c r="C141" s="21"/>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11"/>
    </row>
    <row r="142" ht="15" customHeight="1">
      <c r="A142" s="23"/>
      <c r="B142" s="117"/>
      <c r="C142" s="25"/>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row>
    <row r="143" ht="72.75" customHeight="1">
      <c r="A143" s="52">
        <v>15</v>
      </c>
      <c r="B143" t="s" s="111">
        <v>40</v>
      </c>
      <c r="C143" s="662">
        <v>1</v>
      </c>
      <c r="D143" t="s" s="663">
        <v>200</v>
      </c>
      <c r="E143" s="664">
        <v>4</v>
      </c>
      <c r="F143" t="s" s="112">
        <v>1438</v>
      </c>
      <c r="G143" t="s" s="482">
        <v>1439</v>
      </c>
      <c r="H143" s="285">
        <v>1</v>
      </c>
      <c r="I143" t="s" s="112">
        <v>230</v>
      </c>
      <c r="J143" t="s" s="483">
        <v>1440</v>
      </c>
      <c r="K143" s="285">
        <v>1000</v>
      </c>
      <c r="L143" s="554">
        <v>24000</v>
      </c>
      <c r="M143" t="s" s="283">
        <v>1441</v>
      </c>
      <c r="N143" s="285">
        <v>180</v>
      </c>
      <c r="O143" t="s" s="82">
        <v>1442</v>
      </c>
      <c r="P143" t="s" s="112">
        <v>1443</v>
      </c>
      <c r="Q143" t="s" s="506">
        <v>1444</v>
      </c>
      <c r="R143" s="285">
        <v>1</v>
      </c>
      <c r="S143" s="285">
        <v>1</v>
      </c>
      <c r="T143" s="285">
        <v>1</v>
      </c>
      <c r="U143" t="s" s="483">
        <v>1445</v>
      </c>
      <c r="V143" s="285">
        <v>1</v>
      </c>
      <c r="W143" t="s" s="635">
        <v>1446</v>
      </c>
      <c r="X143" s="285">
        <v>2</v>
      </c>
      <c r="Y143" s="123"/>
      <c r="Z143" s="285">
        <v>1</v>
      </c>
      <c r="AA143" t="s" s="484">
        <v>1447</v>
      </c>
      <c r="AB143" t="s" s="82">
        <v>1448</v>
      </c>
      <c r="AC143" s="285">
        <v>33</v>
      </c>
      <c r="AD143" s="285">
        <v>2</v>
      </c>
      <c r="AE143" t="s" s="484">
        <v>1449</v>
      </c>
      <c r="AF143" t="s" s="112">
        <v>1450</v>
      </c>
      <c r="AG143" s="285">
        <v>2</v>
      </c>
      <c r="AH143" t="s" s="506">
        <v>1451</v>
      </c>
      <c r="AI143" s="477">
        <v>0.2</v>
      </c>
      <c r="AJ143" s="285">
        <v>2</v>
      </c>
      <c r="AK143" t="s" s="82">
        <v>197</v>
      </c>
      <c r="AL143" t="s" s="112">
        <v>1452</v>
      </c>
      <c r="AM143" t="s" s="112">
        <v>1453</v>
      </c>
      <c r="AN143" s="285">
        <v>1</v>
      </c>
      <c r="AO143" s="337">
        <v>1</v>
      </c>
      <c r="AP143" s="284">
        <v>1</v>
      </c>
      <c r="AQ143" s="284">
        <v>1</v>
      </c>
      <c r="AR143" t="s" s="112">
        <v>1454</v>
      </c>
      <c r="AS143" s="665">
        <v>80</v>
      </c>
      <c r="AT143" t="s" s="112">
        <v>1455</v>
      </c>
      <c r="AU143" t="s" s="112">
        <v>1456</v>
      </c>
      <c r="AV143" s="123"/>
      <c r="AW143" t="s" s="112">
        <v>1457</v>
      </c>
      <c r="AX143" t="s" s="112">
        <v>1458</v>
      </c>
      <c r="AY143" t="s" s="112">
        <v>1442</v>
      </c>
      <c r="AZ143" t="s" s="112">
        <v>1459</v>
      </c>
      <c r="BA143" s="285">
        <v>1</v>
      </c>
      <c r="BB143" s="285">
        <v>1</v>
      </c>
      <c r="BC143" s="285">
        <v>1</v>
      </c>
      <c r="BD143" s="285">
        <v>2</v>
      </c>
      <c r="BE143" s="285">
        <v>1</v>
      </c>
      <c r="BF143" s="285">
        <v>1</v>
      </c>
      <c r="BG143" s="285">
        <v>1</v>
      </c>
      <c r="BH143" t="s" s="584">
        <v>1460</v>
      </c>
      <c r="BI143" s="285">
        <v>2</v>
      </c>
      <c r="BJ143" s="285">
        <v>2</v>
      </c>
      <c r="BK143" s="285">
        <v>1</v>
      </c>
      <c r="BL143" s="285">
        <v>1</v>
      </c>
      <c r="BM143" t="s" s="296">
        <v>1461</v>
      </c>
    </row>
    <row r="144" ht="29.25" customHeight="1">
      <c r="A144" s="56"/>
      <c r="B144" s="113"/>
      <c r="C144" s="58"/>
      <c r="D144" s="373"/>
      <c r="E144" s="59"/>
      <c r="F144" t="s" s="303">
        <v>1462</v>
      </c>
      <c r="G144" s="488"/>
      <c r="H144" s="59"/>
      <c r="I144" s="59"/>
      <c r="J144" s="59"/>
      <c r="K144" s="59"/>
      <c r="L144" s="59"/>
      <c r="M144" s="59"/>
      <c r="N144" s="59"/>
      <c r="O144" s="59"/>
      <c r="P144" s="59"/>
      <c r="Q144" s="666"/>
      <c r="R144" s="667"/>
      <c r="S144" s="667"/>
      <c r="T144" s="667"/>
      <c r="U144" s="667"/>
      <c r="V144" s="59"/>
      <c r="W144" s="465"/>
      <c r="X144" s="59"/>
      <c r="Y144" s="59"/>
      <c r="Z144" s="59"/>
      <c r="AA144" s="491"/>
      <c r="AB144" s="59"/>
      <c r="AC144" s="59"/>
      <c r="AD144" s="59"/>
      <c r="AE144" s="491"/>
      <c r="AF144" s="668"/>
      <c r="AG144" s="59"/>
      <c r="AH144" s="510"/>
      <c r="AI144" s="59"/>
      <c r="AJ144" s="59"/>
      <c r="AK144" s="59"/>
      <c r="AL144" s="59"/>
      <c r="AM144" s="59"/>
      <c r="AN144" s="59"/>
      <c r="AO144" s="59"/>
      <c r="AP144" s="59"/>
      <c r="AQ144" s="59"/>
      <c r="AR144" t="s" s="531">
        <v>1463</v>
      </c>
      <c r="AS144" s="297"/>
      <c r="AT144" t="s" s="247">
        <v>1464</v>
      </c>
      <c r="AU144" t="s" s="247">
        <v>1465</v>
      </c>
      <c r="AV144" t="s" s="247">
        <v>1466</v>
      </c>
      <c r="AW144" s="59"/>
      <c r="AX144" s="59"/>
      <c r="AY144" s="59"/>
      <c r="AZ144" s="59"/>
      <c r="BA144" s="59"/>
      <c r="BB144" s="59"/>
      <c r="BC144" s="59"/>
      <c r="BD144" s="59"/>
      <c r="BE144" s="59"/>
      <c r="BF144" s="59"/>
      <c r="BG144" s="59"/>
      <c r="BH144" s="59"/>
      <c r="BI144" s="59"/>
      <c r="BJ144" s="59"/>
      <c r="BK144" s="59"/>
      <c r="BL144" s="59"/>
      <c r="BM144" s="305"/>
    </row>
    <row r="145" ht="30.75" customHeight="1">
      <c r="A145" s="56"/>
      <c r="B145" s="113"/>
      <c r="C145" s="58"/>
      <c r="D145" s="59"/>
      <c r="E145" s="59"/>
      <c r="F145" s="59"/>
      <c r="G145" s="488"/>
      <c r="H145" s="59"/>
      <c r="I145" s="59"/>
      <c r="J145" s="59"/>
      <c r="K145" s="59"/>
      <c r="L145" s="59"/>
      <c r="M145" s="59"/>
      <c r="N145" s="59"/>
      <c r="O145" s="59"/>
      <c r="P145" s="669"/>
      <c r="Q145" t="s" s="670">
        <v>1467</v>
      </c>
      <c r="R145" t="s" s="670">
        <v>1468</v>
      </c>
      <c r="S145" t="s" s="670">
        <v>1469</v>
      </c>
      <c r="T145" t="s" s="670">
        <v>1470</v>
      </c>
      <c r="U145" t="s" s="670">
        <v>1471</v>
      </c>
      <c r="V145" s="671"/>
      <c r="W145" s="465"/>
      <c r="X145" s="59"/>
      <c r="Y145" s="59"/>
      <c r="Z145" s="59"/>
      <c r="AA145" s="491"/>
      <c r="AB145" s="59"/>
      <c r="AC145" s="59"/>
      <c r="AD145" s="59"/>
      <c r="AE145" s="491"/>
      <c r="AF145" s="59"/>
      <c r="AG145" s="59"/>
      <c r="AH145" s="510"/>
      <c r="AI145" s="59"/>
      <c r="AJ145" s="59"/>
      <c r="AK145" s="59"/>
      <c r="AL145" s="59"/>
      <c r="AM145" s="59"/>
      <c r="AN145" s="59"/>
      <c r="AO145" s="59"/>
      <c r="AP145" s="59"/>
      <c r="AQ145" s="59"/>
      <c r="AR145" t="s" s="531">
        <v>1472</v>
      </c>
      <c r="AS145" s="297"/>
      <c r="AT145" t="s" s="247">
        <v>1473</v>
      </c>
      <c r="AU145" t="s" s="247">
        <v>1474</v>
      </c>
      <c r="AV145" t="s" s="247">
        <v>1475</v>
      </c>
      <c r="AW145" s="59"/>
      <c r="AX145" s="59"/>
      <c r="AY145" s="59"/>
      <c r="AZ145" s="59"/>
      <c r="BA145" s="59"/>
      <c r="BB145" s="59"/>
      <c r="BC145" s="59"/>
      <c r="BD145" s="59"/>
      <c r="BE145" s="59"/>
      <c r="BF145" s="59"/>
      <c r="BG145" s="59"/>
      <c r="BH145" s="59"/>
      <c r="BI145" s="59"/>
      <c r="BJ145" s="59"/>
      <c r="BK145" s="59"/>
      <c r="BL145" s="59"/>
      <c r="BM145" s="305"/>
    </row>
    <row r="146" ht="165" customHeight="1">
      <c r="A146" s="56"/>
      <c r="B146" s="113"/>
      <c r="C146" s="58"/>
      <c r="D146" s="59"/>
      <c r="E146" s="59"/>
      <c r="F146" s="59"/>
      <c r="G146" s="488"/>
      <c r="H146" s="59"/>
      <c r="I146" s="59"/>
      <c r="J146" s="59"/>
      <c r="K146" s="59"/>
      <c r="L146" s="59"/>
      <c r="M146" s="59"/>
      <c r="N146" s="59"/>
      <c r="O146" s="59"/>
      <c r="P146" s="669"/>
      <c r="Q146" t="s" s="672">
        <v>1476</v>
      </c>
      <c r="R146" t="s" s="672">
        <v>1477</v>
      </c>
      <c r="S146" t="s" s="673">
        <v>1478</v>
      </c>
      <c r="T146" t="s" s="673">
        <v>1479</v>
      </c>
      <c r="U146" t="s" s="674">
        <v>1480</v>
      </c>
      <c r="V146" s="671"/>
      <c r="W146" s="59"/>
      <c r="X146" s="59"/>
      <c r="Y146" s="59"/>
      <c r="Z146" s="59"/>
      <c r="AA146" s="59"/>
      <c r="AB146" s="59"/>
      <c r="AC146" s="59"/>
      <c r="AD146" s="59"/>
      <c r="AE146" s="491"/>
      <c r="AF146" s="59"/>
      <c r="AG146" s="59"/>
      <c r="AH146" s="510"/>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305"/>
    </row>
    <row r="147" ht="29.25" customHeight="1">
      <c r="A147" s="56"/>
      <c r="B147" s="113"/>
      <c r="C147" s="58"/>
      <c r="D147" s="59"/>
      <c r="E147" s="59"/>
      <c r="F147" s="59"/>
      <c r="G147" s="488"/>
      <c r="H147" s="59"/>
      <c r="I147" s="59"/>
      <c r="J147" s="59"/>
      <c r="K147" s="59"/>
      <c r="L147" s="59"/>
      <c r="M147" s="59"/>
      <c r="N147" s="59"/>
      <c r="O147" s="59"/>
      <c r="P147" s="669"/>
      <c r="Q147" s="675"/>
      <c r="R147" t="s" s="676">
        <v>1481</v>
      </c>
      <c r="S147" s="677"/>
      <c r="T147" t="s" s="678">
        <v>1482</v>
      </c>
      <c r="U147" s="679"/>
      <c r="V147" s="671"/>
      <c r="W147" s="59"/>
      <c r="X147" s="59"/>
      <c r="Y147" s="59"/>
      <c r="Z147" s="59"/>
      <c r="AA147" s="59"/>
      <c r="AB147" s="59"/>
      <c r="AC147" s="59"/>
      <c r="AD147" s="59"/>
      <c r="AE147" s="491"/>
      <c r="AF147" s="59"/>
      <c r="AG147" s="59"/>
      <c r="AH147" s="510"/>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row>
    <row r="148" ht="45.75" customHeight="1">
      <c r="A148" s="56"/>
      <c r="B148" s="113"/>
      <c r="C148" s="58"/>
      <c r="D148" s="59"/>
      <c r="E148" s="59"/>
      <c r="F148" s="59"/>
      <c r="G148" s="59"/>
      <c r="H148" s="59"/>
      <c r="I148" s="59"/>
      <c r="J148" s="59"/>
      <c r="K148" s="59"/>
      <c r="L148" s="59"/>
      <c r="M148" s="59"/>
      <c r="N148" s="59"/>
      <c r="O148" s="59"/>
      <c r="P148" s="669"/>
      <c r="Q148" t="s" s="670">
        <v>1483</v>
      </c>
      <c r="R148" s="680"/>
      <c r="S148" t="s" s="670">
        <v>1484</v>
      </c>
      <c r="T148" s="681">
        <v>1246.55</v>
      </c>
      <c r="U148" t="s" s="682">
        <v>1485</v>
      </c>
      <c r="V148" s="671"/>
      <c r="W148" s="59"/>
      <c r="X148" s="59"/>
      <c r="Y148" s="59"/>
      <c r="Z148" s="59"/>
      <c r="AA148" s="59"/>
      <c r="AB148" s="59"/>
      <c r="AC148" s="59"/>
      <c r="AD148" s="59"/>
      <c r="AE148" s="491"/>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row>
    <row r="149" ht="30" customHeight="1">
      <c r="A149" s="119"/>
      <c r="B149" s="114"/>
      <c r="C149" s="63"/>
      <c r="D149" s="64"/>
      <c r="E149" s="64"/>
      <c r="F149" s="64"/>
      <c r="G149" s="64"/>
      <c r="H149" s="64"/>
      <c r="I149" s="64"/>
      <c r="J149" s="64"/>
      <c r="K149" s="64"/>
      <c r="L149" s="64"/>
      <c r="M149" s="64"/>
      <c r="N149" s="64"/>
      <c r="O149" s="64"/>
      <c r="P149" s="683"/>
      <c r="Q149" t="s" s="684">
        <v>1486</v>
      </c>
      <c r="R149" s="685"/>
      <c r="S149" s="686">
        <v>2147.1</v>
      </c>
      <c r="T149" t="s" s="687">
        <v>1487</v>
      </c>
      <c r="U149" t="s" s="687">
        <v>1488</v>
      </c>
      <c r="V149" s="688"/>
      <c r="W149" s="64"/>
      <c r="X149" s="64"/>
      <c r="Y149" s="64"/>
      <c r="Z149" s="64"/>
      <c r="AA149" s="64"/>
      <c r="AB149" s="64"/>
      <c r="AC149" s="64"/>
      <c r="AD149" s="64"/>
      <c r="AE149" s="689"/>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row>
    <row r="150" ht="36" customHeight="1">
      <c r="A150" s="15">
        <v>16</v>
      </c>
      <c r="B150" t="s" s="115">
        <v>43</v>
      </c>
      <c r="C150" s="620">
        <v>2</v>
      </c>
      <c r="D150" t="s" s="170">
        <v>1489</v>
      </c>
      <c r="E150" s="660">
        <v>1</v>
      </c>
      <c r="F150" t="s" s="170">
        <v>1490</v>
      </c>
      <c r="G150" t="s" s="170">
        <v>1491</v>
      </c>
      <c r="H150" s="660">
        <v>1</v>
      </c>
      <c r="I150" t="s" s="170">
        <v>1492</v>
      </c>
      <c r="J150" t="s" s="173">
        <v>1493</v>
      </c>
      <c r="K150" s="690">
        <v>30000</v>
      </c>
      <c r="L150" s="690">
        <v>220000</v>
      </c>
      <c r="M150" s="639"/>
      <c r="N150" s="254">
        <v>3300</v>
      </c>
      <c r="O150" t="s" s="171">
        <v>1494</v>
      </c>
      <c r="P150" t="s" s="171">
        <v>1495</v>
      </c>
      <c r="Q150" t="s" s="170">
        <v>1496</v>
      </c>
      <c r="R150" s="167">
        <v>1</v>
      </c>
      <c r="S150" s="166">
        <v>2</v>
      </c>
      <c r="T150" s="166">
        <v>1</v>
      </c>
      <c r="U150" t="s" s="170">
        <v>1497</v>
      </c>
      <c r="V150" s="166">
        <v>1</v>
      </c>
      <c r="W150" t="s" s="170">
        <v>1498</v>
      </c>
      <c r="X150" s="166">
        <v>2</v>
      </c>
      <c r="Y150" s="169"/>
      <c r="Z150" s="166">
        <v>1</v>
      </c>
      <c r="AA150" t="s" s="170">
        <v>1499</v>
      </c>
      <c r="AB150" t="s" s="18">
        <v>1500</v>
      </c>
      <c r="AC150" s="560">
        <v>0.436</v>
      </c>
      <c r="AD150" s="166">
        <v>2</v>
      </c>
      <c r="AE150" t="s" s="170">
        <v>1501</v>
      </c>
      <c r="AF150" t="s" s="18">
        <v>1502</v>
      </c>
      <c r="AG150" s="166">
        <v>2</v>
      </c>
      <c r="AH150" t="s" s="170">
        <v>1503</v>
      </c>
      <c r="AI150" t="s" s="171">
        <v>1504</v>
      </c>
      <c r="AJ150" s="166">
        <v>1</v>
      </c>
      <c r="AK150" t="s" s="171">
        <v>1505</v>
      </c>
      <c r="AL150" t="s" s="18">
        <v>1506</v>
      </c>
      <c r="AM150" t="s" s="18">
        <v>1507</v>
      </c>
      <c r="AN150" s="166">
        <v>2</v>
      </c>
      <c r="AO150" s="559">
        <v>1</v>
      </c>
      <c r="AP150" s="166">
        <v>3</v>
      </c>
      <c r="AQ150" s="166">
        <v>3</v>
      </c>
      <c r="AR150" t="s" s="171">
        <v>1508</v>
      </c>
      <c r="AS150" s="559">
        <v>0.12</v>
      </c>
      <c r="AT150" t="s" s="171">
        <v>1509</v>
      </c>
      <c r="AU150" t="s" s="18">
        <v>1510</v>
      </c>
      <c r="AV150" t="s" s="171">
        <v>1511</v>
      </c>
      <c r="AW150" t="s" s="18">
        <v>197</v>
      </c>
      <c r="AX150" t="s" s="18">
        <v>197</v>
      </c>
      <c r="AY150" t="s" s="171">
        <v>1512</v>
      </c>
      <c r="AZ150" t="s" s="171">
        <v>1513</v>
      </c>
      <c r="BA150" s="166">
        <v>1</v>
      </c>
      <c r="BB150" s="166">
        <v>1</v>
      </c>
      <c r="BC150" s="166">
        <v>1</v>
      </c>
      <c r="BD150" s="166">
        <v>1</v>
      </c>
      <c r="BE150" s="166">
        <v>1</v>
      </c>
      <c r="BF150" s="167">
        <v>1</v>
      </c>
      <c r="BG150" s="166">
        <v>1</v>
      </c>
      <c r="BH150" t="s" s="18">
        <v>1514</v>
      </c>
      <c r="BI150" s="166">
        <v>1</v>
      </c>
      <c r="BJ150" s="166">
        <v>1</v>
      </c>
      <c r="BK150" s="166">
        <v>1</v>
      </c>
      <c r="BL150" s="166">
        <v>1</v>
      </c>
      <c r="BM150" t="s" s="170">
        <v>1515</v>
      </c>
    </row>
    <row r="151" ht="55.5" customHeight="1">
      <c r="A151" s="19"/>
      <c r="B151" s="120"/>
      <c r="C151" s="21"/>
      <c r="D151" s="211"/>
      <c r="E151" s="242"/>
      <c r="F151" s="211"/>
      <c r="G151" s="211"/>
      <c r="H151" s="242"/>
      <c r="I151" s="211"/>
      <c r="J151" s="242"/>
      <c r="K151" s="211"/>
      <c r="L151" s="178"/>
      <c r="M151" s="242"/>
      <c r="N151" s="211"/>
      <c r="O151" s="22"/>
      <c r="P151" s="623"/>
      <c r="Q151" s="211"/>
      <c r="R151" s="22"/>
      <c r="S151" s="22"/>
      <c r="T151" s="22"/>
      <c r="U151" s="211"/>
      <c r="V151" s="22"/>
      <c r="W151" s="211"/>
      <c r="X151" s="22"/>
      <c r="Y151" s="22"/>
      <c r="Z151" s="22"/>
      <c r="AA151" s="211"/>
      <c r="AB151" s="22"/>
      <c r="AC151" s="22"/>
      <c r="AD151" s="22"/>
      <c r="AE151" s="211"/>
      <c r="AF151" s="22"/>
      <c r="AG151" s="22"/>
      <c r="AH151" s="211"/>
      <c r="AI151" s="22"/>
      <c r="AJ151" s="22"/>
      <c r="AK151" t="s" s="691">
        <v>1516</v>
      </c>
      <c r="AL151" s="22"/>
      <c r="AM151" s="22"/>
      <c r="AN151" s="22"/>
      <c r="AO151" s="22"/>
      <c r="AP151" s="22"/>
      <c r="AQ151" s="22"/>
      <c r="AR151" t="s" s="182">
        <v>1517</v>
      </c>
      <c r="AS151" s="517">
        <v>0.83</v>
      </c>
      <c r="AT151" t="s" s="182">
        <v>1518</v>
      </c>
      <c r="AU151" t="s" s="182">
        <v>1519</v>
      </c>
      <c r="AV151" t="s" s="182">
        <v>1520</v>
      </c>
      <c r="AW151" t="s" s="209">
        <v>197</v>
      </c>
      <c r="AX151" t="s" s="209">
        <v>197</v>
      </c>
      <c r="AY151" s="22"/>
      <c r="AZ151" s="22"/>
      <c r="BA151" s="22"/>
      <c r="BB151" s="22"/>
      <c r="BC151" s="22"/>
      <c r="BD151" s="22"/>
      <c r="BE151" s="22"/>
      <c r="BF151" s="22"/>
      <c r="BG151" s="22"/>
      <c r="BH151" s="22"/>
      <c r="BI151" s="22"/>
      <c r="BJ151" s="22"/>
      <c r="BK151" s="22"/>
      <c r="BL151" s="22"/>
      <c r="BM151" s="211"/>
    </row>
    <row r="152" ht="108" customHeight="1">
      <c r="A152" s="19"/>
      <c r="B152" s="120"/>
      <c r="C152" s="21"/>
      <c r="D152" t="s" s="182">
        <v>1521</v>
      </c>
      <c r="E152" s="208">
        <v>2</v>
      </c>
      <c r="F152" t="s" s="182">
        <v>1522</v>
      </c>
      <c r="G152" t="s" s="182">
        <v>1523</v>
      </c>
      <c r="H152" s="208">
        <v>2</v>
      </c>
      <c r="I152" t="s" s="182">
        <v>1524</v>
      </c>
      <c r="J152" t="s" s="209">
        <v>1525</v>
      </c>
      <c r="K152" s="22"/>
      <c r="L152" s="208">
        <v>3244</v>
      </c>
      <c r="M152" s="22"/>
      <c r="N152" s="183">
        <v>30</v>
      </c>
      <c r="O152" s="22"/>
      <c r="P152" s="22"/>
      <c r="Q152" s="22"/>
      <c r="R152" s="22"/>
      <c r="S152" s="22"/>
      <c r="T152" s="22"/>
      <c r="U152" s="211"/>
      <c r="V152" s="22"/>
      <c r="W152" s="211"/>
      <c r="X152" s="22"/>
      <c r="Y152" s="22"/>
      <c r="Z152" s="22"/>
      <c r="AA152" s="211"/>
      <c r="AB152" s="22"/>
      <c r="AC152" s="22"/>
      <c r="AD152" s="22"/>
      <c r="AE152" s="22"/>
      <c r="AF152" s="22"/>
      <c r="AG152" s="22"/>
      <c r="AH152" s="211"/>
      <c r="AI152" s="22"/>
      <c r="AJ152" s="22"/>
      <c r="AK152" s="22"/>
      <c r="AL152" s="22"/>
      <c r="AM152" s="22"/>
      <c r="AN152" s="22"/>
      <c r="AO152" s="22"/>
      <c r="AP152" s="22"/>
      <c r="AQ152" s="22"/>
      <c r="AR152" t="s" s="182">
        <v>1526</v>
      </c>
      <c r="AS152" s="517">
        <v>0.05</v>
      </c>
      <c r="AT152" t="s" s="209">
        <v>1527</v>
      </c>
      <c r="AU152" t="s" s="209">
        <v>1528</v>
      </c>
      <c r="AV152" t="s" s="209">
        <v>197</v>
      </c>
      <c r="AW152" t="s" s="209">
        <v>197</v>
      </c>
      <c r="AX152" t="s" s="209">
        <v>197</v>
      </c>
      <c r="AY152" s="22"/>
      <c r="AZ152" s="22"/>
      <c r="BA152" s="22"/>
      <c r="BB152" s="22"/>
      <c r="BC152" s="22"/>
      <c r="BD152" s="22"/>
      <c r="BE152" s="22"/>
      <c r="BF152" s="22"/>
      <c r="BG152" s="22"/>
      <c r="BH152" s="22"/>
      <c r="BI152" s="22"/>
      <c r="BJ152" s="22"/>
      <c r="BK152" s="22"/>
      <c r="BL152" s="22"/>
      <c r="BM152" s="22"/>
    </row>
    <row r="153" ht="15" customHeight="1">
      <c r="A153" s="19"/>
      <c r="B153" s="120"/>
      <c r="C153" s="21"/>
      <c r="D153" s="22"/>
      <c r="E153" s="22"/>
      <c r="F153" s="22"/>
      <c r="G153" s="22"/>
      <c r="H153" s="22"/>
      <c r="I153" s="22"/>
      <c r="J153" s="22"/>
      <c r="K153" s="22"/>
      <c r="L153" s="22"/>
      <c r="M153" s="22"/>
      <c r="N153" s="22"/>
      <c r="O153" s="22"/>
      <c r="P153" s="22"/>
      <c r="Q153" s="22"/>
      <c r="R153" s="22"/>
      <c r="S153" s="22"/>
      <c r="T153" s="22"/>
      <c r="U153" s="211"/>
      <c r="V153" s="22"/>
      <c r="W153" s="22"/>
      <c r="X153" s="22"/>
      <c r="Y153" s="22"/>
      <c r="Z153" s="22"/>
      <c r="AA153" s="211"/>
      <c r="AB153" s="22"/>
      <c r="AC153" s="22"/>
      <c r="AD153" s="22"/>
      <c r="AE153" s="22"/>
      <c r="AF153" s="22"/>
      <c r="AG153" s="22"/>
      <c r="AH153" s="22"/>
      <c r="AI153" s="22"/>
      <c r="AJ153" s="22"/>
      <c r="AK153" s="22"/>
      <c r="AL153" s="22"/>
      <c r="AM153" s="22"/>
      <c r="AN153" s="22"/>
      <c r="AO153" s="22"/>
      <c r="AP153" s="22"/>
      <c r="AQ153" s="22"/>
      <c r="AR153" s="22"/>
      <c r="AS153" s="316"/>
      <c r="AT153" s="316"/>
      <c r="AU153" s="316"/>
      <c r="AV153" s="316"/>
      <c r="AW153" s="22"/>
      <c r="AX153" s="22"/>
      <c r="AY153" s="22"/>
      <c r="AZ153" s="22"/>
      <c r="BA153" s="22"/>
      <c r="BB153" s="22"/>
      <c r="BC153" s="22"/>
      <c r="BD153" s="22"/>
      <c r="BE153" s="22"/>
      <c r="BF153" s="22"/>
      <c r="BG153" s="22"/>
      <c r="BH153" s="22"/>
      <c r="BI153" s="22"/>
      <c r="BJ153" s="22"/>
      <c r="BK153" s="22"/>
      <c r="BL153" s="22"/>
      <c r="BM153" s="22"/>
    </row>
    <row r="154" ht="15" customHeight="1">
      <c r="A154" s="19"/>
      <c r="B154" s="120"/>
      <c r="C154" s="21"/>
      <c r="D154" s="22"/>
      <c r="E154" s="22"/>
      <c r="F154" s="22"/>
      <c r="G154" s="22"/>
      <c r="H154" s="22"/>
      <c r="I154" s="22"/>
      <c r="J154" s="22"/>
      <c r="K154" s="22"/>
      <c r="L154" s="22"/>
      <c r="M154" s="22"/>
      <c r="N154" s="22"/>
      <c r="O154" s="22"/>
      <c r="P154" s="22"/>
      <c r="Q154" s="22"/>
      <c r="R154" s="22"/>
      <c r="S154" s="22"/>
      <c r="T154" s="22"/>
      <c r="U154" s="211"/>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row>
    <row r="155" ht="15" customHeight="1">
      <c r="A155" s="19"/>
      <c r="B155" s="120"/>
      <c r="C155" s="21"/>
      <c r="D155" s="22"/>
      <c r="E155" s="22"/>
      <c r="F155" s="22"/>
      <c r="G155" s="22"/>
      <c r="H155" s="22"/>
      <c r="I155" s="22"/>
      <c r="J155" s="22"/>
      <c r="K155" s="22"/>
      <c r="L155" s="22"/>
      <c r="M155" s="22"/>
      <c r="N155" s="22"/>
      <c r="O155" s="22"/>
      <c r="P155" s="22"/>
      <c r="Q155" s="22"/>
      <c r="R155" s="22"/>
      <c r="S155" s="22"/>
      <c r="T155" s="22"/>
      <c r="U155" s="211"/>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row>
    <row r="156" ht="28.5" customHeight="1">
      <c r="A156" s="19"/>
      <c r="B156" s="120"/>
      <c r="C156" s="21"/>
      <c r="D156" s="22"/>
      <c r="E156" s="22"/>
      <c r="F156" s="22"/>
      <c r="G156" s="22"/>
      <c r="H156" s="22"/>
      <c r="I156" s="22"/>
      <c r="J156" s="22"/>
      <c r="K156" s="22"/>
      <c r="L156" s="22"/>
      <c r="M156" s="22"/>
      <c r="N156" s="22"/>
      <c r="O156" s="22"/>
      <c r="P156" s="22"/>
      <c r="Q156" s="22"/>
      <c r="R156" s="22"/>
      <c r="S156" s="22"/>
      <c r="T156" s="22"/>
      <c r="U156" s="211"/>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row>
    <row r="157" ht="28.5" customHeight="1">
      <c r="A157" s="19"/>
      <c r="B157" s="120"/>
      <c r="C157" s="21"/>
      <c r="D157" s="22"/>
      <c r="E157" s="22"/>
      <c r="F157" s="22"/>
      <c r="G157" s="22"/>
      <c r="H157" s="22"/>
      <c r="I157" s="22"/>
      <c r="J157" s="22"/>
      <c r="K157" s="22"/>
      <c r="L157" s="22"/>
      <c r="M157" s="22"/>
      <c r="N157" s="22"/>
      <c r="O157" s="22"/>
      <c r="P157" s="22"/>
      <c r="Q157" s="22"/>
      <c r="R157" s="22"/>
      <c r="S157" s="22"/>
      <c r="T157" s="22"/>
      <c r="U157" s="211"/>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row>
    <row r="158" ht="28.5" customHeight="1">
      <c r="A158" s="19"/>
      <c r="B158" s="120"/>
      <c r="C158" s="21"/>
      <c r="D158" s="22"/>
      <c r="E158" s="22"/>
      <c r="F158" s="22"/>
      <c r="G158" s="22"/>
      <c r="H158" s="22"/>
      <c r="I158" s="22"/>
      <c r="J158" s="22"/>
      <c r="K158" s="22"/>
      <c r="L158" s="22"/>
      <c r="M158" s="22"/>
      <c r="N158" s="22"/>
      <c r="O158" s="22"/>
      <c r="P158" s="22"/>
      <c r="Q158" s="22"/>
      <c r="R158" s="22"/>
      <c r="S158" s="22"/>
      <c r="T158" s="22"/>
      <c r="U158" s="211"/>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row>
    <row r="159" ht="28.5" customHeight="1">
      <c r="A159" s="19"/>
      <c r="B159" s="120"/>
      <c r="C159" s="21"/>
      <c r="D159" s="22"/>
      <c r="E159" s="22"/>
      <c r="F159" s="22"/>
      <c r="G159" s="22"/>
      <c r="H159" s="22"/>
      <c r="I159" s="22"/>
      <c r="J159" s="22"/>
      <c r="K159" s="22"/>
      <c r="L159" s="22"/>
      <c r="M159" s="22"/>
      <c r="N159" s="22"/>
      <c r="O159" s="22"/>
      <c r="P159" s="22"/>
      <c r="Q159" s="22"/>
      <c r="R159" s="22"/>
      <c r="S159" s="22"/>
      <c r="T159" s="22"/>
      <c r="U159" s="211"/>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row>
    <row r="160" ht="28.5" customHeight="1">
      <c r="A160" s="19"/>
      <c r="B160" s="120"/>
      <c r="C160" s="21"/>
      <c r="D160" s="22"/>
      <c r="E160" s="22"/>
      <c r="F160" s="22"/>
      <c r="G160" s="22"/>
      <c r="H160" s="22"/>
      <c r="I160" s="22"/>
      <c r="J160" s="22"/>
      <c r="K160" s="22"/>
      <c r="L160" s="22"/>
      <c r="M160" s="22"/>
      <c r="N160" s="22"/>
      <c r="O160" s="22"/>
      <c r="P160" s="22"/>
      <c r="Q160" s="22"/>
      <c r="R160" s="22"/>
      <c r="S160" s="22"/>
      <c r="T160" s="22"/>
      <c r="U160" s="211"/>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row>
    <row r="161" ht="28.5" customHeight="1">
      <c r="A161" s="23"/>
      <c r="B161" s="114"/>
      <c r="C161" s="63"/>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row>
    <row r="162" ht="28.5" customHeight="1">
      <c r="A162" s="121"/>
      <c r="B162" s="122"/>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row>
    <row r="163" ht="28.5" customHeight="1">
      <c r="A163" s="124"/>
      <c r="B163" s="125"/>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row>
    <row r="164" ht="28.5" customHeight="1">
      <c r="A164" s="124"/>
      <c r="B164" s="125"/>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row>
    <row r="165" ht="28.5" customHeight="1">
      <c r="A165" s="124"/>
      <c r="B165" s="125"/>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row>
    <row r="166" ht="28.5" customHeight="1">
      <c r="A166" s="124"/>
      <c r="B166" s="125"/>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row>
    <row r="167" ht="28.5" customHeight="1">
      <c r="A167" s="124"/>
      <c r="B167" s="125"/>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row>
    <row r="168" ht="28.5" customHeight="1">
      <c r="A168" s="124"/>
      <c r="B168" s="125"/>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row>
    <row r="169" ht="28.5" customHeight="1">
      <c r="A169" s="124"/>
      <c r="B169" s="125"/>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row>
    <row r="170" ht="28.5" customHeight="1">
      <c r="A170" s="124"/>
      <c r="B170" s="125"/>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row>
    <row r="171" ht="28.5" customHeight="1">
      <c r="A171" s="124"/>
      <c r="B171" s="125"/>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row>
    <row r="172" ht="28.5" customHeight="1">
      <c r="A172" s="124"/>
      <c r="B172" s="125"/>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row>
    <row r="173" ht="28.5" customHeight="1">
      <c r="A173" s="124"/>
      <c r="B173" s="125"/>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row>
    <row r="174" ht="28.5" customHeight="1">
      <c r="A174" s="124"/>
      <c r="B174" s="125"/>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row>
    <row r="175" ht="28.5" customHeight="1">
      <c r="A175" s="124"/>
      <c r="B175" s="125"/>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row>
    <row r="176" ht="28.5" customHeight="1">
      <c r="A176" s="124"/>
      <c r="B176" s="125"/>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row>
    <row r="177" ht="28.5" customHeight="1">
      <c r="A177" s="124"/>
      <c r="B177" s="125"/>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row>
    <row r="178" ht="28.5" customHeight="1">
      <c r="A178" s="124"/>
      <c r="B178" s="125"/>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row>
  </sheetData>
  <mergeCells count="181">
    <mergeCell ref="B119:B125"/>
    <mergeCell ref="A126:A136"/>
    <mergeCell ref="A137:A142"/>
    <mergeCell ref="A150:A155"/>
    <mergeCell ref="K1:M1"/>
    <mergeCell ref="C2:N2"/>
    <mergeCell ref="K3:M3"/>
    <mergeCell ref="N3:N4"/>
    <mergeCell ref="J102:J104"/>
    <mergeCell ref="D150:D151"/>
    <mergeCell ref="A56:A58"/>
    <mergeCell ref="A70:A80"/>
    <mergeCell ref="A81:A82"/>
    <mergeCell ref="A90:A92"/>
    <mergeCell ref="A110:A118"/>
    <mergeCell ref="A119:A125"/>
    <mergeCell ref="B2:B4"/>
    <mergeCell ref="A5:A12"/>
    <mergeCell ref="A13:A18"/>
    <mergeCell ref="A19:A42"/>
    <mergeCell ref="A43:A47"/>
    <mergeCell ref="A48:A55"/>
    <mergeCell ref="E150:E151"/>
    <mergeCell ref="F150:F151"/>
    <mergeCell ref="O3:O4"/>
    <mergeCell ref="P3:P4"/>
    <mergeCell ref="Q3:Q4"/>
    <mergeCell ref="R3:R4"/>
    <mergeCell ref="S3:S4"/>
    <mergeCell ref="T3:T4"/>
    <mergeCell ref="AY2:AZ2"/>
    <mergeCell ref="BA2:BM2"/>
    <mergeCell ref="C3:C4"/>
    <mergeCell ref="D3:D4"/>
    <mergeCell ref="E3:E4"/>
    <mergeCell ref="F3:F4"/>
    <mergeCell ref="G3:G4"/>
    <mergeCell ref="H3:H4"/>
    <mergeCell ref="I3:I4"/>
    <mergeCell ref="J3:J4"/>
    <mergeCell ref="O2:P2"/>
    <mergeCell ref="Q2:U2"/>
    <mergeCell ref="V2:Y2"/>
    <mergeCell ref="Z2:AM2"/>
    <mergeCell ref="AN2:AQ2"/>
    <mergeCell ref="AR2:AX2"/>
    <mergeCell ref="AA3:AA4"/>
    <mergeCell ref="AB3:AB4"/>
    <mergeCell ref="AC3:AC4"/>
    <mergeCell ref="AD3:AD4"/>
    <mergeCell ref="AE3:AE4"/>
    <mergeCell ref="AF3:AF4"/>
    <mergeCell ref="U3:U4"/>
    <mergeCell ref="V3:V4"/>
    <mergeCell ref="W3:W4"/>
    <mergeCell ref="X3:X4"/>
    <mergeCell ref="Y3:Y4"/>
    <mergeCell ref="Z3:Z4"/>
    <mergeCell ref="AW3:AW4"/>
    <mergeCell ref="AX3:AX4"/>
    <mergeCell ref="AM3:AM4"/>
    <mergeCell ref="AN3:AN4"/>
    <mergeCell ref="AO3:AO4"/>
    <mergeCell ref="AP3:AP4"/>
    <mergeCell ref="AQ3:AQ4"/>
    <mergeCell ref="AR3:AR4"/>
    <mergeCell ref="AG3:AG4"/>
    <mergeCell ref="AH3:AH4"/>
    <mergeCell ref="AI3:AI4"/>
    <mergeCell ref="AJ3:AJ4"/>
    <mergeCell ref="AK3:AK4"/>
    <mergeCell ref="AL3:AL4"/>
    <mergeCell ref="BK3:BK4"/>
    <mergeCell ref="BL3:BL4"/>
    <mergeCell ref="BM3:BM4"/>
    <mergeCell ref="Q5:Q8"/>
    <mergeCell ref="W5:W8"/>
    <mergeCell ref="AE5:AE11"/>
    <mergeCell ref="AH5:AH8"/>
    <mergeCell ref="AW5:AW8"/>
    <mergeCell ref="BE3:BE4"/>
    <mergeCell ref="BF3:BF4"/>
    <mergeCell ref="BG3:BG4"/>
    <mergeCell ref="BH3:BH4"/>
    <mergeCell ref="BI3:BI4"/>
    <mergeCell ref="BJ3:BJ4"/>
    <mergeCell ref="AY3:AY4"/>
    <mergeCell ref="AZ3:AZ4"/>
    <mergeCell ref="BA3:BA4"/>
    <mergeCell ref="BB3:BB4"/>
    <mergeCell ref="BC3:BC4"/>
    <mergeCell ref="BD3:BD4"/>
    <mergeCell ref="AS3:AS4"/>
    <mergeCell ref="AT3:AT4"/>
    <mergeCell ref="AU3:AU4"/>
    <mergeCell ref="AV3:AV4"/>
    <mergeCell ref="AX13:AX18"/>
    <mergeCell ref="BM13:BM18"/>
    <mergeCell ref="G19:G20"/>
    <mergeCell ref="H19:H20"/>
    <mergeCell ref="K19:L19"/>
    <mergeCell ref="U19:U26"/>
    <mergeCell ref="W19:W21"/>
    <mergeCell ref="AA19:AA23"/>
    <mergeCell ref="BM19:BM32"/>
    <mergeCell ref="Q13:Q17"/>
    <mergeCell ref="W13:W18"/>
    <mergeCell ref="AA13:AA18"/>
    <mergeCell ref="AE13:AE18"/>
    <mergeCell ref="AH13:AH18"/>
    <mergeCell ref="AW13:AW18"/>
    <mergeCell ref="W43:W44"/>
    <mergeCell ref="AE43:AE47"/>
    <mergeCell ref="AH43:AH44"/>
    <mergeCell ref="Q48:Q50"/>
    <mergeCell ref="BM48:BM50"/>
    <mergeCell ref="G56:G59"/>
    <mergeCell ref="Q56:Q62"/>
    <mergeCell ref="AA56:AA58"/>
    <mergeCell ref="AH56:AH58"/>
    <mergeCell ref="AK58:AK59"/>
    <mergeCell ref="Q81:Q82"/>
    <mergeCell ref="U81:U82"/>
    <mergeCell ref="Y81:Y82"/>
    <mergeCell ref="AE81:AE82"/>
    <mergeCell ref="BM81:BM82"/>
    <mergeCell ref="G90:G91"/>
    <mergeCell ref="W90:W92"/>
    <mergeCell ref="Y90:Y92"/>
    <mergeCell ref="Q70:Q71"/>
    <mergeCell ref="U70:U71"/>
    <mergeCell ref="Y70:Y71"/>
    <mergeCell ref="AY70:AZ70"/>
    <mergeCell ref="BM70:BM72"/>
    <mergeCell ref="AV73:AV75"/>
    <mergeCell ref="M150:M151"/>
    <mergeCell ref="N150:N151"/>
    <mergeCell ref="Q150:Q151"/>
    <mergeCell ref="U150:U155"/>
    <mergeCell ref="Q102:Q104"/>
    <mergeCell ref="AA102:AA104"/>
    <mergeCell ref="Q110:Q112"/>
    <mergeCell ref="AA110:AA112"/>
    <mergeCell ref="AE110:AE112"/>
    <mergeCell ref="K119:M119"/>
    <mergeCell ref="Q119:Q122"/>
    <mergeCell ref="W119:W120"/>
    <mergeCell ref="AA119:AA120"/>
    <mergeCell ref="AH119:AH122"/>
    <mergeCell ref="K126:M126"/>
    <mergeCell ref="Q126:Q129"/>
    <mergeCell ref="U126:U127"/>
    <mergeCell ref="W126:W127"/>
    <mergeCell ref="BM126:BM128"/>
    <mergeCell ref="K127:M127"/>
    <mergeCell ref="K128:M128"/>
    <mergeCell ref="K129:M129"/>
    <mergeCell ref="G150:G151"/>
    <mergeCell ref="H150:H151"/>
    <mergeCell ref="I150:I151"/>
    <mergeCell ref="J150:J151"/>
    <mergeCell ref="BM137:BM141"/>
    <mergeCell ref="G143:G147"/>
    <mergeCell ref="W143:W144"/>
    <mergeCell ref="AA143:AA145"/>
    <mergeCell ref="AE143:AE149"/>
    <mergeCell ref="AH143:AH146"/>
    <mergeCell ref="BM143:BM145"/>
    <mergeCell ref="W137:W138"/>
    <mergeCell ref="Y137:Y138"/>
    <mergeCell ref="AE137:AE138"/>
    <mergeCell ref="AS137:AS139"/>
    <mergeCell ref="AW137:AW139"/>
    <mergeCell ref="AX137:AX139"/>
    <mergeCell ref="W150:W152"/>
    <mergeCell ref="AA150:AA153"/>
    <mergeCell ref="AE150:AE151"/>
    <mergeCell ref="AH150:AH152"/>
    <mergeCell ref="BM150:BM151"/>
    <mergeCell ref="K150:K151"/>
    <mergeCell ref="L150:L151"/>
  </mergeCells>
  <hyperlinks>
    <hyperlink ref="AY48" r:id="rId1" location="" tooltip="" display="www.emcali.com.com"/>
    <hyperlink ref="AY119" r:id="rId2" location="" tooltip="" display="https://www.nwsc.co.ug/files/corprateplan/NWSC_CORPORATE_PLAN_2015-2018_APPROVED_FINAL.pdf NWSC, 2016/2017 NWSC Corporate Strategy 2017 "/>
    <hyperlink ref="AK151" r:id="rId3" location="" tooltip="" display="http://www.nairobi.go.ke/assets/Documents/BUDGET-FOR-FY-2015-2016.pdf &#10;&#10;[see page 135 of this report for allocation for  “Rehabilitation of Civil Works: Water Supplies and Sewerage”- 7,345,384 [2015/2016], 7,712,653 [projected 2016/2017]&#10;"/>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4"/>
  <legacyDrawing r:id="rId5"/>
</worksheet>
</file>

<file path=xl/worksheets/sheet5.xml><?xml version="1.0" encoding="utf-8"?>
<worksheet xmlns:r="http://schemas.openxmlformats.org/officeDocument/2006/relationships" xmlns="http://schemas.openxmlformats.org/spreadsheetml/2006/main">
  <dimension ref="A1:AF178"/>
  <sheetViews>
    <sheetView workbookViewId="0" showGridLines="0" defaultGridColor="1"/>
  </sheetViews>
  <sheetFormatPr defaultColWidth="8.83333" defaultRowHeight="28.5" customHeight="1" outlineLevelRow="0" outlineLevelCol="0"/>
  <cols>
    <col min="1" max="1" width="6.35156" style="692" customWidth="1"/>
    <col min="2" max="2" width="13.5" style="692" customWidth="1"/>
    <col min="3" max="4" width="8.85156" style="692" customWidth="1"/>
    <col min="5" max="5" width="37.8516" style="692" customWidth="1"/>
    <col min="6" max="6" width="28.5" style="692" customWidth="1"/>
    <col min="7" max="7" width="27" style="692" customWidth="1"/>
    <col min="8" max="9" width="8.85156" style="692" customWidth="1"/>
    <col min="10" max="10" width="30.8516" style="692" customWidth="1"/>
    <col min="11" max="11" width="30" style="692" customWidth="1"/>
    <col min="12" max="12" width="28.5" style="692" customWidth="1"/>
    <col min="13" max="14" width="8.85156" style="692" customWidth="1"/>
    <col min="15" max="15" width="32.1719" style="692" customWidth="1"/>
    <col min="16" max="16" width="28.3516" style="692" customWidth="1"/>
    <col min="17" max="17" width="35.1719" style="692" customWidth="1"/>
    <col min="18" max="19" width="8.85156" style="692" customWidth="1"/>
    <col min="20" max="20" width="28.8516" style="692" customWidth="1"/>
    <col min="21" max="21" width="23.6719" style="692" customWidth="1"/>
    <col min="22" max="22" width="30.3516" style="692" customWidth="1"/>
    <col min="23" max="23" width="8.85156" style="692" customWidth="1"/>
    <col min="24" max="24" width="9.85156" style="692" customWidth="1"/>
    <col min="25" max="25" width="29.8516" style="692" customWidth="1"/>
    <col min="26" max="26" width="30.8516" style="692" customWidth="1"/>
    <col min="27" max="27" width="29" style="692" customWidth="1"/>
    <col min="28" max="29" width="8.85156" style="692" customWidth="1"/>
    <col min="30" max="30" width="34.6719" style="692" customWidth="1"/>
    <col min="31" max="31" width="28.1719" style="692" customWidth="1"/>
    <col min="32" max="32" width="25.3516" style="692" customWidth="1"/>
    <col min="33" max="16384" width="8.85156" style="692" customWidth="1"/>
  </cols>
  <sheetData>
    <row r="1" ht="27" customHeight="1">
      <c r="A1" s="2"/>
      <c r="B1" s="3"/>
      <c r="C1" t="s" s="520">
        <v>1529</v>
      </c>
      <c r="D1" t="s" s="520">
        <v>1530</v>
      </c>
      <c r="E1" t="s" s="520">
        <v>1531</v>
      </c>
      <c r="F1" t="s" s="520">
        <v>1532</v>
      </c>
      <c r="G1" t="s" s="520">
        <v>1533</v>
      </c>
      <c r="H1" t="s" s="520">
        <v>1534</v>
      </c>
      <c r="I1" t="s" s="520">
        <v>1535</v>
      </c>
      <c r="J1" t="s" s="520">
        <v>1536</v>
      </c>
      <c r="K1" t="s" s="520">
        <v>1537</v>
      </c>
      <c r="L1" t="s" s="520">
        <v>1538</v>
      </c>
      <c r="M1" t="s" s="520">
        <v>1539</v>
      </c>
      <c r="N1" t="s" s="520">
        <v>1540</v>
      </c>
      <c r="O1" t="s" s="520">
        <v>1541</v>
      </c>
      <c r="P1" t="s" s="520">
        <v>1542</v>
      </c>
      <c r="Q1" t="s" s="520">
        <v>1543</v>
      </c>
      <c r="R1" t="s" s="520">
        <v>1544</v>
      </c>
      <c r="S1" t="s" s="520">
        <v>1545</v>
      </c>
      <c r="T1" t="s" s="520">
        <v>1546</v>
      </c>
      <c r="U1" t="s" s="520">
        <v>1547</v>
      </c>
      <c r="V1" t="s" s="520">
        <v>1548</v>
      </c>
      <c r="W1" t="s" s="520">
        <v>1549</v>
      </c>
      <c r="X1" t="s" s="520">
        <v>1550</v>
      </c>
      <c r="Y1" t="s" s="520">
        <v>1551</v>
      </c>
      <c r="Z1" t="s" s="520">
        <v>1552</v>
      </c>
      <c r="AA1" t="s" s="520">
        <v>1553</v>
      </c>
      <c r="AB1" t="s" s="520">
        <v>1554</v>
      </c>
      <c r="AC1" t="s" s="520">
        <v>1555</v>
      </c>
      <c r="AD1" t="s" s="520">
        <v>1556</v>
      </c>
      <c r="AE1" t="s" s="520">
        <v>1557</v>
      </c>
      <c r="AF1" t="s" s="520">
        <v>1558</v>
      </c>
    </row>
    <row r="2" ht="27" customHeight="1">
      <c r="A2" s="6"/>
      <c r="B2" t="s" s="7">
        <v>2</v>
      </c>
      <c r="C2" t="s" s="145">
        <v>1559</v>
      </c>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ht="27" customHeight="1">
      <c r="A3" s="6"/>
      <c r="B3" s="10"/>
      <c r="C3" t="s" s="147">
        <v>1560</v>
      </c>
      <c r="D3" s="148"/>
      <c r="E3" s="148"/>
      <c r="F3" s="148"/>
      <c r="G3" s="149"/>
      <c r="H3" t="s" s="147">
        <v>1561</v>
      </c>
      <c r="I3" s="148"/>
      <c r="J3" s="148"/>
      <c r="K3" s="148"/>
      <c r="L3" s="149"/>
      <c r="M3" t="s" s="147">
        <v>1562</v>
      </c>
      <c r="N3" s="148"/>
      <c r="O3" s="148"/>
      <c r="P3" s="148"/>
      <c r="Q3" s="149"/>
      <c r="R3" t="s" s="147">
        <v>1563</v>
      </c>
      <c r="S3" s="148"/>
      <c r="T3" s="148"/>
      <c r="U3" s="148"/>
      <c r="V3" s="149"/>
      <c r="W3" t="s" s="147">
        <v>1564</v>
      </c>
      <c r="X3" s="148"/>
      <c r="Y3" s="148"/>
      <c r="Z3" s="148"/>
      <c r="AA3" s="149"/>
      <c r="AB3" t="s" s="147">
        <v>1565</v>
      </c>
      <c r="AC3" s="148"/>
      <c r="AD3" s="148"/>
      <c r="AE3" s="148"/>
      <c r="AF3" s="149"/>
    </row>
    <row r="4" ht="108" customHeight="1">
      <c r="A4" s="13"/>
      <c r="B4" s="10"/>
      <c r="C4" t="s" s="150">
        <v>1566</v>
      </c>
      <c r="D4" t="s" s="150">
        <v>1567</v>
      </c>
      <c r="E4" t="s" s="150">
        <v>1568</v>
      </c>
      <c r="F4" t="s" s="150">
        <v>1569</v>
      </c>
      <c r="G4" t="s" s="150">
        <v>1570</v>
      </c>
      <c r="H4" t="s" s="150">
        <v>1571</v>
      </c>
      <c r="I4" t="s" s="150">
        <v>1572</v>
      </c>
      <c r="J4" t="s" s="150">
        <v>1568</v>
      </c>
      <c r="K4" t="s" s="150">
        <v>1569</v>
      </c>
      <c r="L4" t="s" s="150">
        <v>1570</v>
      </c>
      <c r="M4" t="s" s="150">
        <v>1573</v>
      </c>
      <c r="N4" t="s" s="150">
        <v>1574</v>
      </c>
      <c r="O4" t="s" s="150">
        <v>1568</v>
      </c>
      <c r="P4" t="s" s="150">
        <v>1569</v>
      </c>
      <c r="Q4" t="s" s="150">
        <v>1570</v>
      </c>
      <c r="R4" t="s" s="150">
        <v>1575</v>
      </c>
      <c r="S4" t="s" s="150">
        <v>1576</v>
      </c>
      <c r="T4" t="s" s="150">
        <v>1568</v>
      </c>
      <c r="U4" t="s" s="150">
        <v>1569</v>
      </c>
      <c r="V4" t="s" s="150">
        <v>1570</v>
      </c>
      <c r="W4" t="s" s="150">
        <v>1577</v>
      </c>
      <c r="X4" t="s" s="150">
        <v>1578</v>
      </c>
      <c r="Y4" t="s" s="150">
        <v>1568</v>
      </c>
      <c r="Z4" t="s" s="150">
        <v>1569</v>
      </c>
      <c r="AA4" t="s" s="150">
        <v>1570</v>
      </c>
      <c r="AB4" t="s" s="150">
        <v>1579</v>
      </c>
      <c r="AC4" t="s" s="150">
        <v>1580</v>
      </c>
      <c r="AD4" t="s" s="150">
        <v>1568</v>
      </c>
      <c r="AE4" t="s" s="150">
        <v>1569</v>
      </c>
      <c r="AF4" t="s" s="150">
        <v>1570</v>
      </c>
    </row>
    <row r="5" ht="48" customHeight="1">
      <c r="A5" s="15">
        <v>1</v>
      </c>
      <c r="B5" t="s" s="16">
        <v>6</v>
      </c>
      <c r="C5" s="625">
        <v>1</v>
      </c>
      <c r="D5" t="s" s="18">
        <v>200</v>
      </c>
      <c r="E5" t="s" s="171">
        <v>1581</v>
      </c>
      <c r="F5" t="s" s="170">
        <v>1582</v>
      </c>
      <c r="G5" s="169"/>
      <c r="H5" s="166">
        <v>1</v>
      </c>
      <c r="I5" t="s" s="18">
        <v>200</v>
      </c>
      <c r="J5" t="s" s="170">
        <v>1583</v>
      </c>
      <c r="K5" t="s" s="171">
        <v>1584</v>
      </c>
      <c r="L5" s="169"/>
      <c r="M5" s="167">
        <v>2</v>
      </c>
      <c r="N5" s="169"/>
      <c r="O5" s="169"/>
      <c r="P5" s="169"/>
      <c r="Q5" s="169"/>
      <c r="R5" s="166">
        <v>1</v>
      </c>
      <c r="S5" t="s" s="18">
        <v>200</v>
      </c>
      <c r="T5" t="s" s="170">
        <v>1585</v>
      </c>
      <c r="U5" t="s" s="170">
        <v>1586</v>
      </c>
      <c r="V5" s="169"/>
      <c r="W5" s="166">
        <v>1</v>
      </c>
      <c r="X5" t="s" s="18">
        <v>200</v>
      </c>
      <c r="Y5" t="s" s="170">
        <v>1587</v>
      </c>
      <c r="Z5" t="s" s="170">
        <v>1588</v>
      </c>
      <c r="AA5" s="169"/>
      <c r="AB5" s="166">
        <v>1</v>
      </c>
      <c r="AC5" t="s" s="171">
        <v>1589</v>
      </c>
      <c r="AD5" t="s" s="170">
        <v>1590</v>
      </c>
      <c r="AE5" t="s" s="170">
        <v>1591</v>
      </c>
      <c r="AF5" s="169"/>
    </row>
    <row r="6" ht="15" customHeight="1">
      <c r="A6" s="19"/>
      <c r="B6" s="20"/>
      <c r="C6" s="21"/>
      <c r="D6" s="22"/>
      <c r="E6" s="22"/>
      <c r="F6" s="211"/>
      <c r="G6" s="22"/>
      <c r="H6" s="22"/>
      <c r="I6" s="22"/>
      <c r="J6" s="211"/>
      <c r="K6" s="22"/>
      <c r="L6" s="22"/>
      <c r="M6" s="22"/>
      <c r="N6" s="22"/>
      <c r="O6" s="22"/>
      <c r="P6" s="22"/>
      <c r="Q6" s="22"/>
      <c r="R6" s="22"/>
      <c r="S6" s="22"/>
      <c r="T6" s="211"/>
      <c r="U6" s="211"/>
      <c r="V6" s="22"/>
      <c r="W6" s="22"/>
      <c r="X6" s="22"/>
      <c r="Y6" s="211"/>
      <c r="Z6" s="211"/>
      <c r="AA6" s="22"/>
      <c r="AB6" s="22"/>
      <c r="AC6" s="22"/>
      <c r="AD6" s="211"/>
      <c r="AE6" s="211"/>
      <c r="AF6" s="22"/>
    </row>
    <row r="7" ht="15" customHeight="1">
      <c r="A7" s="19"/>
      <c r="B7" s="20"/>
      <c r="C7" s="21"/>
      <c r="D7" s="22"/>
      <c r="E7" s="22"/>
      <c r="F7" s="211"/>
      <c r="G7" s="22"/>
      <c r="H7" s="22"/>
      <c r="I7" s="22"/>
      <c r="J7" s="22"/>
      <c r="K7" s="22"/>
      <c r="L7" s="22"/>
      <c r="M7" s="22"/>
      <c r="N7" s="22"/>
      <c r="O7" s="22"/>
      <c r="P7" s="22"/>
      <c r="Q7" s="22"/>
      <c r="R7" s="22"/>
      <c r="S7" s="22"/>
      <c r="T7" s="211"/>
      <c r="U7" s="211"/>
      <c r="V7" s="22"/>
      <c r="W7" s="22"/>
      <c r="X7" s="22"/>
      <c r="Y7" s="211"/>
      <c r="Z7" s="22"/>
      <c r="AA7" s="22"/>
      <c r="AB7" s="22"/>
      <c r="AC7" s="22"/>
      <c r="AD7" s="211"/>
      <c r="AE7" s="211"/>
      <c r="AF7" s="22"/>
    </row>
    <row r="8" ht="15" customHeight="1">
      <c r="A8" s="19"/>
      <c r="B8" s="20"/>
      <c r="C8" s="21"/>
      <c r="D8" s="22"/>
      <c r="E8" s="22"/>
      <c r="F8" s="211"/>
      <c r="G8" s="22"/>
      <c r="H8" s="22"/>
      <c r="I8" s="22"/>
      <c r="J8" s="22"/>
      <c r="K8" s="22"/>
      <c r="L8" s="22"/>
      <c r="M8" s="22"/>
      <c r="N8" s="22"/>
      <c r="O8" s="22"/>
      <c r="P8" s="22"/>
      <c r="Q8" s="22"/>
      <c r="R8" s="22"/>
      <c r="S8" s="22"/>
      <c r="T8" s="22"/>
      <c r="U8" s="22"/>
      <c r="V8" s="22"/>
      <c r="W8" s="22"/>
      <c r="X8" s="22"/>
      <c r="Y8" s="211"/>
      <c r="Z8" s="22"/>
      <c r="AA8" s="22"/>
      <c r="AB8" s="22"/>
      <c r="AC8" s="22"/>
      <c r="AD8" s="211"/>
      <c r="AE8" s="211"/>
      <c r="AF8" s="22"/>
    </row>
    <row r="9" ht="15" customHeight="1">
      <c r="A9" s="19"/>
      <c r="B9" s="20"/>
      <c r="C9" s="21"/>
      <c r="D9" s="22"/>
      <c r="E9" s="22"/>
      <c r="F9" s="22"/>
      <c r="G9" s="22"/>
      <c r="H9" s="22"/>
      <c r="I9" s="22"/>
      <c r="J9" s="22"/>
      <c r="K9" s="22"/>
      <c r="L9" s="22"/>
      <c r="M9" s="22"/>
      <c r="N9" s="22"/>
      <c r="O9" s="22"/>
      <c r="P9" s="22"/>
      <c r="Q9" s="22"/>
      <c r="R9" s="22"/>
      <c r="S9" s="22"/>
      <c r="T9" s="22"/>
      <c r="U9" s="22"/>
      <c r="V9" s="22"/>
      <c r="W9" s="22"/>
      <c r="X9" s="22"/>
      <c r="Y9" s="211"/>
      <c r="Z9" s="22"/>
      <c r="AA9" s="22"/>
      <c r="AB9" s="22"/>
      <c r="AC9" s="22"/>
      <c r="AD9" s="22"/>
      <c r="AE9" s="211"/>
      <c r="AF9" s="22"/>
    </row>
    <row r="10" ht="15" customHeight="1">
      <c r="A10" s="19"/>
      <c r="B10" s="20"/>
      <c r="C10" s="21"/>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11"/>
      <c r="AF10" s="22"/>
    </row>
    <row r="11" ht="15" customHeight="1">
      <c r="A11" s="19"/>
      <c r="B11" s="20"/>
      <c r="C11" s="21"/>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11"/>
      <c r="AF11" s="22"/>
    </row>
    <row r="12" ht="15" customHeight="1">
      <c r="A12" s="23"/>
      <c r="B12" s="24"/>
      <c r="C12" s="25"/>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52"/>
      <c r="AF12" s="26"/>
    </row>
    <row r="13" ht="36" customHeight="1">
      <c r="A13" s="27">
        <v>2</v>
      </c>
      <c r="B13" t="s" s="28">
        <v>10</v>
      </c>
      <c r="C13" s="620">
        <v>1</v>
      </c>
      <c r="D13" t="s" s="171">
        <v>1592</v>
      </c>
      <c r="E13" t="s" s="170">
        <v>1593</v>
      </c>
      <c r="F13" t="s" s="171">
        <v>1594</v>
      </c>
      <c r="G13" t="s" s="170">
        <v>1595</v>
      </c>
      <c r="H13" s="167">
        <v>1</v>
      </c>
      <c r="I13" t="s" s="171">
        <v>1596</v>
      </c>
      <c r="J13" t="s" s="170">
        <v>1593</v>
      </c>
      <c r="K13" t="s" s="171">
        <v>1594</v>
      </c>
      <c r="L13" t="s" s="170">
        <v>1597</v>
      </c>
      <c r="M13" s="167">
        <v>1</v>
      </c>
      <c r="N13" t="s" s="171">
        <v>1598</v>
      </c>
      <c r="O13" t="s" s="170">
        <v>1599</v>
      </c>
      <c r="P13" t="s" s="171">
        <v>1594</v>
      </c>
      <c r="Q13" t="s" s="170">
        <v>1597</v>
      </c>
      <c r="R13" s="167">
        <v>1</v>
      </c>
      <c r="S13" t="s" s="171">
        <v>1600</v>
      </c>
      <c r="T13" t="s" s="170">
        <v>1599</v>
      </c>
      <c r="U13" t="s" s="171">
        <v>1594</v>
      </c>
      <c r="V13" t="s" s="170">
        <v>1601</v>
      </c>
      <c r="W13" s="167">
        <v>1</v>
      </c>
      <c r="X13" t="s" s="171">
        <v>1602</v>
      </c>
      <c r="Y13" t="s" s="170">
        <v>1603</v>
      </c>
      <c r="Z13" t="s" s="171">
        <v>1604</v>
      </c>
      <c r="AA13" t="s" s="170">
        <v>1597</v>
      </c>
      <c r="AB13" s="167">
        <v>1</v>
      </c>
      <c r="AC13" t="s" s="171">
        <v>1605</v>
      </c>
      <c r="AD13" t="s" s="170">
        <v>1606</v>
      </c>
      <c r="AE13" t="s" s="171">
        <v>1607</v>
      </c>
      <c r="AF13" t="s" s="171">
        <v>1608</v>
      </c>
    </row>
    <row r="14" ht="15" customHeight="1">
      <c r="A14" s="31"/>
      <c r="B14" s="32"/>
      <c r="C14" s="33"/>
      <c r="D14" s="34"/>
      <c r="E14" s="211"/>
      <c r="F14" s="34"/>
      <c r="G14" s="211"/>
      <c r="H14" s="34"/>
      <c r="I14" s="34"/>
      <c r="J14" s="211"/>
      <c r="K14" s="34"/>
      <c r="L14" s="211"/>
      <c r="M14" s="34"/>
      <c r="N14" s="34"/>
      <c r="O14" s="211"/>
      <c r="P14" s="34"/>
      <c r="Q14" s="211"/>
      <c r="R14" s="34"/>
      <c r="S14" s="34"/>
      <c r="T14" s="211"/>
      <c r="U14" s="34"/>
      <c r="V14" s="211"/>
      <c r="W14" s="34"/>
      <c r="X14" s="34"/>
      <c r="Y14" s="211"/>
      <c r="Z14" s="34"/>
      <c r="AA14" s="211"/>
      <c r="AB14" s="34"/>
      <c r="AC14" s="34"/>
      <c r="AD14" s="211"/>
      <c r="AE14" s="34"/>
      <c r="AF14" s="34"/>
    </row>
    <row r="15" ht="15" customHeight="1">
      <c r="A15" s="31"/>
      <c r="B15" s="32"/>
      <c r="C15" s="33"/>
      <c r="D15" s="34"/>
      <c r="E15" s="34"/>
      <c r="F15" s="34"/>
      <c r="G15" s="211"/>
      <c r="H15" s="34"/>
      <c r="I15" s="34"/>
      <c r="J15" s="34"/>
      <c r="K15" s="34"/>
      <c r="L15" s="211"/>
      <c r="M15" s="34"/>
      <c r="N15" s="34"/>
      <c r="O15" s="211"/>
      <c r="P15" s="34"/>
      <c r="Q15" s="211"/>
      <c r="R15" s="34"/>
      <c r="S15" s="34"/>
      <c r="T15" s="211"/>
      <c r="U15" s="34"/>
      <c r="V15" s="211"/>
      <c r="W15" s="34"/>
      <c r="X15" s="34"/>
      <c r="Y15" s="211"/>
      <c r="Z15" s="34"/>
      <c r="AA15" s="211"/>
      <c r="AB15" s="34"/>
      <c r="AC15" s="34"/>
      <c r="AD15" s="211"/>
      <c r="AE15" s="34"/>
      <c r="AF15" s="34"/>
    </row>
    <row r="16" ht="15" customHeight="1">
      <c r="A16" s="31"/>
      <c r="B16" s="32"/>
      <c r="C16" s="33"/>
      <c r="D16" s="34"/>
      <c r="E16" s="34"/>
      <c r="F16" s="34"/>
      <c r="G16" s="211"/>
      <c r="H16" s="34"/>
      <c r="I16" s="34"/>
      <c r="J16" s="34"/>
      <c r="K16" s="34"/>
      <c r="L16" s="211"/>
      <c r="M16" s="34"/>
      <c r="N16" s="34"/>
      <c r="O16" s="211"/>
      <c r="P16" s="34"/>
      <c r="Q16" s="211"/>
      <c r="R16" s="34"/>
      <c r="S16" s="34"/>
      <c r="T16" s="211"/>
      <c r="U16" s="34"/>
      <c r="V16" s="211"/>
      <c r="W16" s="34"/>
      <c r="X16" s="34"/>
      <c r="Y16" s="211"/>
      <c r="Z16" s="34"/>
      <c r="AA16" s="211"/>
      <c r="AB16" s="34"/>
      <c r="AC16" s="34"/>
      <c r="AD16" s="211"/>
      <c r="AE16" s="34"/>
      <c r="AF16" s="34"/>
    </row>
    <row r="17" ht="15" customHeight="1">
      <c r="A17" s="31"/>
      <c r="B17" s="32"/>
      <c r="C17" s="33"/>
      <c r="D17" s="34"/>
      <c r="E17" s="34"/>
      <c r="F17" s="34"/>
      <c r="G17" s="34"/>
      <c r="H17" s="34"/>
      <c r="I17" s="34"/>
      <c r="J17" s="34"/>
      <c r="K17" s="34"/>
      <c r="L17" s="211"/>
      <c r="M17" s="34"/>
      <c r="N17" s="34"/>
      <c r="O17" s="34"/>
      <c r="P17" s="34"/>
      <c r="Q17" s="211"/>
      <c r="R17" s="34"/>
      <c r="S17" s="34"/>
      <c r="T17" s="211"/>
      <c r="U17" s="34"/>
      <c r="V17" s="211"/>
      <c r="W17" s="34"/>
      <c r="X17" s="34"/>
      <c r="Y17" s="34"/>
      <c r="Z17" s="34"/>
      <c r="AA17" s="211"/>
      <c r="AB17" s="34"/>
      <c r="AC17" s="34"/>
      <c r="AD17" s="211"/>
      <c r="AE17" s="34"/>
      <c r="AF17" s="34"/>
    </row>
    <row r="18" ht="15" customHeight="1">
      <c r="A18" s="35"/>
      <c r="B18" s="24"/>
      <c r="C18" s="25"/>
      <c r="D18" s="26"/>
      <c r="E18" s="26"/>
      <c r="F18" s="26"/>
      <c r="G18" s="26"/>
      <c r="H18" s="26"/>
      <c r="I18" s="26"/>
      <c r="J18" s="26"/>
      <c r="K18" s="26"/>
      <c r="L18" s="252"/>
      <c r="M18" s="26"/>
      <c r="N18" s="26"/>
      <c r="O18" s="26"/>
      <c r="P18" s="26"/>
      <c r="Q18" s="252"/>
      <c r="R18" s="26"/>
      <c r="S18" s="26"/>
      <c r="T18" s="26"/>
      <c r="U18" s="26"/>
      <c r="V18" s="26"/>
      <c r="W18" s="26"/>
      <c r="X18" s="26"/>
      <c r="Y18" s="26"/>
      <c r="Z18" s="26"/>
      <c r="AA18" s="26"/>
      <c r="AB18" s="26"/>
      <c r="AC18" s="26"/>
      <c r="AD18" s="26"/>
      <c r="AE18" s="26"/>
      <c r="AF18" s="26"/>
    </row>
    <row r="19" ht="36" customHeight="1">
      <c r="A19" s="15">
        <v>3</v>
      </c>
      <c r="B19" t="s" s="16">
        <v>12</v>
      </c>
      <c r="C19" s="625">
        <v>1</v>
      </c>
      <c r="D19" t="s" s="18">
        <v>1609</v>
      </c>
      <c r="E19" t="s" s="170">
        <v>1610</v>
      </c>
      <c r="F19" t="s" s="170">
        <v>1611</v>
      </c>
      <c r="G19" t="s" s="170">
        <v>1612</v>
      </c>
      <c r="H19" s="166">
        <v>1</v>
      </c>
      <c r="I19" t="s" s="171">
        <v>1613</v>
      </c>
      <c r="J19" t="s" s="170">
        <v>1614</v>
      </c>
      <c r="K19" t="s" s="170">
        <v>1615</v>
      </c>
      <c r="L19" t="s" s="170">
        <v>1616</v>
      </c>
      <c r="M19" s="166">
        <v>1</v>
      </c>
      <c r="N19" t="s" s="171">
        <v>1613</v>
      </c>
      <c r="O19" t="s" s="170">
        <v>1617</v>
      </c>
      <c r="P19" t="s" s="171">
        <v>1618</v>
      </c>
      <c r="Q19" t="s" s="170">
        <v>1619</v>
      </c>
      <c r="R19" s="166">
        <v>1</v>
      </c>
      <c r="S19" t="s" s="18">
        <v>1613</v>
      </c>
      <c r="T19" t="s" s="170">
        <v>1620</v>
      </c>
      <c r="U19" t="s" s="170">
        <v>1621</v>
      </c>
      <c r="V19" t="s" s="170">
        <v>1622</v>
      </c>
      <c r="W19" s="166">
        <v>1</v>
      </c>
      <c r="X19" t="s" s="18">
        <v>1613</v>
      </c>
      <c r="Y19" t="s" s="170">
        <v>1623</v>
      </c>
      <c r="Z19" t="s" s="170">
        <v>1624</v>
      </c>
      <c r="AA19" t="s" s="171">
        <v>1625</v>
      </c>
      <c r="AB19" s="166">
        <v>1</v>
      </c>
      <c r="AC19" t="s" s="18">
        <v>1626</v>
      </c>
      <c r="AD19" t="s" s="170">
        <v>1627</v>
      </c>
      <c r="AE19" t="s" s="171">
        <v>1628</v>
      </c>
      <c r="AF19" t="s" s="170">
        <v>1629</v>
      </c>
    </row>
    <row r="20" ht="15" customHeight="1">
      <c r="A20" s="19"/>
      <c r="B20" s="32"/>
      <c r="C20" s="21"/>
      <c r="D20" s="22"/>
      <c r="E20" s="211"/>
      <c r="F20" s="211"/>
      <c r="G20" s="211"/>
      <c r="H20" s="22"/>
      <c r="I20" s="22"/>
      <c r="J20" s="211"/>
      <c r="K20" s="211"/>
      <c r="L20" s="211"/>
      <c r="M20" s="22"/>
      <c r="N20" s="22"/>
      <c r="O20" s="211"/>
      <c r="P20" s="22"/>
      <c r="Q20" s="211"/>
      <c r="R20" s="22"/>
      <c r="S20" s="22"/>
      <c r="T20" s="211"/>
      <c r="U20" s="211"/>
      <c r="V20" s="211"/>
      <c r="W20" s="22"/>
      <c r="X20" s="22"/>
      <c r="Y20" s="211"/>
      <c r="Z20" s="211"/>
      <c r="AA20" s="22"/>
      <c r="AB20" s="22"/>
      <c r="AC20" s="22"/>
      <c r="AD20" s="211"/>
      <c r="AE20" s="22"/>
      <c r="AF20" s="211"/>
    </row>
    <row r="21" ht="15" customHeight="1">
      <c r="A21" s="19"/>
      <c r="B21" s="32"/>
      <c r="C21" s="21"/>
      <c r="D21" s="22"/>
      <c r="E21" s="211"/>
      <c r="F21" s="211"/>
      <c r="G21" s="211"/>
      <c r="H21" s="22"/>
      <c r="I21" s="22"/>
      <c r="J21" s="211"/>
      <c r="K21" s="211"/>
      <c r="L21" s="211"/>
      <c r="M21" s="22"/>
      <c r="N21" s="22"/>
      <c r="O21" s="211"/>
      <c r="P21" s="22"/>
      <c r="Q21" s="211"/>
      <c r="R21" s="22"/>
      <c r="S21" s="22"/>
      <c r="T21" s="211"/>
      <c r="U21" s="22"/>
      <c r="V21" s="211"/>
      <c r="W21" s="22"/>
      <c r="X21" s="22"/>
      <c r="Y21" s="211"/>
      <c r="Z21" s="211"/>
      <c r="AA21" s="22"/>
      <c r="AB21" s="22"/>
      <c r="AC21" s="22"/>
      <c r="AD21" s="211"/>
      <c r="AE21" s="22"/>
      <c r="AF21" s="22"/>
    </row>
    <row r="22" ht="15" customHeight="1">
      <c r="A22" s="19"/>
      <c r="B22" s="32"/>
      <c r="C22" s="21"/>
      <c r="D22" s="22"/>
      <c r="E22" s="211"/>
      <c r="F22" s="211"/>
      <c r="G22" s="22"/>
      <c r="H22" s="22"/>
      <c r="I22" s="22"/>
      <c r="J22" s="211"/>
      <c r="K22" s="22"/>
      <c r="L22" s="211"/>
      <c r="M22" s="22"/>
      <c r="N22" s="22"/>
      <c r="O22" s="211"/>
      <c r="P22" s="22"/>
      <c r="Q22" s="211"/>
      <c r="R22" s="22"/>
      <c r="S22" s="22"/>
      <c r="T22" s="211"/>
      <c r="U22" s="22"/>
      <c r="V22" s="211"/>
      <c r="W22" s="22"/>
      <c r="X22" s="22"/>
      <c r="Y22" s="22"/>
      <c r="Z22" s="22"/>
      <c r="AA22" s="22"/>
      <c r="AB22" s="22"/>
      <c r="AC22" s="22"/>
      <c r="AD22" s="211"/>
      <c r="AE22" s="22"/>
      <c r="AF22" s="22"/>
    </row>
    <row r="23" ht="15" customHeight="1">
      <c r="A23" s="19"/>
      <c r="B23" s="32"/>
      <c r="C23" s="21"/>
      <c r="D23" s="22"/>
      <c r="E23" s="211"/>
      <c r="F23" s="211"/>
      <c r="G23" s="22"/>
      <c r="H23" s="22"/>
      <c r="I23" s="22"/>
      <c r="J23" s="211"/>
      <c r="K23" s="22"/>
      <c r="L23" s="211"/>
      <c r="M23" s="22"/>
      <c r="N23" s="22"/>
      <c r="O23" s="211"/>
      <c r="P23" s="22"/>
      <c r="Q23" s="211"/>
      <c r="R23" s="22"/>
      <c r="S23" s="22"/>
      <c r="T23" s="211"/>
      <c r="U23" s="22"/>
      <c r="V23" s="22"/>
      <c r="W23" s="22"/>
      <c r="X23" s="22"/>
      <c r="Y23" s="22"/>
      <c r="Z23" s="22"/>
      <c r="AA23" s="22"/>
      <c r="AB23" s="22"/>
      <c r="AC23" s="22"/>
      <c r="AD23" s="211"/>
      <c r="AE23" s="22"/>
      <c r="AF23" s="22"/>
    </row>
    <row r="24" ht="15" customHeight="1">
      <c r="A24" s="19"/>
      <c r="B24" s="32"/>
      <c r="C24" s="21"/>
      <c r="D24" s="22"/>
      <c r="E24" s="211"/>
      <c r="F24" s="211"/>
      <c r="G24" s="22"/>
      <c r="H24" s="22"/>
      <c r="I24" s="22"/>
      <c r="J24" s="211"/>
      <c r="K24" s="22"/>
      <c r="L24" s="211"/>
      <c r="M24" s="22"/>
      <c r="N24" s="22"/>
      <c r="O24" s="211"/>
      <c r="P24" s="22"/>
      <c r="Q24" s="211"/>
      <c r="R24" s="22"/>
      <c r="S24" s="22"/>
      <c r="T24" s="211"/>
      <c r="U24" s="22"/>
      <c r="V24" s="22"/>
      <c r="W24" s="22"/>
      <c r="X24" s="22"/>
      <c r="Y24" s="22"/>
      <c r="Z24" s="22"/>
      <c r="AA24" s="22"/>
      <c r="AB24" s="22"/>
      <c r="AC24" s="22"/>
      <c r="AD24" s="211"/>
      <c r="AE24" s="22"/>
      <c r="AF24" s="22"/>
    </row>
    <row r="25" ht="15" customHeight="1">
      <c r="A25" s="19"/>
      <c r="B25" s="32"/>
      <c r="C25" s="21"/>
      <c r="D25" s="22"/>
      <c r="E25" s="211"/>
      <c r="F25" s="211"/>
      <c r="G25" s="22"/>
      <c r="H25" s="22"/>
      <c r="I25" s="22"/>
      <c r="J25" s="211"/>
      <c r="K25" s="22"/>
      <c r="L25" s="22"/>
      <c r="M25" s="22"/>
      <c r="N25" s="22"/>
      <c r="O25" s="211"/>
      <c r="P25" s="22"/>
      <c r="Q25" s="22"/>
      <c r="R25" s="22"/>
      <c r="S25" s="22"/>
      <c r="T25" s="211"/>
      <c r="U25" s="22"/>
      <c r="V25" s="22"/>
      <c r="W25" s="22"/>
      <c r="X25" s="22"/>
      <c r="Y25" s="22"/>
      <c r="Z25" s="22"/>
      <c r="AA25" s="22"/>
      <c r="AB25" s="22"/>
      <c r="AC25" s="22"/>
      <c r="AD25" s="211"/>
      <c r="AE25" s="22"/>
      <c r="AF25" s="22"/>
    </row>
    <row r="26" ht="15" customHeight="1">
      <c r="A26" s="19"/>
      <c r="B26" s="32"/>
      <c r="C26" s="21"/>
      <c r="D26" s="22"/>
      <c r="E26" s="211"/>
      <c r="F26" s="211"/>
      <c r="G26" s="22"/>
      <c r="H26" s="22"/>
      <c r="I26" s="22"/>
      <c r="J26" s="211"/>
      <c r="K26" s="22"/>
      <c r="L26" s="22"/>
      <c r="M26" s="22"/>
      <c r="N26" s="22"/>
      <c r="O26" s="211"/>
      <c r="P26" s="22"/>
      <c r="Q26" s="22"/>
      <c r="R26" s="22"/>
      <c r="S26" s="22"/>
      <c r="T26" s="211"/>
      <c r="U26" s="22"/>
      <c r="V26" s="22"/>
      <c r="W26" s="22"/>
      <c r="X26" s="22"/>
      <c r="Y26" s="22"/>
      <c r="Z26" s="22"/>
      <c r="AA26" s="22"/>
      <c r="AB26" s="22"/>
      <c r="AC26" s="22"/>
      <c r="AD26" s="211"/>
      <c r="AE26" s="22"/>
      <c r="AF26" s="22"/>
    </row>
    <row r="27" ht="15" customHeight="1">
      <c r="A27" s="19"/>
      <c r="B27" s="32"/>
      <c r="C27" s="21"/>
      <c r="D27" s="22"/>
      <c r="E27" s="211"/>
      <c r="F27" s="211"/>
      <c r="G27" s="22"/>
      <c r="H27" s="22"/>
      <c r="I27" s="22"/>
      <c r="J27" s="211"/>
      <c r="K27" s="22"/>
      <c r="L27" s="22"/>
      <c r="M27" s="22"/>
      <c r="N27" s="22"/>
      <c r="O27" s="211"/>
      <c r="P27" s="22"/>
      <c r="Q27" s="22"/>
      <c r="R27" s="22"/>
      <c r="S27" s="22"/>
      <c r="T27" s="211"/>
      <c r="U27" s="22"/>
      <c r="V27" s="22"/>
      <c r="W27" s="22"/>
      <c r="X27" s="22"/>
      <c r="Y27" s="22"/>
      <c r="Z27" s="22"/>
      <c r="AA27" s="22"/>
      <c r="AB27" s="22"/>
      <c r="AC27" s="22"/>
      <c r="AD27" s="211"/>
      <c r="AE27" s="22"/>
      <c r="AF27" s="22"/>
    </row>
    <row r="28" ht="15" customHeight="1">
      <c r="A28" s="19"/>
      <c r="B28" s="32"/>
      <c r="C28" s="21"/>
      <c r="D28" s="22"/>
      <c r="E28" s="211"/>
      <c r="F28" s="211"/>
      <c r="G28" s="22"/>
      <c r="H28" s="22"/>
      <c r="I28" s="22"/>
      <c r="J28" s="211"/>
      <c r="K28" s="22"/>
      <c r="L28" s="22"/>
      <c r="M28" s="22"/>
      <c r="N28" s="22"/>
      <c r="O28" s="211"/>
      <c r="P28" s="22"/>
      <c r="Q28" s="22"/>
      <c r="R28" s="22"/>
      <c r="S28" s="22"/>
      <c r="T28" s="211"/>
      <c r="U28" s="22"/>
      <c r="V28" s="22"/>
      <c r="W28" s="22"/>
      <c r="X28" s="22"/>
      <c r="Y28" s="22"/>
      <c r="Z28" s="22"/>
      <c r="AA28" s="22"/>
      <c r="AB28" s="22"/>
      <c r="AC28" s="22"/>
      <c r="AD28" s="211"/>
      <c r="AE28" s="22"/>
      <c r="AF28" s="22"/>
    </row>
    <row r="29" ht="15" customHeight="1">
      <c r="A29" s="19"/>
      <c r="B29" s="32"/>
      <c r="C29" s="21"/>
      <c r="D29" s="22"/>
      <c r="E29" s="211"/>
      <c r="F29" s="211"/>
      <c r="G29" s="22"/>
      <c r="H29" s="22"/>
      <c r="I29" s="22"/>
      <c r="J29" s="211"/>
      <c r="K29" s="22"/>
      <c r="L29" s="22"/>
      <c r="M29" s="22"/>
      <c r="N29" s="22"/>
      <c r="O29" s="211"/>
      <c r="P29" s="22"/>
      <c r="Q29" s="22"/>
      <c r="R29" s="22"/>
      <c r="S29" s="22"/>
      <c r="T29" s="211"/>
      <c r="U29" s="22"/>
      <c r="V29" s="22"/>
      <c r="W29" s="22"/>
      <c r="X29" s="22"/>
      <c r="Y29" s="22"/>
      <c r="Z29" s="22"/>
      <c r="AA29" s="22"/>
      <c r="AB29" s="22"/>
      <c r="AC29" s="22"/>
      <c r="AD29" s="211"/>
      <c r="AE29" s="22"/>
      <c r="AF29" s="22"/>
    </row>
    <row r="30" ht="15" customHeight="1">
      <c r="A30" s="19"/>
      <c r="B30" s="32"/>
      <c r="C30" s="21"/>
      <c r="D30" s="22"/>
      <c r="E30" s="211"/>
      <c r="F30" s="211"/>
      <c r="G30" s="22"/>
      <c r="H30" s="22"/>
      <c r="I30" s="22"/>
      <c r="J30" s="211"/>
      <c r="K30" s="22"/>
      <c r="L30" s="22"/>
      <c r="M30" s="22"/>
      <c r="N30" s="22"/>
      <c r="O30" s="211"/>
      <c r="P30" s="22"/>
      <c r="Q30" s="22"/>
      <c r="R30" s="22"/>
      <c r="S30" s="22"/>
      <c r="T30" s="211"/>
      <c r="U30" s="22"/>
      <c r="V30" s="22"/>
      <c r="W30" s="22"/>
      <c r="X30" s="22"/>
      <c r="Y30" s="22"/>
      <c r="Z30" s="22"/>
      <c r="AA30" s="22"/>
      <c r="AB30" s="22"/>
      <c r="AC30" s="22"/>
      <c r="AD30" s="211"/>
      <c r="AE30" s="22"/>
      <c r="AF30" s="22"/>
    </row>
    <row r="31" ht="15" customHeight="1">
      <c r="A31" s="19"/>
      <c r="B31" s="32"/>
      <c r="C31" s="21"/>
      <c r="D31" s="22"/>
      <c r="E31" s="211"/>
      <c r="F31" s="211"/>
      <c r="G31" s="22"/>
      <c r="H31" s="22"/>
      <c r="I31" s="22"/>
      <c r="J31" s="211"/>
      <c r="K31" s="22"/>
      <c r="L31" s="22"/>
      <c r="M31" s="22"/>
      <c r="N31" s="22"/>
      <c r="O31" s="211"/>
      <c r="P31" s="22"/>
      <c r="Q31" s="22"/>
      <c r="R31" s="22"/>
      <c r="S31" s="22"/>
      <c r="T31" s="211"/>
      <c r="U31" s="22"/>
      <c r="V31" s="22"/>
      <c r="W31" s="22"/>
      <c r="X31" s="22"/>
      <c r="Y31" s="22"/>
      <c r="Z31" s="22"/>
      <c r="AA31" s="22"/>
      <c r="AB31" s="22"/>
      <c r="AC31" s="22"/>
      <c r="AD31" s="211"/>
      <c r="AE31" s="22"/>
      <c r="AF31" s="22"/>
    </row>
    <row r="32" ht="15" customHeight="1">
      <c r="A32" s="19"/>
      <c r="B32" s="32"/>
      <c r="C32" s="21"/>
      <c r="D32" s="22"/>
      <c r="E32" s="211"/>
      <c r="F32" s="211"/>
      <c r="G32" s="22"/>
      <c r="H32" s="22"/>
      <c r="I32" s="22"/>
      <c r="J32" s="211"/>
      <c r="K32" s="22"/>
      <c r="L32" s="22"/>
      <c r="M32" s="22"/>
      <c r="N32" s="22"/>
      <c r="O32" s="211"/>
      <c r="P32" s="22"/>
      <c r="Q32" s="22"/>
      <c r="R32" s="22"/>
      <c r="S32" s="22"/>
      <c r="T32" s="211"/>
      <c r="U32" s="22"/>
      <c r="V32" s="22"/>
      <c r="W32" s="22"/>
      <c r="X32" s="22"/>
      <c r="Y32" s="22"/>
      <c r="Z32" s="22"/>
      <c r="AA32" s="22"/>
      <c r="AB32" s="22"/>
      <c r="AC32" s="22"/>
      <c r="AD32" s="211"/>
      <c r="AE32" s="22"/>
      <c r="AF32" s="22"/>
    </row>
    <row r="33" ht="15" customHeight="1">
      <c r="A33" s="19"/>
      <c r="B33" s="32"/>
      <c r="C33" s="21"/>
      <c r="D33" s="22"/>
      <c r="E33" s="211"/>
      <c r="F33" s="211"/>
      <c r="G33" s="22"/>
      <c r="H33" s="22"/>
      <c r="I33" s="22"/>
      <c r="J33" s="211"/>
      <c r="K33" s="22"/>
      <c r="L33" s="22"/>
      <c r="M33" s="22"/>
      <c r="N33" s="22"/>
      <c r="O33" s="211"/>
      <c r="P33" s="22"/>
      <c r="Q33" s="22"/>
      <c r="R33" s="22"/>
      <c r="S33" s="22"/>
      <c r="T33" s="211"/>
      <c r="U33" s="22"/>
      <c r="V33" s="22"/>
      <c r="W33" s="22"/>
      <c r="X33" s="22"/>
      <c r="Y33" s="22"/>
      <c r="Z33" s="22"/>
      <c r="AA33" s="22"/>
      <c r="AB33" s="22"/>
      <c r="AC33" s="22"/>
      <c r="AD33" s="211"/>
      <c r="AE33" s="22"/>
      <c r="AF33" s="22"/>
    </row>
    <row r="34" ht="15" customHeight="1">
      <c r="A34" s="19"/>
      <c r="B34" s="32"/>
      <c r="C34" s="21"/>
      <c r="D34" s="22"/>
      <c r="E34" s="211"/>
      <c r="F34" s="211"/>
      <c r="G34" s="22"/>
      <c r="H34" s="22"/>
      <c r="I34" s="22"/>
      <c r="J34" s="211"/>
      <c r="K34" s="22"/>
      <c r="L34" s="22"/>
      <c r="M34" s="22"/>
      <c r="N34" s="22"/>
      <c r="O34" s="211"/>
      <c r="P34" s="22"/>
      <c r="Q34" s="22"/>
      <c r="R34" s="22"/>
      <c r="S34" s="22"/>
      <c r="T34" s="211"/>
      <c r="U34" s="22"/>
      <c r="V34" s="22"/>
      <c r="W34" s="22"/>
      <c r="X34" s="22"/>
      <c r="Y34" s="22"/>
      <c r="Z34" s="22"/>
      <c r="AA34" s="22"/>
      <c r="AB34" s="22"/>
      <c r="AC34" s="22"/>
      <c r="AD34" s="211"/>
      <c r="AE34" s="22"/>
      <c r="AF34" s="22"/>
    </row>
    <row r="35" ht="15" customHeight="1">
      <c r="A35" s="19"/>
      <c r="B35" s="37"/>
      <c r="C35" s="538"/>
      <c r="D35" s="227"/>
      <c r="E35" s="211"/>
      <c r="F35" s="211"/>
      <c r="G35" s="227"/>
      <c r="H35" s="227"/>
      <c r="I35" s="227"/>
      <c r="J35" s="211"/>
      <c r="K35" s="227"/>
      <c r="L35" s="227"/>
      <c r="M35" s="227"/>
      <c r="N35" s="227"/>
      <c r="O35" s="211"/>
      <c r="P35" s="227"/>
      <c r="Q35" s="227"/>
      <c r="R35" s="227"/>
      <c r="S35" s="227"/>
      <c r="T35" s="211"/>
      <c r="U35" s="227"/>
      <c r="V35" s="227"/>
      <c r="W35" s="227"/>
      <c r="X35" s="227"/>
      <c r="Y35" s="227"/>
      <c r="Z35" s="227"/>
      <c r="AA35" s="227"/>
      <c r="AB35" s="227"/>
      <c r="AC35" s="227"/>
      <c r="AD35" s="211"/>
      <c r="AE35" s="227"/>
      <c r="AF35" s="227"/>
    </row>
    <row r="36" ht="15" customHeight="1">
      <c r="A36" s="19"/>
      <c r="B36" s="37"/>
      <c r="C36" s="538"/>
      <c r="D36" s="227"/>
      <c r="E36" s="211"/>
      <c r="F36" s="211"/>
      <c r="G36" s="227"/>
      <c r="H36" s="227"/>
      <c r="I36" s="227"/>
      <c r="J36" s="211"/>
      <c r="K36" s="227"/>
      <c r="L36" s="227"/>
      <c r="M36" s="227"/>
      <c r="N36" s="227"/>
      <c r="O36" s="211"/>
      <c r="P36" s="227"/>
      <c r="Q36" s="227"/>
      <c r="R36" s="227"/>
      <c r="S36" s="227"/>
      <c r="T36" s="211"/>
      <c r="U36" s="227"/>
      <c r="V36" s="227"/>
      <c r="W36" s="227"/>
      <c r="X36" s="227"/>
      <c r="Y36" s="227"/>
      <c r="Z36" s="227"/>
      <c r="AA36" s="227"/>
      <c r="AB36" s="227"/>
      <c r="AC36" s="227"/>
      <c r="AD36" s="211"/>
      <c r="AE36" s="227"/>
      <c r="AF36" s="227"/>
    </row>
    <row r="37" ht="15" customHeight="1">
      <c r="A37" s="19"/>
      <c r="B37" s="37"/>
      <c r="C37" s="538"/>
      <c r="D37" s="227"/>
      <c r="E37" s="211"/>
      <c r="F37" s="211"/>
      <c r="G37" s="227"/>
      <c r="H37" s="227"/>
      <c r="I37" s="227"/>
      <c r="J37" s="211"/>
      <c r="K37" s="227"/>
      <c r="L37" s="227"/>
      <c r="M37" s="227"/>
      <c r="N37" s="227"/>
      <c r="O37" s="211"/>
      <c r="P37" s="227"/>
      <c r="Q37" s="227"/>
      <c r="R37" s="227"/>
      <c r="S37" s="227"/>
      <c r="T37" s="211"/>
      <c r="U37" s="227"/>
      <c r="V37" s="227"/>
      <c r="W37" s="227"/>
      <c r="X37" s="227"/>
      <c r="Y37" s="227"/>
      <c r="Z37" s="227"/>
      <c r="AA37" s="227"/>
      <c r="AB37" s="227"/>
      <c r="AC37" s="227"/>
      <c r="AD37" s="211"/>
      <c r="AE37" s="227"/>
      <c r="AF37" s="227"/>
    </row>
    <row r="38" ht="15" customHeight="1">
      <c r="A38" s="19"/>
      <c r="B38" s="37"/>
      <c r="C38" s="538"/>
      <c r="D38" s="227"/>
      <c r="E38" s="211"/>
      <c r="F38" s="211"/>
      <c r="G38" s="227"/>
      <c r="H38" s="227"/>
      <c r="I38" s="227"/>
      <c r="J38" s="211"/>
      <c r="K38" s="227"/>
      <c r="L38" s="227"/>
      <c r="M38" s="227"/>
      <c r="N38" s="227"/>
      <c r="O38" s="211"/>
      <c r="P38" s="227"/>
      <c r="Q38" s="227"/>
      <c r="R38" s="227"/>
      <c r="S38" s="227"/>
      <c r="T38" s="211"/>
      <c r="U38" s="227"/>
      <c r="V38" s="227"/>
      <c r="W38" s="227"/>
      <c r="X38" s="227"/>
      <c r="Y38" s="227"/>
      <c r="Z38" s="227"/>
      <c r="AA38" s="227"/>
      <c r="AB38" s="227"/>
      <c r="AC38" s="227"/>
      <c r="AD38" s="227"/>
      <c r="AE38" s="227"/>
      <c r="AF38" s="227"/>
    </row>
    <row r="39" ht="15" customHeight="1">
      <c r="A39" s="19"/>
      <c r="B39" s="37"/>
      <c r="C39" s="538"/>
      <c r="D39" s="227"/>
      <c r="E39" s="211"/>
      <c r="F39" s="211"/>
      <c r="G39" s="227"/>
      <c r="H39" s="227"/>
      <c r="I39" s="227"/>
      <c r="J39" s="211"/>
      <c r="K39" s="227"/>
      <c r="L39" s="227"/>
      <c r="M39" s="227"/>
      <c r="N39" s="227"/>
      <c r="O39" s="211"/>
      <c r="P39" s="227"/>
      <c r="Q39" s="227"/>
      <c r="R39" s="227"/>
      <c r="S39" s="227"/>
      <c r="T39" s="211"/>
      <c r="U39" s="227"/>
      <c r="V39" s="227"/>
      <c r="W39" s="227"/>
      <c r="X39" s="227"/>
      <c r="Y39" s="227"/>
      <c r="Z39" s="227"/>
      <c r="AA39" s="227"/>
      <c r="AB39" s="227"/>
      <c r="AC39" s="227"/>
      <c r="AD39" s="227"/>
      <c r="AE39" s="227"/>
      <c r="AF39" s="227"/>
    </row>
    <row r="40" ht="15" customHeight="1">
      <c r="A40" s="19"/>
      <c r="B40" s="37"/>
      <c r="C40" s="538"/>
      <c r="D40" s="227"/>
      <c r="E40" s="211"/>
      <c r="F40" s="211"/>
      <c r="G40" s="227"/>
      <c r="H40" s="227"/>
      <c r="I40" s="227"/>
      <c r="J40" s="211"/>
      <c r="K40" s="227"/>
      <c r="L40" s="227"/>
      <c r="M40" s="227"/>
      <c r="N40" s="227"/>
      <c r="O40" s="211"/>
      <c r="P40" s="227"/>
      <c r="Q40" s="227"/>
      <c r="R40" s="227"/>
      <c r="S40" s="227"/>
      <c r="T40" s="211"/>
      <c r="U40" s="227"/>
      <c r="V40" s="227"/>
      <c r="W40" s="227"/>
      <c r="X40" s="227"/>
      <c r="Y40" s="227"/>
      <c r="Z40" s="227"/>
      <c r="AA40" s="227"/>
      <c r="AB40" s="227"/>
      <c r="AC40" s="227"/>
      <c r="AD40" s="227"/>
      <c r="AE40" s="227"/>
      <c r="AF40" s="227"/>
    </row>
    <row r="41" ht="15" customHeight="1">
      <c r="A41" s="19"/>
      <c r="B41" s="37"/>
      <c r="C41" s="538"/>
      <c r="D41" s="227"/>
      <c r="E41" s="211"/>
      <c r="F41" s="211"/>
      <c r="G41" s="227"/>
      <c r="H41" s="227"/>
      <c r="I41" s="227"/>
      <c r="J41" s="211"/>
      <c r="K41" s="227"/>
      <c r="L41" s="227"/>
      <c r="M41" s="227"/>
      <c r="N41" s="227"/>
      <c r="O41" s="211"/>
      <c r="P41" s="227"/>
      <c r="Q41" s="227"/>
      <c r="R41" s="227"/>
      <c r="S41" s="227"/>
      <c r="T41" s="211"/>
      <c r="U41" s="227"/>
      <c r="V41" s="227"/>
      <c r="W41" s="227"/>
      <c r="X41" s="227"/>
      <c r="Y41" s="227"/>
      <c r="Z41" s="227"/>
      <c r="AA41" s="227"/>
      <c r="AB41" s="227"/>
      <c r="AC41" s="227"/>
      <c r="AD41" s="227"/>
      <c r="AE41" s="227"/>
      <c r="AF41" s="227"/>
    </row>
    <row r="42" ht="15" customHeight="1">
      <c r="A42" s="23"/>
      <c r="B42" s="40"/>
      <c r="C42" s="540"/>
      <c r="D42" s="231"/>
      <c r="E42" s="252"/>
      <c r="F42" s="252"/>
      <c r="G42" s="231"/>
      <c r="H42" s="231"/>
      <c r="I42" s="231"/>
      <c r="J42" s="252"/>
      <c r="K42" s="231"/>
      <c r="L42" s="231"/>
      <c r="M42" s="231"/>
      <c r="N42" s="231"/>
      <c r="O42" s="252"/>
      <c r="P42" s="231"/>
      <c r="Q42" s="231"/>
      <c r="R42" s="231"/>
      <c r="S42" s="231"/>
      <c r="T42" s="252"/>
      <c r="U42" s="231"/>
      <c r="V42" s="231"/>
      <c r="W42" s="231"/>
      <c r="X42" s="231"/>
      <c r="Y42" s="231"/>
      <c r="Z42" s="231"/>
      <c r="AA42" s="231"/>
      <c r="AB42" s="231"/>
      <c r="AC42" s="231"/>
      <c r="AD42" s="231"/>
      <c r="AE42" s="231"/>
      <c r="AF42" s="231"/>
    </row>
    <row r="43" ht="48" customHeight="1">
      <c r="A43" s="15">
        <v>4</v>
      </c>
      <c r="B43" t="s" s="16">
        <v>14</v>
      </c>
      <c r="C43" s="625">
        <v>1</v>
      </c>
      <c r="D43" t="s" s="18">
        <v>1613</v>
      </c>
      <c r="E43" t="s" s="170">
        <v>1630</v>
      </c>
      <c r="F43" t="s" s="170">
        <v>1631</v>
      </c>
      <c r="G43" t="s" s="18">
        <v>197</v>
      </c>
      <c r="H43" s="166">
        <v>1</v>
      </c>
      <c r="I43" t="s" s="18">
        <v>1632</v>
      </c>
      <c r="J43" t="s" s="170">
        <v>1633</v>
      </c>
      <c r="K43" t="s" s="170">
        <v>1634</v>
      </c>
      <c r="L43" t="s" s="18">
        <v>197</v>
      </c>
      <c r="M43" s="166">
        <v>1</v>
      </c>
      <c r="N43" t="s" s="18">
        <v>1613</v>
      </c>
      <c r="O43" t="s" s="170">
        <v>1635</v>
      </c>
      <c r="P43" t="s" s="170">
        <v>1634</v>
      </c>
      <c r="Q43" t="s" s="18">
        <v>197</v>
      </c>
      <c r="R43" s="166">
        <v>1</v>
      </c>
      <c r="S43" t="s" s="18">
        <v>1636</v>
      </c>
      <c r="T43" t="s" s="170">
        <v>1637</v>
      </c>
      <c r="U43" t="s" s="18">
        <v>374</v>
      </c>
      <c r="V43" t="s" s="18">
        <v>197</v>
      </c>
      <c r="W43" s="166">
        <v>1</v>
      </c>
      <c r="X43" t="s" s="171">
        <v>259</v>
      </c>
      <c r="Y43" t="s" s="170">
        <v>1638</v>
      </c>
      <c r="Z43" t="s" s="171">
        <v>1639</v>
      </c>
      <c r="AA43" t="s" s="18">
        <v>197</v>
      </c>
      <c r="AB43" s="166">
        <v>1</v>
      </c>
      <c r="AC43" t="s" s="18">
        <v>1640</v>
      </c>
      <c r="AD43" t="s" s="170">
        <v>1641</v>
      </c>
      <c r="AE43" t="s" s="170">
        <v>1642</v>
      </c>
      <c r="AF43" t="s" s="18">
        <v>197</v>
      </c>
    </row>
    <row r="44" ht="15" customHeight="1">
      <c r="A44" s="19"/>
      <c r="B44" s="44"/>
      <c r="C44" s="21"/>
      <c r="D44" s="22"/>
      <c r="E44" s="211"/>
      <c r="F44" s="211"/>
      <c r="G44" s="22"/>
      <c r="H44" s="22"/>
      <c r="I44" s="22"/>
      <c r="J44" s="211"/>
      <c r="K44" s="211"/>
      <c r="L44" s="22"/>
      <c r="M44" s="22"/>
      <c r="N44" s="22"/>
      <c r="O44" s="211"/>
      <c r="P44" s="211"/>
      <c r="Q44" s="22"/>
      <c r="R44" s="22"/>
      <c r="S44" s="22"/>
      <c r="T44" s="211"/>
      <c r="U44" s="22"/>
      <c r="V44" s="22"/>
      <c r="W44" s="22"/>
      <c r="X44" s="22"/>
      <c r="Y44" s="211"/>
      <c r="Z44" s="22"/>
      <c r="AA44" s="22"/>
      <c r="AB44" s="22"/>
      <c r="AC44" s="22"/>
      <c r="AD44" s="211"/>
      <c r="AE44" s="211"/>
      <c r="AF44" s="22"/>
    </row>
    <row r="45" ht="15" customHeight="1">
      <c r="A45" s="19"/>
      <c r="B45" s="44"/>
      <c r="C45" s="21"/>
      <c r="D45" s="22"/>
      <c r="E45" s="211"/>
      <c r="F45" s="211"/>
      <c r="G45" s="22"/>
      <c r="H45" s="22"/>
      <c r="I45" s="22"/>
      <c r="J45" s="211"/>
      <c r="K45" s="22"/>
      <c r="L45" s="22"/>
      <c r="M45" s="22"/>
      <c r="N45" s="22"/>
      <c r="O45" s="22"/>
      <c r="P45" s="211"/>
      <c r="Q45" s="22"/>
      <c r="R45" s="22"/>
      <c r="S45" s="22"/>
      <c r="T45" s="22"/>
      <c r="U45" s="22"/>
      <c r="V45" s="22"/>
      <c r="W45" s="22"/>
      <c r="X45" s="22"/>
      <c r="Y45" s="211"/>
      <c r="Z45" s="22"/>
      <c r="AA45" s="22"/>
      <c r="AB45" s="22"/>
      <c r="AC45" s="22"/>
      <c r="AD45" s="211"/>
      <c r="AE45" s="22"/>
      <c r="AF45" s="22"/>
    </row>
    <row r="46" ht="15" customHeight="1">
      <c r="A46" s="19"/>
      <c r="B46" s="44"/>
      <c r="C46" s="21"/>
      <c r="D46" s="22"/>
      <c r="E46" s="22"/>
      <c r="F46" s="211"/>
      <c r="G46" s="22"/>
      <c r="H46" s="22"/>
      <c r="I46" s="22"/>
      <c r="J46" s="22"/>
      <c r="K46" s="22"/>
      <c r="L46" s="22"/>
      <c r="M46" s="22"/>
      <c r="N46" s="22"/>
      <c r="O46" s="22"/>
      <c r="P46" s="211"/>
      <c r="Q46" s="22"/>
      <c r="R46" s="22"/>
      <c r="S46" s="22"/>
      <c r="T46" s="22"/>
      <c r="U46" s="22"/>
      <c r="V46" s="22"/>
      <c r="W46" s="22"/>
      <c r="X46" s="22"/>
      <c r="Y46" s="211"/>
      <c r="Z46" s="22"/>
      <c r="AA46" s="22"/>
      <c r="AB46" s="22"/>
      <c r="AC46" s="22"/>
      <c r="AD46" s="211"/>
      <c r="AE46" s="22"/>
      <c r="AF46" s="22"/>
    </row>
    <row r="47" ht="15" customHeight="1">
      <c r="A47" s="23"/>
      <c r="B47" s="45"/>
      <c r="C47" s="2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52"/>
      <c r="AE47" s="26"/>
      <c r="AF47" s="26"/>
    </row>
    <row r="48" ht="84" customHeight="1">
      <c r="A48" s="27">
        <v>5</v>
      </c>
      <c r="B48" t="s" s="28">
        <v>16</v>
      </c>
      <c r="C48" s="620">
        <v>1</v>
      </c>
      <c r="D48" t="s" s="18">
        <v>1643</v>
      </c>
      <c r="E48" t="s" s="170">
        <v>1644</v>
      </c>
      <c r="F48" t="s" s="170">
        <v>1645</v>
      </c>
      <c r="G48" t="s" s="171">
        <v>197</v>
      </c>
      <c r="H48" s="167">
        <v>1</v>
      </c>
      <c r="I48" t="s" s="171">
        <v>1643</v>
      </c>
      <c r="J48" t="s" s="170">
        <v>1646</v>
      </c>
      <c r="K48" t="s" s="170">
        <v>1647</v>
      </c>
      <c r="L48" s="168"/>
      <c r="M48" t="s" s="171">
        <v>1648</v>
      </c>
      <c r="N48" s="168"/>
      <c r="O48" s="168"/>
      <c r="P48" s="168"/>
      <c r="Q48" s="168"/>
      <c r="R48" t="s" s="171">
        <v>1649</v>
      </c>
      <c r="S48" s="168"/>
      <c r="T48" s="168"/>
      <c r="U48" s="168"/>
      <c r="V48" s="168"/>
      <c r="W48" t="s" s="171">
        <v>1650</v>
      </c>
      <c r="X48" s="168"/>
      <c r="Y48" s="168"/>
      <c r="Z48" s="168"/>
      <c r="AA48" s="168"/>
      <c r="AB48" s="167">
        <v>2</v>
      </c>
      <c r="AC48" s="168"/>
      <c r="AD48" s="168"/>
      <c r="AE48" s="168"/>
      <c r="AF48" s="168"/>
    </row>
    <row r="49" ht="15" customHeight="1">
      <c r="A49" s="31"/>
      <c r="B49" s="46"/>
      <c r="C49" s="47"/>
      <c r="D49" s="48"/>
      <c r="E49" s="211"/>
      <c r="F49" s="211"/>
      <c r="G49" s="48"/>
      <c r="H49" s="48"/>
      <c r="I49" s="48"/>
      <c r="J49" s="211"/>
      <c r="K49" s="211"/>
      <c r="L49" s="48"/>
      <c r="M49" s="48"/>
      <c r="N49" s="48"/>
      <c r="O49" s="48"/>
      <c r="P49" s="48"/>
      <c r="Q49" s="48"/>
      <c r="R49" s="48"/>
      <c r="S49" s="48"/>
      <c r="T49" s="48"/>
      <c r="U49" s="48"/>
      <c r="V49" s="48"/>
      <c r="W49" s="48"/>
      <c r="X49" s="48"/>
      <c r="Y49" s="48"/>
      <c r="Z49" s="48"/>
      <c r="AA49" s="48"/>
      <c r="AB49" s="48"/>
      <c r="AC49" s="48"/>
      <c r="AD49" s="48"/>
      <c r="AE49" s="48"/>
      <c r="AF49" s="48"/>
    </row>
    <row r="50" ht="15" customHeight="1">
      <c r="A50" s="31"/>
      <c r="B50" s="46"/>
      <c r="C50" s="47"/>
      <c r="D50" s="48"/>
      <c r="E50" s="211"/>
      <c r="F50" s="211"/>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row>
    <row r="51" ht="15" customHeight="1">
      <c r="A51" s="31"/>
      <c r="B51" s="46"/>
      <c r="C51" s="47"/>
      <c r="D51" s="48"/>
      <c r="E51" s="211"/>
      <c r="F51" s="211"/>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row>
    <row r="52" ht="15" customHeight="1">
      <c r="A52" s="31"/>
      <c r="B52" s="46"/>
      <c r="C52" s="47"/>
      <c r="D52" s="48"/>
      <c r="E52" s="211"/>
      <c r="F52" s="211"/>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row>
    <row r="53" ht="15" customHeight="1">
      <c r="A53" s="31"/>
      <c r="B53" s="46"/>
      <c r="C53" s="47"/>
      <c r="D53" s="48"/>
      <c r="E53" s="211"/>
      <c r="F53" s="211"/>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row>
    <row r="54" ht="15" customHeight="1">
      <c r="A54" s="31"/>
      <c r="B54" s="46"/>
      <c r="C54" s="47"/>
      <c r="D54" s="48"/>
      <c r="E54" s="211"/>
      <c r="F54" s="211"/>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row>
    <row r="55" ht="15" customHeight="1">
      <c r="A55" s="35"/>
      <c r="B55" s="49"/>
      <c r="C55" s="50"/>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row>
    <row r="56" ht="30" customHeight="1">
      <c r="A56" s="52">
        <v>6</v>
      </c>
      <c r="B56" t="s" s="53">
        <v>19</v>
      </c>
      <c r="C56" s="634">
        <v>1</v>
      </c>
      <c r="D56" t="s" s="82">
        <v>229</v>
      </c>
      <c r="E56" t="s" s="296">
        <v>1651</v>
      </c>
      <c r="F56" t="s" s="292">
        <v>1652</v>
      </c>
      <c r="G56" t="s" s="82">
        <v>1653</v>
      </c>
      <c r="H56" s="285">
        <v>1</v>
      </c>
      <c r="I56" t="s" s="83">
        <v>1654</v>
      </c>
      <c r="J56" t="s" s="296">
        <v>1655</v>
      </c>
      <c r="K56" t="s" s="296">
        <v>1656</v>
      </c>
      <c r="L56" t="s" s="82">
        <v>1653</v>
      </c>
      <c r="M56" s="285">
        <v>1</v>
      </c>
      <c r="N56" t="s" s="82">
        <v>229</v>
      </c>
      <c r="O56" t="s" s="293">
        <v>1657</v>
      </c>
      <c r="P56" t="s" s="82">
        <v>1653</v>
      </c>
      <c r="Q56" t="s" s="82">
        <v>1653</v>
      </c>
      <c r="R56" s="285">
        <v>1</v>
      </c>
      <c r="S56" t="s" s="82">
        <v>229</v>
      </c>
      <c r="T56" t="s" s="283">
        <v>1658</v>
      </c>
      <c r="U56" t="s" s="82">
        <v>1658</v>
      </c>
      <c r="V56" t="s" s="82">
        <v>1658</v>
      </c>
      <c r="W56" s="285">
        <v>1</v>
      </c>
      <c r="X56" t="s" s="82">
        <v>1659</v>
      </c>
      <c r="Y56" t="s" s="292">
        <v>1660</v>
      </c>
      <c r="Z56" t="s" s="292">
        <v>1661</v>
      </c>
      <c r="AA56" t="s" s="82">
        <v>1653</v>
      </c>
      <c r="AB56" s="287">
        <v>2</v>
      </c>
      <c r="AC56" t="s" s="82">
        <v>229</v>
      </c>
      <c r="AD56" t="s" s="293">
        <v>1662</v>
      </c>
      <c r="AE56" t="s" s="293">
        <v>1663</v>
      </c>
      <c r="AF56" t="s" s="296">
        <v>1664</v>
      </c>
    </row>
    <row r="57" ht="15" customHeight="1">
      <c r="A57" s="56"/>
      <c r="B57" s="57"/>
      <c r="C57" s="58"/>
      <c r="D57" s="59"/>
      <c r="E57" s="305"/>
      <c r="F57" s="302"/>
      <c r="G57" s="59"/>
      <c r="H57" s="59"/>
      <c r="I57" s="59"/>
      <c r="J57" s="305"/>
      <c r="K57" s="305"/>
      <c r="L57" s="59"/>
      <c r="M57" s="59"/>
      <c r="N57" s="59"/>
      <c r="O57" s="304"/>
      <c r="P57" s="59"/>
      <c r="Q57" s="59"/>
      <c r="R57" s="59"/>
      <c r="S57" s="59"/>
      <c r="T57" s="636"/>
      <c r="U57" s="59"/>
      <c r="V57" s="59"/>
      <c r="W57" s="59"/>
      <c r="X57" s="59"/>
      <c r="Y57" s="302"/>
      <c r="Z57" s="302"/>
      <c r="AA57" s="59"/>
      <c r="AB57" s="59"/>
      <c r="AC57" s="59"/>
      <c r="AD57" s="304"/>
      <c r="AE57" s="304"/>
      <c r="AF57" s="305"/>
    </row>
    <row r="58" ht="15" customHeight="1">
      <c r="A58" s="56"/>
      <c r="B58" s="57"/>
      <c r="C58" s="58"/>
      <c r="D58" s="59"/>
      <c r="E58" s="305"/>
      <c r="F58" s="302"/>
      <c r="G58" s="59"/>
      <c r="H58" s="59"/>
      <c r="I58" s="59"/>
      <c r="J58" s="305"/>
      <c r="K58" s="305"/>
      <c r="L58" s="59"/>
      <c r="M58" s="59"/>
      <c r="N58" s="59"/>
      <c r="O58" s="304"/>
      <c r="P58" s="59"/>
      <c r="Q58" s="59"/>
      <c r="R58" s="59"/>
      <c r="S58" s="59"/>
      <c r="T58" s="636"/>
      <c r="U58" s="59"/>
      <c r="V58" s="59"/>
      <c r="W58" s="59"/>
      <c r="X58" s="59"/>
      <c r="Y58" s="302"/>
      <c r="Z58" s="302"/>
      <c r="AA58" s="59"/>
      <c r="AB58" s="59"/>
      <c r="AC58" s="59"/>
      <c r="AD58" s="304"/>
      <c r="AE58" s="304"/>
      <c r="AF58" s="305"/>
    </row>
    <row r="59" ht="13.55" customHeight="1">
      <c r="A59" s="60"/>
      <c r="B59" s="57"/>
      <c r="C59" s="58"/>
      <c r="D59" s="59"/>
      <c r="E59" s="305"/>
      <c r="F59" s="302"/>
      <c r="G59" s="59"/>
      <c r="H59" s="59"/>
      <c r="I59" s="59"/>
      <c r="J59" s="305"/>
      <c r="K59" s="305"/>
      <c r="L59" s="59"/>
      <c r="M59" s="59"/>
      <c r="N59" s="59"/>
      <c r="O59" s="304"/>
      <c r="P59" s="59"/>
      <c r="Q59" s="59"/>
      <c r="R59" s="59"/>
      <c r="S59" s="59"/>
      <c r="T59" s="636"/>
      <c r="U59" s="59"/>
      <c r="V59" s="59"/>
      <c r="W59" s="59"/>
      <c r="X59" s="59"/>
      <c r="Y59" s="302"/>
      <c r="Z59" s="302"/>
      <c r="AA59" s="59"/>
      <c r="AB59" s="59"/>
      <c r="AC59" s="59"/>
      <c r="AD59" s="304"/>
      <c r="AE59" s="304"/>
      <c r="AF59" s="305"/>
    </row>
    <row r="60" ht="13.55" customHeight="1">
      <c r="A60" s="60"/>
      <c r="B60" s="57"/>
      <c r="C60" s="58"/>
      <c r="D60" s="59"/>
      <c r="E60" s="305"/>
      <c r="F60" s="302"/>
      <c r="G60" s="59"/>
      <c r="H60" s="59"/>
      <c r="I60" s="59"/>
      <c r="J60" s="305"/>
      <c r="K60" s="305"/>
      <c r="L60" s="59"/>
      <c r="M60" s="59"/>
      <c r="N60" s="59"/>
      <c r="O60" s="304"/>
      <c r="P60" s="59"/>
      <c r="Q60" s="59"/>
      <c r="R60" s="59"/>
      <c r="S60" s="59"/>
      <c r="T60" s="636"/>
      <c r="U60" s="59"/>
      <c r="V60" s="59"/>
      <c r="W60" s="59"/>
      <c r="X60" s="59"/>
      <c r="Y60" s="302"/>
      <c r="Z60" s="302"/>
      <c r="AA60" s="59"/>
      <c r="AB60" s="59"/>
      <c r="AC60" s="59"/>
      <c r="AD60" s="304"/>
      <c r="AE60" s="304"/>
      <c r="AF60" s="305"/>
    </row>
    <row r="61" ht="13.55" customHeight="1">
      <c r="A61" s="60"/>
      <c r="B61" s="57"/>
      <c r="C61" s="58"/>
      <c r="D61" s="59"/>
      <c r="E61" s="305"/>
      <c r="F61" s="302"/>
      <c r="G61" s="59"/>
      <c r="H61" s="59"/>
      <c r="I61" s="59"/>
      <c r="J61" s="305"/>
      <c r="K61" s="305"/>
      <c r="L61" s="59"/>
      <c r="M61" s="59"/>
      <c r="N61" s="59"/>
      <c r="O61" s="304"/>
      <c r="P61" s="59"/>
      <c r="Q61" s="59"/>
      <c r="R61" s="59"/>
      <c r="S61" s="59"/>
      <c r="T61" s="636"/>
      <c r="U61" s="59"/>
      <c r="V61" s="59"/>
      <c r="W61" s="59"/>
      <c r="X61" s="59"/>
      <c r="Y61" s="302"/>
      <c r="Z61" s="302"/>
      <c r="AA61" s="59"/>
      <c r="AB61" s="59"/>
      <c r="AC61" s="59"/>
      <c r="AD61" s="304"/>
      <c r="AE61" s="304"/>
      <c r="AF61" s="305"/>
    </row>
    <row r="62" ht="13.55" customHeight="1">
      <c r="A62" s="60"/>
      <c r="B62" s="57"/>
      <c r="C62" s="58"/>
      <c r="D62" s="59"/>
      <c r="E62" s="305"/>
      <c r="F62" s="302"/>
      <c r="G62" s="59"/>
      <c r="H62" s="59"/>
      <c r="I62" s="59"/>
      <c r="J62" s="305"/>
      <c r="K62" s="305"/>
      <c r="L62" s="59"/>
      <c r="M62" s="59"/>
      <c r="N62" s="59"/>
      <c r="O62" s="304"/>
      <c r="P62" s="59"/>
      <c r="Q62" s="59"/>
      <c r="R62" s="59"/>
      <c r="S62" s="59"/>
      <c r="T62" s="636"/>
      <c r="U62" s="59"/>
      <c r="V62" s="59"/>
      <c r="W62" s="59"/>
      <c r="X62" s="59"/>
      <c r="Y62" s="302"/>
      <c r="Z62" s="302"/>
      <c r="AA62" s="59"/>
      <c r="AB62" s="59"/>
      <c r="AC62" s="59"/>
      <c r="AD62" s="304"/>
      <c r="AE62" s="304"/>
      <c r="AF62" s="305"/>
    </row>
    <row r="63" ht="1043.25" customHeight="1">
      <c r="A63" s="60"/>
      <c r="B63" s="57"/>
      <c r="C63" s="58"/>
      <c r="D63" s="59"/>
      <c r="E63" s="305"/>
      <c r="F63" s="302"/>
      <c r="G63" s="59"/>
      <c r="H63" s="59"/>
      <c r="I63" s="59"/>
      <c r="J63" s="305"/>
      <c r="K63" s="305"/>
      <c r="L63" s="59"/>
      <c r="M63" s="59"/>
      <c r="N63" s="59"/>
      <c r="O63" s="304"/>
      <c r="P63" s="59"/>
      <c r="Q63" s="59"/>
      <c r="R63" s="59"/>
      <c r="S63" s="59"/>
      <c r="T63" s="636"/>
      <c r="U63" s="59"/>
      <c r="V63" s="59"/>
      <c r="W63" s="59"/>
      <c r="X63" s="59"/>
      <c r="Y63" s="302"/>
      <c r="Z63" s="302"/>
      <c r="AA63" s="59"/>
      <c r="AB63" s="59"/>
      <c r="AC63" s="59"/>
      <c r="AD63" s="304"/>
      <c r="AE63" s="304"/>
      <c r="AF63" s="305"/>
    </row>
    <row r="64" ht="104" customHeight="1">
      <c r="A64" s="60"/>
      <c r="B64" s="57"/>
      <c r="C64" s="58"/>
      <c r="D64" s="59"/>
      <c r="E64" s="59"/>
      <c r="F64" s="59"/>
      <c r="G64" s="59"/>
      <c r="H64" s="59"/>
      <c r="I64" s="59"/>
      <c r="J64" s="305"/>
      <c r="K64" s="305"/>
      <c r="L64" s="59"/>
      <c r="M64" s="59"/>
      <c r="N64" s="59"/>
      <c r="O64" s="304"/>
      <c r="P64" s="59"/>
      <c r="Q64" s="59"/>
      <c r="R64" s="59"/>
      <c r="S64" s="59"/>
      <c r="T64" s="59"/>
      <c r="U64" s="59"/>
      <c r="V64" s="59"/>
      <c r="W64" s="59"/>
      <c r="X64" s="59"/>
      <c r="Y64" s="59"/>
      <c r="Z64" s="302"/>
      <c r="AA64" s="59"/>
      <c r="AB64" s="59"/>
      <c r="AC64" s="59"/>
      <c r="AD64" s="304"/>
      <c r="AE64" s="304"/>
      <c r="AF64" s="305"/>
    </row>
    <row r="65" ht="13.55" customHeight="1">
      <c r="A65" s="60"/>
      <c r="B65" s="57"/>
      <c r="C65" s="58"/>
      <c r="D65" s="59"/>
      <c r="E65" s="59"/>
      <c r="F65" s="59"/>
      <c r="G65" s="59"/>
      <c r="H65" s="59"/>
      <c r="I65" s="59"/>
      <c r="J65" s="59"/>
      <c r="K65" s="59"/>
      <c r="L65" s="59"/>
      <c r="M65" s="59"/>
      <c r="N65" s="59"/>
      <c r="O65" s="59"/>
      <c r="P65" s="59"/>
      <c r="Q65" s="59"/>
      <c r="R65" s="59"/>
      <c r="S65" s="59"/>
      <c r="T65" s="59"/>
      <c r="U65" s="59"/>
      <c r="V65" s="59"/>
      <c r="W65" s="59"/>
      <c r="X65" s="59"/>
      <c r="Y65" s="59"/>
      <c r="Z65" s="302"/>
      <c r="AA65" s="59"/>
      <c r="AB65" s="59"/>
      <c r="AC65" s="59"/>
      <c r="AD65" s="59"/>
      <c r="AE65" s="59"/>
      <c r="AF65" s="59"/>
    </row>
    <row r="66" ht="13.55" customHeight="1">
      <c r="A66" s="60"/>
      <c r="B66" s="57"/>
      <c r="C66" s="58"/>
      <c r="D66" s="59"/>
      <c r="E66" s="59"/>
      <c r="F66" s="59"/>
      <c r="G66" s="59"/>
      <c r="H66" s="59"/>
      <c r="I66" s="59"/>
      <c r="J66" s="59"/>
      <c r="K66" s="59"/>
      <c r="L66" s="59"/>
      <c r="M66" s="59"/>
      <c r="N66" s="59"/>
      <c r="O66" s="59"/>
      <c r="P66" s="59"/>
      <c r="Q66" s="59"/>
      <c r="R66" s="59"/>
      <c r="S66" s="59"/>
      <c r="T66" s="59"/>
      <c r="U66" s="59"/>
      <c r="V66" s="59"/>
      <c r="W66" s="59"/>
      <c r="X66" s="59"/>
      <c r="Y66" s="59"/>
      <c r="Z66" s="302"/>
      <c r="AA66" s="59"/>
      <c r="AB66" s="59"/>
      <c r="AC66" s="59"/>
      <c r="AD66" s="59"/>
      <c r="AE66" s="59"/>
      <c r="AF66" s="59"/>
    </row>
    <row r="67" ht="13.55" customHeight="1">
      <c r="A67" s="60"/>
      <c r="B67" s="57"/>
      <c r="C67" s="58"/>
      <c r="D67" s="59"/>
      <c r="E67" s="59"/>
      <c r="F67" s="59"/>
      <c r="G67" s="59"/>
      <c r="H67" s="59"/>
      <c r="I67" s="59"/>
      <c r="J67" s="59"/>
      <c r="K67" s="59"/>
      <c r="L67" s="59"/>
      <c r="M67" s="59"/>
      <c r="N67" s="59"/>
      <c r="O67" s="59"/>
      <c r="P67" s="59"/>
      <c r="Q67" s="59"/>
      <c r="R67" s="59"/>
      <c r="S67" s="59"/>
      <c r="T67" s="59"/>
      <c r="U67" s="59"/>
      <c r="V67" s="59"/>
      <c r="W67" s="59"/>
      <c r="X67" s="59"/>
      <c r="Y67" s="59"/>
      <c r="Z67" s="302"/>
      <c r="AA67" s="59"/>
      <c r="AB67" s="59"/>
      <c r="AC67" s="59"/>
      <c r="AD67" s="59"/>
      <c r="AE67" s="59"/>
      <c r="AF67" s="59"/>
    </row>
    <row r="68" ht="13.55" customHeight="1">
      <c r="A68" s="60"/>
      <c r="B68" s="57"/>
      <c r="C68" s="58"/>
      <c r="D68" s="59"/>
      <c r="E68" s="59"/>
      <c r="F68" s="59"/>
      <c r="G68" s="59"/>
      <c r="H68" s="59"/>
      <c r="I68" s="59"/>
      <c r="J68" s="59"/>
      <c r="K68" s="59"/>
      <c r="L68" s="59"/>
      <c r="M68" s="59"/>
      <c r="N68" s="59"/>
      <c r="O68" s="59"/>
      <c r="P68" s="59"/>
      <c r="Q68" s="59"/>
      <c r="R68" s="59"/>
      <c r="S68" s="59"/>
      <c r="T68" s="59"/>
      <c r="U68" s="59"/>
      <c r="V68" s="59"/>
      <c r="W68" s="59"/>
      <c r="X68" s="59"/>
      <c r="Y68" s="59"/>
      <c r="Z68" s="302"/>
      <c r="AA68" s="59"/>
      <c r="AB68" s="59"/>
      <c r="AC68" s="59"/>
      <c r="AD68" s="59"/>
      <c r="AE68" s="59"/>
      <c r="AF68" s="59"/>
    </row>
    <row r="69" ht="13.55" customHeight="1">
      <c r="A69" s="61"/>
      <c r="B69" s="62"/>
      <c r="C69" s="63"/>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row>
    <row r="70" ht="48" customHeight="1">
      <c r="A70" s="15">
        <v>7</v>
      </c>
      <c r="B70" t="s" s="65">
        <v>21</v>
      </c>
      <c r="C70" t="s" s="17">
        <v>1665</v>
      </c>
      <c r="D70" s="169"/>
      <c r="E70" s="169"/>
      <c r="F70" s="169"/>
      <c r="G70" t="s" s="170">
        <v>1666</v>
      </c>
      <c r="H70" s="166">
        <v>1</v>
      </c>
      <c r="I70" t="s" s="18">
        <v>1667</v>
      </c>
      <c r="J70" t="s" s="170">
        <v>1668</v>
      </c>
      <c r="K70" t="s" s="170">
        <v>1669</v>
      </c>
      <c r="L70" t="s" s="171">
        <v>1670</v>
      </c>
      <c r="M70" t="s" s="171">
        <v>1671</v>
      </c>
      <c r="N70" s="168"/>
      <c r="O70" s="169"/>
      <c r="P70" s="169"/>
      <c r="Q70" t="s" s="18">
        <v>374</v>
      </c>
      <c r="R70" t="s" s="171">
        <v>1672</v>
      </c>
      <c r="S70" s="169"/>
      <c r="T70" s="169"/>
      <c r="U70" s="169"/>
      <c r="V70" t="s" s="18">
        <v>374</v>
      </c>
      <c r="W70" t="s" s="171">
        <v>1673</v>
      </c>
      <c r="X70" t="s" s="171">
        <v>230</v>
      </c>
      <c r="Y70" t="s" s="171">
        <v>1674</v>
      </c>
      <c r="Z70" t="s" s="170">
        <v>1675</v>
      </c>
      <c r="AA70" t="s" s="171">
        <v>374</v>
      </c>
      <c r="AB70" s="167">
        <v>2</v>
      </c>
      <c r="AC70" s="168"/>
      <c r="AD70" s="168"/>
      <c r="AE70" s="168"/>
      <c r="AF70" t="s" s="18">
        <v>1676</v>
      </c>
    </row>
    <row r="71" ht="216" customHeight="1">
      <c r="A71" s="19"/>
      <c r="B71" s="67"/>
      <c r="C71" s="21"/>
      <c r="D71" s="22"/>
      <c r="E71" s="22"/>
      <c r="F71" s="22"/>
      <c r="G71" s="211"/>
      <c r="H71" s="22"/>
      <c r="I71" s="22"/>
      <c r="J71" s="211"/>
      <c r="K71" s="211"/>
      <c r="L71" s="22"/>
      <c r="M71" s="22"/>
      <c r="N71" s="22"/>
      <c r="O71" s="22"/>
      <c r="P71" s="22"/>
      <c r="Q71" s="22"/>
      <c r="R71" s="22"/>
      <c r="S71" s="22"/>
      <c r="T71" s="22"/>
      <c r="U71" s="22"/>
      <c r="V71" s="22"/>
      <c r="W71" s="22"/>
      <c r="X71" s="22"/>
      <c r="Y71" s="22"/>
      <c r="Z71" s="211"/>
      <c r="AA71" s="22"/>
      <c r="AB71" t="s" s="182">
        <v>1677</v>
      </c>
      <c r="AC71" s="22"/>
      <c r="AD71" s="22"/>
      <c r="AE71" s="22"/>
      <c r="AF71" s="22"/>
    </row>
    <row r="72" ht="15" customHeight="1">
      <c r="A72" s="19"/>
      <c r="B72" s="67"/>
      <c r="C72" s="21"/>
      <c r="D72" s="22"/>
      <c r="E72" s="22"/>
      <c r="F72" s="22"/>
      <c r="G72" s="211"/>
      <c r="H72" s="22"/>
      <c r="I72" s="22"/>
      <c r="J72" s="22"/>
      <c r="K72" s="211"/>
      <c r="L72" s="22"/>
      <c r="M72" s="22"/>
      <c r="N72" s="22"/>
      <c r="O72" s="22"/>
      <c r="P72" s="22"/>
      <c r="Q72" s="22"/>
      <c r="R72" s="22"/>
      <c r="S72" s="22"/>
      <c r="T72" s="22"/>
      <c r="U72" s="22"/>
      <c r="V72" s="22"/>
      <c r="W72" s="22"/>
      <c r="X72" s="22"/>
      <c r="Y72" s="22"/>
      <c r="Z72" s="22"/>
      <c r="AA72" s="22"/>
      <c r="AB72" s="22"/>
      <c r="AC72" s="22"/>
      <c r="AD72" s="22"/>
      <c r="AE72" s="22"/>
      <c r="AF72" s="22"/>
    </row>
    <row r="73" ht="15" customHeight="1">
      <c r="A73" s="19"/>
      <c r="B73" s="67"/>
      <c r="C73" s="21"/>
      <c r="D73" s="22"/>
      <c r="E73" s="22"/>
      <c r="F73" s="22"/>
      <c r="G73" s="22"/>
      <c r="H73" s="22"/>
      <c r="I73" s="22"/>
      <c r="J73" s="22"/>
      <c r="K73" s="211"/>
      <c r="L73" s="22"/>
      <c r="M73" s="22"/>
      <c r="N73" s="22"/>
      <c r="O73" s="22"/>
      <c r="P73" s="22"/>
      <c r="Q73" s="22"/>
      <c r="R73" s="22"/>
      <c r="S73" s="22"/>
      <c r="T73" s="22"/>
      <c r="U73" s="22"/>
      <c r="V73" s="22"/>
      <c r="W73" s="22"/>
      <c r="X73" s="22"/>
      <c r="Y73" s="22"/>
      <c r="Z73" s="22"/>
      <c r="AA73" s="22"/>
      <c r="AB73" s="22"/>
      <c r="AC73" s="22"/>
      <c r="AD73" s="22"/>
      <c r="AE73" s="22"/>
      <c r="AF73" s="22"/>
    </row>
    <row r="74" ht="15" customHeight="1">
      <c r="A74" s="19"/>
      <c r="B74" s="67"/>
      <c r="C74" s="21"/>
      <c r="D74" s="22"/>
      <c r="E74" s="22"/>
      <c r="F74" s="22"/>
      <c r="G74" s="22"/>
      <c r="H74" s="22"/>
      <c r="I74" s="22"/>
      <c r="J74" s="22"/>
      <c r="K74" s="211"/>
      <c r="L74" s="22"/>
      <c r="M74" s="22"/>
      <c r="N74" s="22"/>
      <c r="O74" s="22"/>
      <c r="P74" s="22"/>
      <c r="Q74" s="22"/>
      <c r="R74" s="22"/>
      <c r="S74" s="22"/>
      <c r="T74" s="22"/>
      <c r="U74" s="22"/>
      <c r="V74" s="22"/>
      <c r="W74" s="22"/>
      <c r="X74" s="22"/>
      <c r="Y74" s="22"/>
      <c r="Z74" s="22"/>
      <c r="AA74" s="22"/>
      <c r="AB74" s="22"/>
      <c r="AC74" s="22"/>
      <c r="AD74" s="22"/>
      <c r="AE74" s="22"/>
      <c r="AF74" s="22"/>
    </row>
    <row r="75" ht="15" customHeight="1">
      <c r="A75" s="19"/>
      <c r="B75" s="67"/>
      <c r="C75" s="21"/>
      <c r="D75" s="22"/>
      <c r="E75" s="22"/>
      <c r="F75" s="22"/>
      <c r="G75" s="22"/>
      <c r="H75" s="22"/>
      <c r="I75" s="22"/>
      <c r="J75" s="22"/>
      <c r="K75" s="211"/>
      <c r="L75" s="22"/>
      <c r="M75" s="22"/>
      <c r="N75" s="22"/>
      <c r="O75" s="22"/>
      <c r="P75" s="22"/>
      <c r="Q75" s="22"/>
      <c r="R75" s="22"/>
      <c r="S75" s="22"/>
      <c r="T75" s="22"/>
      <c r="U75" s="22"/>
      <c r="V75" s="22"/>
      <c r="W75" s="22"/>
      <c r="X75" s="22"/>
      <c r="Y75" s="22"/>
      <c r="Z75" s="22"/>
      <c r="AA75" s="22"/>
      <c r="AB75" s="22"/>
      <c r="AC75" s="22"/>
      <c r="AD75" s="22"/>
      <c r="AE75" s="22"/>
      <c r="AF75" s="22"/>
    </row>
    <row r="76" ht="15" customHeight="1">
      <c r="A76" s="19"/>
      <c r="B76" s="67"/>
      <c r="C76" s="21"/>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row>
    <row r="77" ht="15" customHeight="1">
      <c r="A77" s="19"/>
      <c r="B77" s="67"/>
      <c r="C77" s="21"/>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row>
    <row r="78" ht="15" customHeight="1">
      <c r="A78" s="19"/>
      <c r="B78" s="67"/>
      <c r="C78" s="21"/>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row>
    <row r="79" ht="15" customHeight="1">
      <c r="A79" s="19"/>
      <c r="B79" s="67"/>
      <c r="C79" s="21"/>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row>
    <row r="80" ht="15" customHeight="1">
      <c r="A80" s="23"/>
      <c r="B80" s="68"/>
      <c r="C80" s="25"/>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row>
    <row r="81" ht="60" customHeight="1">
      <c r="A81" s="71">
        <v>8</v>
      </c>
      <c r="B81" t="s" s="72">
        <v>22</v>
      </c>
      <c r="C81" s="640">
        <v>1</v>
      </c>
      <c r="D81" t="s" s="320">
        <v>1678</v>
      </c>
      <c r="E81" t="s" s="320">
        <v>1679</v>
      </c>
      <c r="F81" t="s" s="292">
        <v>1680</v>
      </c>
      <c r="G81" t="s" s="292">
        <v>1681</v>
      </c>
      <c r="H81" s="321">
        <v>1</v>
      </c>
      <c r="I81" t="s" s="320">
        <v>1682</v>
      </c>
      <c r="J81" t="s" s="292">
        <v>1683</v>
      </c>
      <c r="K81" s="325"/>
      <c r="L81" t="s" s="75">
        <v>1684</v>
      </c>
      <c r="M81" t="s" s="320">
        <v>1685</v>
      </c>
      <c r="N81" s="325"/>
      <c r="O81" s="325"/>
      <c r="P81" s="325"/>
      <c r="Q81" t="s" s="292">
        <v>1686</v>
      </c>
      <c r="R81" s="321">
        <v>1</v>
      </c>
      <c r="S81" t="s" s="320">
        <v>1687</v>
      </c>
      <c r="T81" t="s" s="292">
        <v>1688</v>
      </c>
      <c r="U81" t="s" s="292">
        <v>1689</v>
      </c>
      <c r="V81" t="s" s="292">
        <v>1690</v>
      </c>
      <c r="W81" s="321">
        <v>2</v>
      </c>
      <c r="X81" s="325"/>
      <c r="Y81" s="325"/>
      <c r="Z81" s="325"/>
      <c r="AA81" t="s" s="292">
        <v>1691</v>
      </c>
      <c r="AB81" s="321">
        <v>1</v>
      </c>
      <c r="AC81" t="s" s="320">
        <v>1692</v>
      </c>
      <c r="AD81" t="s" s="320">
        <v>306</v>
      </c>
      <c r="AE81" t="s" s="320">
        <v>306</v>
      </c>
      <c r="AF81" t="s" s="292">
        <v>1693</v>
      </c>
    </row>
    <row r="82" ht="15" customHeight="1">
      <c r="A82" s="76"/>
      <c r="B82" s="77"/>
      <c r="C82" s="78"/>
      <c r="D82" s="79"/>
      <c r="E82" s="79"/>
      <c r="F82" s="302"/>
      <c r="G82" s="302"/>
      <c r="H82" s="79"/>
      <c r="I82" s="79"/>
      <c r="J82" s="302"/>
      <c r="K82" s="79"/>
      <c r="L82" s="693"/>
      <c r="M82" s="79"/>
      <c r="N82" s="79"/>
      <c r="O82" s="79"/>
      <c r="P82" s="79"/>
      <c r="Q82" s="302"/>
      <c r="R82" s="79"/>
      <c r="S82" s="79"/>
      <c r="T82" s="79"/>
      <c r="U82" s="302"/>
      <c r="V82" s="302"/>
      <c r="W82" s="79"/>
      <c r="X82" s="79"/>
      <c r="Y82" s="79"/>
      <c r="Z82" s="79"/>
      <c r="AA82" s="302"/>
      <c r="AB82" s="79"/>
      <c r="AC82" s="79"/>
      <c r="AD82" s="79"/>
      <c r="AE82" s="79"/>
      <c r="AF82" s="302"/>
    </row>
    <row r="83" ht="26.1" customHeight="1">
      <c r="A83" s="80"/>
      <c r="B83" s="77"/>
      <c r="C83" s="78"/>
      <c r="D83" s="79"/>
      <c r="E83" s="79"/>
      <c r="F83" s="302"/>
      <c r="G83" s="302"/>
      <c r="H83" s="79"/>
      <c r="I83" s="79"/>
      <c r="J83" s="79"/>
      <c r="K83" s="79"/>
      <c r="L83" s="693"/>
      <c r="M83" s="79"/>
      <c r="N83" s="79"/>
      <c r="O83" s="79"/>
      <c r="P83" s="79"/>
      <c r="Q83" s="302"/>
      <c r="R83" s="79"/>
      <c r="S83" s="79"/>
      <c r="T83" s="79"/>
      <c r="U83" s="302"/>
      <c r="V83" s="302"/>
      <c r="W83" s="79"/>
      <c r="X83" s="79"/>
      <c r="Y83" s="79"/>
      <c r="Z83" s="79"/>
      <c r="AA83" s="302"/>
      <c r="AB83" s="79"/>
      <c r="AC83" s="79"/>
      <c r="AD83" s="79"/>
      <c r="AE83" s="79"/>
      <c r="AF83" s="79"/>
    </row>
    <row r="84" ht="29.4" customHeight="1">
      <c r="A84" s="81"/>
      <c r="B84" s="57"/>
      <c r="C84" s="78"/>
      <c r="D84" s="79"/>
      <c r="E84" s="79"/>
      <c r="F84" s="302"/>
      <c r="G84" s="79"/>
      <c r="H84" s="79"/>
      <c r="I84" s="79"/>
      <c r="J84" s="79"/>
      <c r="K84" s="79"/>
      <c r="L84" s="79"/>
      <c r="M84" s="79"/>
      <c r="N84" s="79"/>
      <c r="O84" s="79"/>
      <c r="P84" s="79"/>
      <c r="Q84" s="79"/>
      <c r="R84" s="79"/>
      <c r="S84" s="79"/>
      <c r="T84" s="79"/>
      <c r="U84" s="302"/>
      <c r="V84" s="79"/>
      <c r="W84" s="79"/>
      <c r="X84" s="79"/>
      <c r="Y84" s="79"/>
      <c r="Z84" s="79"/>
      <c r="AA84" s="79"/>
      <c r="AB84" s="79"/>
      <c r="AC84" s="79"/>
      <c r="AD84" s="79"/>
      <c r="AE84" s="79"/>
      <c r="AF84" s="79"/>
    </row>
    <row r="85" ht="13.55" customHeight="1">
      <c r="A85" s="19"/>
      <c r="B85" s="57"/>
      <c r="C85" s="58"/>
      <c r="D85" s="59"/>
      <c r="E85" s="59"/>
      <c r="F85" s="59"/>
      <c r="G85" s="59"/>
      <c r="H85" s="59"/>
      <c r="I85" s="59"/>
      <c r="J85" s="59"/>
      <c r="K85" s="59"/>
      <c r="L85" s="59"/>
      <c r="M85" s="59"/>
      <c r="N85" s="59"/>
      <c r="O85" s="59"/>
      <c r="P85" s="59"/>
      <c r="Q85" s="59"/>
      <c r="R85" s="59"/>
      <c r="S85" s="59"/>
      <c r="T85" s="59"/>
      <c r="U85" s="302"/>
      <c r="V85" s="59"/>
      <c r="W85" s="59"/>
      <c r="X85" s="59"/>
      <c r="Y85" s="59"/>
      <c r="Z85" s="59"/>
      <c r="AA85" s="59"/>
      <c r="AB85" s="59"/>
      <c r="AC85" s="59"/>
      <c r="AD85" s="59"/>
      <c r="AE85" s="59"/>
      <c r="AF85" s="59"/>
    </row>
    <row r="86" ht="13.55" customHeight="1">
      <c r="A86" s="19"/>
      <c r="B86" s="57"/>
      <c r="C86" s="58"/>
      <c r="D86" s="59"/>
      <c r="E86" s="59"/>
      <c r="F86" s="59"/>
      <c r="G86" s="59"/>
      <c r="H86" s="59"/>
      <c r="I86" s="59"/>
      <c r="J86" s="59"/>
      <c r="K86" s="59"/>
      <c r="L86" s="59"/>
      <c r="M86" s="59"/>
      <c r="N86" s="59"/>
      <c r="O86" s="59"/>
      <c r="P86" s="59"/>
      <c r="Q86" s="59"/>
      <c r="R86" s="59"/>
      <c r="S86" s="59"/>
      <c r="T86" s="59"/>
      <c r="U86" s="302"/>
      <c r="V86" s="59"/>
      <c r="W86" s="59"/>
      <c r="X86" s="59"/>
      <c r="Y86" s="59"/>
      <c r="Z86" s="59"/>
      <c r="AA86" s="59"/>
      <c r="AB86" s="59"/>
      <c r="AC86" s="59"/>
      <c r="AD86" s="59"/>
      <c r="AE86" s="59"/>
      <c r="AF86" s="59"/>
    </row>
    <row r="87" ht="13.55" customHeight="1">
      <c r="A87" s="19"/>
      <c r="B87" s="57"/>
      <c r="C87" s="58"/>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row>
    <row r="88" ht="13.55" customHeight="1">
      <c r="A88" s="19"/>
      <c r="B88" s="57"/>
      <c r="C88" s="58"/>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row>
    <row r="89" ht="13.55" customHeight="1">
      <c r="A89" s="23"/>
      <c r="B89" s="62"/>
      <c r="C89" s="63"/>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row>
    <row r="90" ht="15" customHeight="1">
      <c r="A90" s="52">
        <v>9</v>
      </c>
      <c r="B90" t="s" s="53">
        <v>24</v>
      </c>
      <c r="C90" t="s" s="694">
        <v>1694</v>
      </c>
      <c r="D90" s="123"/>
      <c r="E90" s="123"/>
      <c r="F90" s="123"/>
      <c r="G90" s="123"/>
      <c r="H90" s="285">
        <v>1</v>
      </c>
      <c r="I90" t="s" s="82">
        <v>200</v>
      </c>
      <c r="J90" t="s" s="293">
        <v>1695</v>
      </c>
      <c r="K90" s="123"/>
      <c r="L90" s="123"/>
      <c r="M90" t="s" s="82">
        <v>1696</v>
      </c>
      <c r="N90" s="123"/>
      <c r="O90" s="123"/>
      <c r="P90" s="123"/>
      <c r="Q90" s="123"/>
      <c r="R90" t="s" s="82">
        <v>1697</v>
      </c>
      <c r="S90" s="123"/>
      <c r="T90" s="123"/>
      <c r="U90" s="123"/>
      <c r="V90" s="123"/>
      <c r="W90" s="285">
        <v>1</v>
      </c>
      <c r="X90" t="s" s="83">
        <v>1698</v>
      </c>
      <c r="Y90" t="s" s="293">
        <v>1699</v>
      </c>
      <c r="Z90" t="s" s="293">
        <v>1700</v>
      </c>
      <c r="AA90" s="123"/>
      <c r="AB90" s="285">
        <v>1</v>
      </c>
      <c r="AC90" t="s" s="82">
        <v>259</v>
      </c>
      <c r="AD90" t="s" s="293">
        <v>1701</v>
      </c>
      <c r="AE90" t="s" s="484">
        <v>1702</v>
      </c>
      <c r="AF90" s="123"/>
    </row>
    <row r="91" ht="15" customHeight="1">
      <c r="A91" s="56"/>
      <c r="B91" s="57"/>
      <c r="C91" s="58"/>
      <c r="D91" s="59"/>
      <c r="E91" s="59"/>
      <c r="F91" s="59"/>
      <c r="G91" s="59"/>
      <c r="H91" s="59"/>
      <c r="I91" s="59"/>
      <c r="J91" s="304"/>
      <c r="K91" s="59"/>
      <c r="L91" s="59"/>
      <c r="M91" s="59"/>
      <c r="N91" s="59"/>
      <c r="O91" s="59"/>
      <c r="P91" s="59"/>
      <c r="Q91" s="59"/>
      <c r="R91" s="59"/>
      <c r="S91" s="59"/>
      <c r="T91" s="59"/>
      <c r="U91" s="59"/>
      <c r="V91" s="59"/>
      <c r="W91" s="59"/>
      <c r="X91" s="59"/>
      <c r="Y91" s="304"/>
      <c r="Z91" s="304"/>
      <c r="AA91" s="59"/>
      <c r="AB91" s="59"/>
      <c r="AC91" s="59"/>
      <c r="AD91" s="304"/>
      <c r="AE91" s="491"/>
      <c r="AF91" s="59"/>
    </row>
    <row r="92" ht="15" customHeight="1">
      <c r="A92" s="56"/>
      <c r="B92" s="57"/>
      <c r="C92" s="58"/>
      <c r="D92" s="59"/>
      <c r="E92" s="59"/>
      <c r="F92" s="59"/>
      <c r="G92" s="59"/>
      <c r="H92" s="59"/>
      <c r="I92" s="59"/>
      <c r="J92" s="304"/>
      <c r="K92" s="59"/>
      <c r="L92" s="59"/>
      <c r="M92" s="59"/>
      <c r="N92" s="59"/>
      <c r="O92" s="59"/>
      <c r="P92" s="59"/>
      <c r="Q92" s="59"/>
      <c r="R92" s="59"/>
      <c r="S92" s="59"/>
      <c r="T92" s="59"/>
      <c r="U92" s="59"/>
      <c r="V92" s="59"/>
      <c r="W92" s="59"/>
      <c r="X92" s="59"/>
      <c r="Y92" s="304"/>
      <c r="Z92" s="304"/>
      <c r="AA92" s="59"/>
      <c r="AB92" s="59"/>
      <c r="AC92" s="59"/>
      <c r="AD92" s="304"/>
      <c r="AE92" s="491"/>
      <c r="AF92" s="59"/>
    </row>
    <row r="93" ht="13.55" customHeight="1">
      <c r="A93" s="60"/>
      <c r="B93" s="57"/>
      <c r="C93" s="58"/>
      <c r="D93" s="59"/>
      <c r="E93" s="59"/>
      <c r="F93" s="59"/>
      <c r="G93" s="59"/>
      <c r="H93" s="59"/>
      <c r="I93" s="59"/>
      <c r="J93" s="304"/>
      <c r="K93" s="59"/>
      <c r="L93" s="59"/>
      <c r="M93" s="59"/>
      <c r="N93" s="59"/>
      <c r="O93" s="59"/>
      <c r="P93" s="59"/>
      <c r="Q93" s="59"/>
      <c r="R93" s="59"/>
      <c r="S93" s="59"/>
      <c r="T93" s="59"/>
      <c r="U93" s="59"/>
      <c r="V93" s="59"/>
      <c r="W93" s="59"/>
      <c r="X93" s="59"/>
      <c r="Y93" s="304"/>
      <c r="Z93" s="304"/>
      <c r="AA93" s="59"/>
      <c r="AB93" s="59"/>
      <c r="AC93" s="59"/>
      <c r="AD93" s="304"/>
      <c r="AE93" s="491"/>
      <c r="AF93" s="59"/>
    </row>
    <row r="94" ht="13.55" customHeight="1">
      <c r="A94" s="60"/>
      <c r="B94" s="57"/>
      <c r="C94" s="58"/>
      <c r="D94" s="59"/>
      <c r="E94" s="59"/>
      <c r="F94" s="59"/>
      <c r="G94" s="59"/>
      <c r="H94" s="59"/>
      <c r="I94" s="59"/>
      <c r="J94" s="304"/>
      <c r="K94" s="59"/>
      <c r="L94" s="59"/>
      <c r="M94" s="59"/>
      <c r="N94" s="59"/>
      <c r="O94" s="59"/>
      <c r="P94" s="59"/>
      <c r="Q94" s="59"/>
      <c r="R94" s="59"/>
      <c r="S94" s="59"/>
      <c r="T94" s="59"/>
      <c r="U94" s="59"/>
      <c r="V94" s="59"/>
      <c r="W94" s="59"/>
      <c r="X94" s="59"/>
      <c r="Y94" s="304"/>
      <c r="Z94" s="304"/>
      <c r="AA94" s="59"/>
      <c r="AB94" s="59"/>
      <c r="AC94" s="59"/>
      <c r="AD94" s="304"/>
      <c r="AE94" s="491"/>
      <c r="AF94" s="59"/>
    </row>
    <row r="95" ht="32.4" customHeight="1">
      <c r="A95" s="60"/>
      <c r="B95" s="57"/>
      <c r="C95" s="58"/>
      <c r="D95" s="59"/>
      <c r="E95" s="59"/>
      <c r="F95" s="59"/>
      <c r="G95" s="59"/>
      <c r="H95" s="59"/>
      <c r="I95" s="59"/>
      <c r="J95" s="304"/>
      <c r="K95" s="59"/>
      <c r="L95" s="59"/>
      <c r="M95" s="59"/>
      <c r="N95" s="59"/>
      <c r="O95" s="59"/>
      <c r="P95" s="59"/>
      <c r="Q95" s="59"/>
      <c r="R95" s="59"/>
      <c r="S95" s="59"/>
      <c r="T95" s="59"/>
      <c r="U95" s="59"/>
      <c r="V95" s="59"/>
      <c r="W95" s="59"/>
      <c r="X95" s="59"/>
      <c r="Y95" s="304"/>
      <c r="Z95" s="304"/>
      <c r="AA95" s="59"/>
      <c r="AB95" s="59"/>
      <c r="AC95" s="59"/>
      <c r="AD95" s="304"/>
      <c r="AE95" s="491"/>
      <c r="AF95" s="59"/>
    </row>
    <row r="96" ht="13.55" customHeight="1">
      <c r="A96" s="60"/>
      <c r="B96" s="57"/>
      <c r="C96" s="58"/>
      <c r="D96" s="59"/>
      <c r="E96" s="59"/>
      <c r="F96" s="59"/>
      <c r="G96" s="59"/>
      <c r="H96" s="59"/>
      <c r="I96" s="59"/>
      <c r="J96" s="304"/>
      <c r="K96" s="59"/>
      <c r="L96" s="59"/>
      <c r="M96" s="59"/>
      <c r="N96" s="59"/>
      <c r="O96" s="59"/>
      <c r="P96" s="59"/>
      <c r="Q96" s="59"/>
      <c r="R96" s="59"/>
      <c r="S96" s="59"/>
      <c r="T96" s="59"/>
      <c r="U96" s="59"/>
      <c r="V96" s="59"/>
      <c r="W96" s="59"/>
      <c r="X96" s="59"/>
      <c r="Y96" s="304"/>
      <c r="Z96" s="304"/>
      <c r="AA96" s="59"/>
      <c r="AB96" s="59"/>
      <c r="AC96" s="59"/>
      <c r="AD96" s="59"/>
      <c r="AE96" s="491"/>
      <c r="AF96" s="59"/>
    </row>
    <row r="97" ht="38.4" customHeight="1">
      <c r="A97" s="60"/>
      <c r="B97" s="57"/>
      <c r="C97" s="58"/>
      <c r="D97" s="59"/>
      <c r="E97" s="59"/>
      <c r="F97" s="59"/>
      <c r="G97" s="59"/>
      <c r="H97" s="59"/>
      <c r="I97" s="59"/>
      <c r="J97" s="304"/>
      <c r="K97" s="59"/>
      <c r="L97" s="59"/>
      <c r="M97" s="59"/>
      <c r="N97" s="59"/>
      <c r="O97" s="59"/>
      <c r="P97" s="59"/>
      <c r="Q97" s="59"/>
      <c r="R97" s="59"/>
      <c r="S97" s="59"/>
      <c r="T97" s="59"/>
      <c r="U97" s="59"/>
      <c r="V97" s="59"/>
      <c r="W97" s="59"/>
      <c r="X97" s="59"/>
      <c r="Y97" s="304"/>
      <c r="Z97" s="304"/>
      <c r="AA97" s="59"/>
      <c r="AB97" s="59"/>
      <c r="AC97" s="59"/>
      <c r="AD97" s="59"/>
      <c r="AE97" s="491"/>
      <c r="AF97" s="59"/>
    </row>
    <row r="98" ht="26" customHeight="1">
      <c r="A98" s="60"/>
      <c r="B98" s="57"/>
      <c r="C98" s="58"/>
      <c r="D98" s="59"/>
      <c r="E98" s="59"/>
      <c r="F98" s="59"/>
      <c r="G98" s="59"/>
      <c r="H98" s="59"/>
      <c r="I98" s="59"/>
      <c r="J98" s="304"/>
      <c r="K98" s="59"/>
      <c r="L98" s="59"/>
      <c r="M98" s="59"/>
      <c r="N98" s="59"/>
      <c r="O98" s="59"/>
      <c r="P98" s="59"/>
      <c r="Q98" s="59"/>
      <c r="R98" s="59"/>
      <c r="S98" s="59"/>
      <c r="T98" s="59"/>
      <c r="U98" s="59"/>
      <c r="V98" s="59"/>
      <c r="W98" s="59"/>
      <c r="X98" s="59"/>
      <c r="Y98" s="304"/>
      <c r="Z98" s="59"/>
      <c r="AA98" s="59"/>
      <c r="AB98" s="59"/>
      <c r="AC98" s="59"/>
      <c r="AD98" s="59"/>
      <c r="AE98" s="491"/>
      <c r="AF98" s="59"/>
    </row>
    <row r="99" ht="13.55" customHeight="1">
      <c r="A99" s="60"/>
      <c r="B99" s="57"/>
      <c r="C99" s="58"/>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491"/>
      <c r="AF99" s="59"/>
    </row>
    <row r="100" ht="13.55" customHeight="1">
      <c r="A100" s="60"/>
      <c r="B100" s="57"/>
      <c r="C100" s="58"/>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row>
    <row r="101" ht="13.55" customHeight="1">
      <c r="A101" s="61"/>
      <c r="B101" s="62"/>
      <c r="C101" s="63"/>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row>
    <row r="102" ht="36.75" customHeight="1">
      <c r="A102" s="84">
        <v>10</v>
      </c>
      <c r="B102" t="s" s="85">
        <v>28</v>
      </c>
      <c r="C102" s="695">
        <v>1</v>
      </c>
      <c r="D102" t="s" s="377">
        <v>1703</v>
      </c>
      <c r="E102" t="s" s="481">
        <v>1704</v>
      </c>
      <c r="F102" t="s" s="481">
        <v>1705</v>
      </c>
      <c r="G102" t="s" s="377">
        <v>218</v>
      </c>
      <c r="H102" t="s" s="377">
        <v>1706</v>
      </c>
      <c r="I102" s="384"/>
      <c r="J102" s="384"/>
      <c r="K102" s="384"/>
      <c r="L102" t="s" s="377">
        <v>1707</v>
      </c>
      <c r="M102" t="s" s="377">
        <v>1708</v>
      </c>
      <c r="N102" s="384"/>
      <c r="O102" s="384"/>
      <c r="P102" s="384"/>
      <c r="Q102" t="s" s="377">
        <v>1707</v>
      </c>
      <c r="R102" t="s" s="377">
        <v>1709</v>
      </c>
      <c r="S102" s="384"/>
      <c r="T102" s="384"/>
      <c r="U102" s="384"/>
      <c r="V102" s="384"/>
      <c r="W102" t="s" s="377">
        <v>1710</v>
      </c>
      <c r="X102" s="384"/>
      <c r="Y102" s="384"/>
      <c r="Z102" s="384"/>
      <c r="AA102" s="384"/>
      <c r="AB102" t="s" s="377">
        <v>1710</v>
      </c>
      <c r="AC102" s="384"/>
      <c r="AD102" t="s" s="385">
        <v>1711</v>
      </c>
      <c r="AE102" s="384"/>
      <c r="AF102" t="s" s="377">
        <v>1712</v>
      </c>
    </row>
    <row r="103" ht="15" customHeight="1">
      <c r="A103" s="88"/>
      <c r="B103" s="89"/>
      <c r="C103" s="90"/>
      <c r="D103" s="91"/>
      <c r="E103" s="578"/>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394"/>
      <c r="AE103" s="91"/>
      <c r="AF103" s="91"/>
    </row>
    <row r="104" ht="15" customHeight="1">
      <c r="A104" s="88"/>
      <c r="B104" s="89"/>
      <c r="C104" s="90"/>
      <c r="D104" s="91"/>
      <c r="E104" s="578"/>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394"/>
      <c r="AE104" s="91"/>
      <c r="AF104" s="91"/>
    </row>
    <row r="105" ht="15" customHeight="1">
      <c r="A105" s="88"/>
      <c r="B105" s="89"/>
      <c r="C105" s="90"/>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t="s" s="389">
        <v>1713</v>
      </c>
      <c r="AE105" s="91"/>
      <c r="AF105" s="91"/>
    </row>
    <row r="106" ht="15" customHeight="1">
      <c r="A106" s="92"/>
      <c r="B106" s="89"/>
      <c r="C106" s="90"/>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row>
    <row r="107" ht="15" customHeight="1">
      <c r="A107" s="92"/>
      <c r="B107" s="89"/>
      <c r="C107" s="90"/>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row>
    <row r="108" ht="15" customHeight="1">
      <c r="A108" s="92"/>
      <c r="B108" s="89"/>
      <c r="C108" s="90"/>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row>
    <row r="109" ht="15" customHeight="1">
      <c r="A109" s="93"/>
      <c r="B109" s="94"/>
      <c r="C109" s="95"/>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row>
    <row r="110" ht="48" customHeight="1">
      <c r="A110" s="15">
        <v>11</v>
      </c>
      <c r="B110" t="s" s="97">
        <v>30</v>
      </c>
      <c r="C110" s="644">
        <v>2</v>
      </c>
      <c r="D110" s="410"/>
      <c r="E110" s="410"/>
      <c r="F110" s="410"/>
      <c r="G110" t="s" s="408">
        <v>1714</v>
      </c>
      <c r="H110" s="645">
        <v>1</v>
      </c>
      <c r="I110" t="s" s="407">
        <v>1715</v>
      </c>
      <c r="J110" t="s" s="170">
        <v>1716</v>
      </c>
      <c r="K110" t="s" s="407">
        <v>1717</v>
      </c>
      <c r="L110" t="s" s="170">
        <v>1718</v>
      </c>
      <c r="M110" s="645">
        <v>2</v>
      </c>
      <c r="N110" s="410"/>
      <c r="O110" s="410"/>
      <c r="P110" s="410"/>
      <c r="Q110" t="s" s="408">
        <v>1719</v>
      </c>
      <c r="R110" s="645">
        <v>2</v>
      </c>
      <c r="S110" s="410"/>
      <c r="T110" s="410"/>
      <c r="U110" s="410"/>
      <c r="V110" t="s" s="408">
        <v>1720</v>
      </c>
      <c r="W110" s="645">
        <v>2</v>
      </c>
      <c r="X110" s="410"/>
      <c r="Y110" t="s" s="170">
        <v>1721</v>
      </c>
      <c r="Z110" s="410"/>
      <c r="AA110" t="s" s="170">
        <v>1722</v>
      </c>
      <c r="AB110" s="645">
        <v>2</v>
      </c>
      <c r="AC110" s="410"/>
      <c r="AD110" t="s" s="170">
        <v>1723</v>
      </c>
      <c r="AE110" s="410"/>
      <c r="AF110" t="s" s="170">
        <v>1724</v>
      </c>
    </row>
    <row r="111" ht="15" customHeight="1">
      <c r="A111" s="19"/>
      <c r="B111" s="100"/>
      <c r="C111" s="21"/>
      <c r="D111" s="22"/>
      <c r="E111" s="22"/>
      <c r="F111" s="22"/>
      <c r="G111" s="22"/>
      <c r="H111" s="22"/>
      <c r="I111" s="22"/>
      <c r="J111" s="211"/>
      <c r="K111" s="22"/>
      <c r="L111" s="211"/>
      <c r="M111" s="22"/>
      <c r="N111" s="22"/>
      <c r="O111" s="22"/>
      <c r="P111" s="22"/>
      <c r="Q111" s="22"/>
      <c r="R111" s="22"/>
      <c r="S111" s="22"/>
      <c r="T111" s="22"/>
      <c r="U111" s="22"/>
      <c r="V111" s="22"/>
      <c r="W111" s="22"/>
      <c r="X111" s="211"/>
      <c r="Y111" s="211"/>
      <c r="Z111" s="22"/>
      <c r="AA111" s="211"/>
      <c r="AB111" s="22"/>
      <c r="AC111" s="22"/>
      <c r="AD111" s="211"/>
      <c r="AE111" s="22"/>
      <c r="AF111" s="211"/>
    </row>
    <row r="112" ht="15" customHeight="1">
      <c r="A112" s="19"/>
      <c r="B112" s="100"/>
      <c r="C112" s="21"/>
      <c r="D112" s="22"/>
      <c r="E112" s="22"/>
      <c r="F112" s="22"/>
      <c r="G112" s="22"/>
      <c r="H112" s="22"/>
      <c r="I112" s="22"/>
      <c r="J112" s="211"/>
      <c r="K112" s="22"/>
      <c r="L112" s="22"/>
      <c r="M112" s="22"/>
      <c r="N112" s="22"/>
      <c r="O112" s="22"/>
      <c r="P112" s="22"/>
      <c r="Q112" s="22"/>
      <c r="R112" s="22"/>
      <c r="S112" s="22"/>
      <c r="T112" s="22"/>
      <c r="U112" s="22"/>
      <c r="V112" s="22"/>
      <c r="W112" s="22"/>
      <c r="X112" s="22"/>
      <c r="Y112" s="211"/>
      <c r="Z112" s="22"/>
      <c r="AA112" s="211"/>
      <c r="AB112" s="22"/>
      <c r="AC112" s="22"/>
      <c r="AD112" s="211"/>
      <c r="AE112" s="22"/>
      <c r="AF112" s="211"/>
    </row>
    <row r="113" ht="15" customHeight="1">
      <c r="A113" s="19"/>
      <c r="B113" s="100"/>
      <c r="C113" s="21"/>
      <c r="D113" s="22"/>
      <c r="E113" s="22"/>
      <c r="F113" s="22"/>
      <c r="G113" s="22"/>
      <c r="H113" s="22"/>
      <c r="I113" s="22"/>
      <c r="J113" s="211"/>
      <c r="K113" s="22"/>
      <c r="L113" s="22"/>
      <c r="M113" s="22"/>
      <c r="N113" s="22"/>
      <c r="O113" s="22"/>
      <c r="P113" s="22"/>
      <c r="Q113" s="22"/>
      <c r="R113" s="22"/>
      <c r="S113" s="22"/>
      <c r="T113" s="22"/>
      <c r="U113" s="22"/>
      <c r="V113" s="22"/>
      <c r="W113" s="22"/>
      <c r="X113" s="22"/>
      <c r="Y113" s="22"/>
      <c r="Z113" s="22"/>
      <c r="AA113" s="211"/>
      <c r="AB113" s="22"/>
      <c r="AC113" s="22"/>
      <c r="AD113" s="211"/>
      <c r="AE113" s="22"/>
      <c r="AF113" s="211"/>
    </row>
    <row r="114" ht="15" customHeight="1">
      <c r="A114" s="19"/>
      <c r="B114" s="100"/>
      <c r="C114" s="21"/>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row>
    <row r="115" ht="15" customHeight="1">
      <c r="A115" s="19"/>
      <c r="B115" s="100"/>
      <c r="C115" s="21"/>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row>
    <row r="116" ht="15" customHeight="1">
      <c r="A116" s="19"/>
      <c r="B116" s="100"/>
      <c r="C116" s="21"/>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row>
    <row r="117" ht="15" customHeight="1">
      <c r="A117" s="19"/>
      <c r="B117" s="100"/>
      <c r="C117" s="21"/>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row>
    <row r="118" ht="15" customHeight="1">
      <c r="A118" s="23"/>
      <c r="B118" s="101"/>
      <c r="C118" s="25"/>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row>
    <row r="119" ht="63.75" customHeight="1">
      <c r="A119" s="15">
        <v>12</v>
      </c>
      <c r="B119" t="s" s="102">
        <v>32</v>
      </c>
      <c r="C119" s="647">
        <v>1</v>
      </c>
      <c r="D119" t="s" s="430">
        <v>230</v>
      </c>
      <c r="E119" t="s" s="432">
        <v>1725</v>
      </c>
      <c r="F119" t="s" s="432">
        <v>1726</v>
      </c>
      <c r="G119" t="s" s="431">
        <v>1727</v>
      </c>
      <c r="H119" s="429">
        <v>1</v>
      </c>
      <c r="I119" t="s" s="430">
        <v>230</v>
      </c>
      <c r="J119" t="s" s="432">
        <v>1728</v>
      </c>
      <c r="K119" t="s" s="431">
        <v>1726</v>
      </c>
      <c r="L119" t="s" s="431">
        <v>1727</v>
      </c>
      <c r="M119" s="429">
        <v>1</v>
      </c>
      <c r="N119" t="s" s="430">
        <v>230</v>
      </c>
      <c r="O119" t="s" s="432">
        <v>1728</v>
      </c>
      <c r="P119" t="s" s="432">
        <v>1726</v>
      </c>
      <c r="Q119" t="s" s="431">
        <v>1727</v>
      </c>
      <c r="R119" s="429">
        <v>1</v>
      </c>
      <c r="S119" t="s" s="430">
        <v>230</v>
      </c>
      <c r="T119" t="s" s="432">
        <v>1728</v>
      </c>
      <c r="U119" t="s" s="432">
        <v>1726</v>
      </c>
      <c r="V119" t="s" s="431">
        <v>1727</v>
      </c>
      <c r="W119" t="s" s="430">
        <v>1729</v>
      </c>
      <c r="X119" t="s" s="430">
        <v>1730</v>
      </c>
      <c r="Y119" t="s" s="430">
        <v>197</v>
      </c>
      <c r="Z119" t="s" s="430">
        <v>197</v>
      </c>
      <c r="AA119" t="s" s="430">
        <v>197</v>
      </c>
      <c r="AB119" s="429">
        <v>1</v>
      </c>
      <c r="AC119" t="s" s="430">
        <v>230</v>
      </c>
      <c r="AD119" t="s" s="432">
        <v>1731</v>
      </c>
      <c r="AE119" t="s" s="432">
        <v>1732</v>
      </c>
      <c r="AF119" t="s" s="432">
        <v>1733</v>
      </c>
    </row>
    <row r="120" ht="15" customHeight="1">
      <c r="A120" s="19"/>
      <c r="B120" s="105"/>
      <c r="C120" s="106"/>
      <c r="D120" s="453"/>
      <c r="E120" s="454"/>
      <c r="F120" s="454"/>
      <c r="G120" s="107"/>
      <c r="H120" s="107"/>
      <c r="I120" s="107"/>
      <c r="J120" s="454"/>
      <c r="K120" s="107"/>
      <c r="L120" s="107"/>
      <c r="M120" s="107"/>
      <c r="N120" s="107"/>
      <c r="O120" s="454"/>
      <c r="P120" s="454"/>
      <c r="Q120" s="107"/>
      <c r="R120" s="107"/>
      <c r="S120" s="107"/>
      <c r="T120" s="454"/>
      <c r="U120" s="454"/>
      <c r="V120" s="107"/>
      <c r="W120" s="107"/>
      <c r="X120" s="107"/>
      <c r="Y120" s="107"/>
      <c r="Z120" s="107"/>
      <c r="AA120" s="107"/>
      <c r="AB120" s="107"/>
      <c r="AC120" s="107"/>
      <c r="AD120" s="454"/>
      <c r="AE120" s="454"/>
      <c r="AF120" s="454"/>
    </row>
    <row r="121" ht="15" customHeight="1">
      <c r="A121" s="19"/>
      <c r="B121" s="105"/>
      <c r="C121" s="106"/>
      <c r="D121" s="107"/>
      <c r="E121" s="454"/>
      <c r="F121" s="107"/>
      <c r="G121" s="107"/>
      <c r="H121" s="107"/>
      <c r="I121" s="107"/>
      <c r="J121" s="454"/>
      <c r="K121" s="107"/>
      <c r="L121" s="107"/>
      <c r="M121" s="107"/>
      <c r="N121" s="107"/>
      <c r="O121" s="454"/>
      <c r="P121" s="107"/>
      <c r="Q121" s="107"/>
      <c r="R121" s="107"/>
      <c r="S121" s="107"/>
      <c r="T121" s="454"/>
      <c r="U121" s="454"/>
      <c r="V121" s="107"/>
      <c r="W121" s="107"/>
      <c r="X121" s="107"/>
      <c r="Y121" s="107"/>
      <c r="Z121" s="107"/>
      <c r="AA121" s="107"/>
      <c r="AB121" s="107"/>
      <c r="AC121" s="107"/>
      <c r="AD121" s="107"/>
      <c r="AE121" s="107"/>
      <c r="AF121" s="107"/>
    </row>
    <row r="122" ht="15" customHeight="1">
      <c r="A122" s="19"/>
      <c r="B122" s="105"/>
      <c r="C122" s="106"/>
      <c r="D122" s="107"/>
      <c r="E122" s="454"/>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row>
    <row r="123" ht="15" customHeight="1">
      <c r="A123" s="19"/>
      <c r="B123" s="105"/>
      <c r="C123" s="106"/>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row>
    <row r="124" ht="15" customHeight="1">
      <c r="A124" s="19"/>
      <c r="B124" s="105"/>
      <c r="C124" s="106"/>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row>
    <row r="125" ht="15" customHeight="1">
      <c r="A125" s="23"/>
      <c r="B125" s="108"/>
      <c r="C125" s="109"/>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row>
    <row r="126" ht="48" customHeight="1">
      <c r="A126" s="15">
        <v>13</v>
      </c>
      <c r="B126" t="s" s="111">
        <v>34</v>
      </c>
      <c r="C126" t="s" s="597">
        <v>1734</v>
      </c>
      <c r="D126" t="s" s="696">
        <v>1735</v>
      </c>
      <c r="E126" t="s" s="635">
        <v>1736</v>
      </c>
      <c r="F126" t="s" s="535">
        <v>1737</v>
      </c>
      <c r="G126" s="123"/>
      <c r="H126" s="285">
        <v>1</v>
      </c>
      <c r="I126" t="s" s="112">
        <v>1738</v>
      </c>
      <c r="J126" t="s" s="506">
        <v>1739</v>
      </c>
      <c r="K126" t="s" s="385">
        <v>1740</v>
      </c>
      <c r="L126" s="123"/>
      <c r="M126" t="s" s="485">
        <v>1741</v>
      </c>
      <c r="N126" t="s" s="112">
        <v>1742</v>
      </c>
      <c r="O126" t="s" s="506">
        <v>1743</v>
      </c>
      <c r="P126" t="s" s="635">
        <v>1744</v>
      </c>
      <c r="Q126" t="s" s="82">
        <v>1745</v>
      </c>
      <c r="R126" s="285">
        <v>1</v>
      </c>
      <c r="S126" t="s" s="112">
        <v>1742</v>
      </c>
      <c r="T126" t="s" s="635">
        <v>1746</v>
      </c>
      <c r="U126" t="s" s="635">
        <v>1747</v>
      </c>
      <c r="V126" t="s" s="82">
        <v>197</v>
      </c>
      <c r="W126" s="285">
        <v>1</v>
      </c>
      <c r="X126" t="s" s="112">
        <v>1742</v>
      </c>
      <c r="Y126" t="s" s="635">
        <v>1748</v>
      </c>
      <c r="Z126" t="s" s="697">
        <v>1749</v>
      </c>
      <c r="AA126" t="s" s="635">
        <v>1750</v>
      </c>
      <c r="AB126" s="285">
        <v>1</v>
      </c>
      <c r="AC126" t="s" s="112">
        <v>1751</v>
      </c>
      <c r="AD126" t="s" s="635">
        <v>1752</v>
      </c>
      <c r="AE126" t="s" s="635">
        <v>1753</v>
      </c>
      <c r="AF126" s="123"/>
    </row>
    <row r="127" ht="15" customHeight="1">
      <c r="A127" s="19"/>
      <c r="B127" s="113"/>
      <c r="C127" s="58"/>
      <c r="D127" s="59"/>
      <c r="E127" s="465"/>
      <c r="F127" s="59"/>
      <c r="G127" s="59"/>
      <c r="H127" s="59"/>
      <c r="I127" s="59"/>
      <c r="J127" s="510"/>
      <c r="K127" s="394"/>
      <c r="L127" s="59"/>
      <c r="M127" s="59"/>
      <c r="N127" s="59"/>
      <c r="O127" s="510"/>
      <c r="P127" s="465"/>
      <c r="Q127" s="59"/>
      <c r="R127" s="59"/>
      <c r="S127" s="59"/>
      <c r="T127" s="465"/>
      <c r="U127" s="465"/>
      <c r="V127" s="59"/>
      <c r="W127" s="59"/>
      <c r="X127" s="59"/>
      <c r="Y127" s="465"/>
      <c r="Z127" s="698"/>
      <c r="AA127" s="465"/>
      <c r="AB127" s="59"/>
      <c r="AC127" s="59"/>
      <c r="AD127" s="465"/>
      <c r="AE127" s="465"/>
      <c r="AF127" s="59"/>
    </row>
    <row r="128" ht="15" customHeight="1">
      <c r="A128" s="19"/>
      <c r="B128" s="113"/>
      <c r="C128" s="58"/>
      <c r="D128" s="59"/>
      <c r="E128" s="465"/>
      <c r="F128" s="59"/>
      <c r="G128" s="59"/>
      <c r="H128" s="59"/>
      <c r="I128" s="59"/>
      <c r="J128" s="59"/>
      <c r="K128" s="394"/>
      <c r="L128" s="59"/>
      <c r="M128" s="59"/>
      <c r="N128" s="59"/>
      <c r="O128" s="510"/>
      <c r="P128" s="465"/>
      <c r="Q128" s="59"/>
      <c r="R128" s="59"/>
      <c r="S128" s="59"/>
      <c r="T128" s="465"/>
      <c r="U128" s="465"/>
      <c r="V128" s="59"/>
      <c r="W128" s="59"/>
      <c r="X128" s="59"/>
      <c r="Y128" s="465"/>
      <c r="Z128" s="698"/>
      <c r="AA128" s="59"/>
      <c r="AB128" s="59"/>
      <c r="AC128" s="59"/>
      <c r="AD128" s="465"/>
      <c r="AE128" s="465"/>
      <c r="AF128" s="59"/>
    </row>
    <row r="129" ht="15" customHeight="1">
      <c r="A129" s="19"/>
      <c r="B129" s="113"/>
      <c r="C129" s="58"/>
      <c r="D129" s="59"/>
      <c r="E129" s="465"/>
      <c r="F129" s="59"/>
      <c r="G129" s="59"/>
      <c r="H129" s="59"/>
      <c r="I129" s="59"/>
      <c r="J129" s="59"/>
      <c r="K129" s="394"/>
      <c r="L129" s="59"/>
      <c r="M129" s="59"/>
      <c r="N129" s="59"/>
      <c r="O129" s="59"/>
      <c r="P129" s="465"/>
      <c r="Q129" s="59"/>
      <c r="R129" s="59"/>
      <c r="S129" s="59"/>
      <c r="T129" s="465"/>
      <c r="U129" s="465"/>
      <c r="V129" s="59"/>
      <c r="W129" s="59"/>
      <c r="X129" s="59"/>
      <c r="Y129" s="465"/>
      <c r="Z129" s="698"/>
      <c r="AA129" s="59"/>
      <c r="AB129" s="59"/>
      <c r="AC129" s="59"/>
      <c r="AD129" s="465"/>
      <c r="AE129" s="465"/>
      <c r="AF129" s="59"/>
    </row>
    <row r="130" ht="15" customHeight="1">
      <c r="A130" s="19"/>
      <c r="B130" s="113"/>
      <c r="C130" s="58"/>
      <c r="D130" s="59"/>
      <c r="E130" s="465"/>
      <c r="F130" s="59"/>
      <c r="G130" s="59"/>
      <c r="H130" s="59"/>
      <c r="I130" s="59"/>
      <c r="J130" s="59"/>
      <c r="K130" s="394"/>
      <c r="L130" s="59"/>
      <c r="M130" s="59"/>
      <c r="N130" s="59"/>
      <c r="O130" s="59"/>
      <c r="P130" s="59"/>
      <c r="Q130" s="59"/>
      <c r="R130" s="59"/>
      <c r="S130" s="59"/>
      <c r="T130" s="59"/>
      <c r="U130" s="59"/>
      <c r="V130" s="59"/>
      <c r="W130" s="59"/>
      <c r="X130" s="59"/>
      <c r="Y130" s="465"/>
      <c r="Z130" s="698"/>
      <c r="AA130" s="59"/>
      <c r="AB130" s="59"/>
      <c r="AC130" s="59"/>
      <c r="AD130" s="59"/>
      <c r="AE130" s="59"/>
      <c r="AF130" s="59"/>
    </row>
    <row r="131" ht="15" customHeight="1">
      <c r="A131" s="19"/>
      <c r="B131" s="113"/>
      <c r="C131" s="58"/>
      <c r="D131" s="59"/>
      <c r="E131" s="465"/>
      <c r="F131" s="59"/>
      <c r="G131" s="59"/>
      <c r="H131" s="59"/>
      <c r="I131" s="59"/>
      <c r="J131" s="59"/>
      <c r="K131" s="394"/>
      <c r="L131" s="59"/>
      <c r="M131" s="59"/>
      <c r="N131" s="59"/>
      <c r="O131" s="59"/>
      <c r="P131" s="59"/>
      <c r="Q131" s="59"/>
      <c r="R131" s="59"/>
      <c r="S131" s="59"/>
      <c r="T131" s="59"/>
      <c r="U131" s="59"/>
      <c r="V131" s="59"/>
      <c r="W131" s="59"/>
      <c r="X131" s="59"/>
      <c r="Y131" s="465"/>
      <c r="Z131" s="698"/>
      <c r="AA131" s="59"/>
      <c r="AB131" s="59"/>
      <c r="AC131" s="59"/>
      <c r="AD131" s="59"/>
      <c r="AE131" s="59"/>
      <c r="AF131" s="59"/>
    </row>
    <row r="132" ht="15" customHeight="1">
      <c r="A132" s="19"/>
      <c r="B132" s="113"/>
      <c r="C132" s="58"/>
      <c r="D132" s="59"/>
      <c r="E132" s="465"/>
      <c r="F132" s="59"/>
      <c r="G132" s="59"/>
      <c r="H132" s="59"/>
      <c r="I132" s="59"/>
      <c r="J132" s="59"/>
      <c r="K132" s="394"/>
      <c r="L132" s="59"/>
      <c r="M132" s="59"/>
      <c r="N132" s="59"/>
      <c r="O132" s="59"/>
      <c r="P132" s="59"/>
      <c r="Q132" s="59"/>
      <c r="R132" s="59"/>
      <c r="S132" s="59"/>
      <c r="T132" s="59"/>
      <c r="U132" s="59"/>
      <c r="V132" s="59"/>
      <c r="W132" s="59"/>
      <c r="X132" s="59"/>
      <c r="Y132" s="465"/>
      <c r="Z132" s="698"/>
      <c r="AA132" s="59"/>
      <c r="AB132" s="59"/>
      <c r="AC132" s="59"/>
      <c r="AD132" s="59"/>
      <c r="AE132" s="59"/>
      <c r="AF132" s="59"/>
    </row>
    <row r="133" ht="15" customHeight="1">
      <c r="A133" s="19"/>
      <c r="B133" s="113"/>
      <c r="C133" s="58"/>
      <c r="D133" s="59"/>
      <c r="E133" s="465"/>
      <c r="F133" s="59"/>
      <c r="G133" s="59"/>
      <c r="H133" s="59"/>
      <c r="I133" s="59"/>
      <c r="J133" s="59"/>
      <c r="K133" s="394"/>
      <c r="L133" s="59"/>
      <c r="M133" s="59"/>
      <c r="N133" s="59"/>
      <c r="O133" s="59"/>
      <c r="P133" s="59"/>
      <c r="Q133" s="59"/>
      <c r="R133" s="59"/>
      <c r="S133" s="59"/>
      <c r="T133" s="59"/>
      <c r="U133" s="59"/>
      <c r="V133" s="59"/>
      <c r="W133" s="59"/>
      <c r="X133" s="59"/>
      <c r="Y133" s="465"/>
      <c r="Z133" s="698"/>
      <c r="AA133" s="59"/>
      <c r="AB133" s="59"/>
      <c r="AC133" s="59"/>
      <c r="AD133" s="59"/>
      <c r="AE133" s="59"/>
      <c r="AF133" s="59"/>
    </row>
    <row r="134" ht="15" customHeight="1">
      <c r="A134" s="19"/>
      <c r="B134" s="113"/>
      <c r="C134" s="58"/>
      <c r="D134" s="59"/>
      <c r="E134" s="59"/>
      <c r="F134" s="59"/>
      <c r="G134" s="59"/>
      <c r="H134" s="59"/>
      <c r="I134" s="59"/>
      <c r="J134" s="59"/>
      <c r="K134" s="394"/>
      <c r="L134" s="59"/>
      <c r="M134" s="59"/>
      <c r="N134" s="59"/>
      <c r="O134" s="59"/>
      <c r="P134" s="59"/>
      <c r="Q134" s="59"/>
      <c r="R134" s="59"/>
      <c r="S134" s="59"/>
      <c r="T134" s="59"/>
      <c r="U134" s="59"/>
      <c r="V134" s="59"/>
      <c r="W134" s="59"/>
      <c r="X134" s="59"/>
      <c r="Y134" s="465"/>
      <c r="Z134" s="698"/>
      <c r="AA134" s="59"/>
      <c r="AB134" s="59"/>
      <c r="AC134" s="59"/>
      <c r="AD134" s="59"/>
      <c r="AE134" s="59"/>
      <c r="AF134" s="59"/>
    </row>
    <row r="135" ht="15" customHeight="1">
      <c r="A135" s="19"/>
      <c r="B135" s="113"/>
      <c r="C135" s="58"/>
      <c r="D135" s="59"/>
      <c r="E135" s="59"/>
      <c r="F135" s="59"/>
      <c r="G135" s="59"/>
      <c r="H135" s="59"/>
      <c r="I135" s="59"/>
      <c r="J135" s="59"/>
      <c r="K135" s="59"/>
      <c r="L135" s="59"/>
      <c r="M135" s="59"/>
      <c r="N135" s="59"/>
      <c r="O135" s="59"/>
      <c r="P135" s="59"/>
      <c r="Q135" s="59"/>
      <c r="R135" s="59"/>
      <c r="S135" s="59"/>
      <c r="T135" s="59"/>
      <c r="U135" s="59"/>
      <c r="V135" s="59"/>
      <c r="W135" s="59"/>
      <c r="X135" s="59"/>
      <c r="Y135" s="59"/>
      <c r="Z135" s="698"/>
      <c r="AA135" s="59"/>
      <c r="AB135" s="59"/>
      <c r="AC135" s="59"/>
      <c r="AD135" s="59"/>
      <c r="AE135" s="59"/>
      <c r="AF135" s="59"/>
    </row>
    <row r="136" ht="15" customHeight="1">
      <c r="A136" s="23"/>
      <c r="B136" s="114"/>
      <c r="C136" s="63"/>
      <c r="D136" s="64"/>
      <c r="E136" s="64"/>
      <c r="F136" s="64"/>
      <c r="G136" s="64"/>
      <c r="H136" s="64"/>
      <c r="I136" s="64"/>
      <c r="J136" s="64"/>
      <c r="K136" s="64"/>
      <c r="L136" s="64"/>
      <c r="M136" s="64"/>
      <c r="N136" s="64"/>
      <c r="O136" s="64"/>
      <c r="P136" s="64"/>
      <c r="Q136" s="64"/>
      <c r="R136" s="64"/>
      <c r="S136" s="64"/>
      <c r="T136" s="64"/>
      <c r="U136" s="64"/>
      <c r="V136" s="64"/>
      <c r="W136" s="64"/>
      <c r="X136" s="64"/>
      <c r="Y136" s="64"/>
      <c r="Z136" s="699"/>
      <c r="AA136" s="64"/>
      <c r="AB136" s="64"/>
      <c r="AC136" s="64"/>
      <c r="AD136" s="64"/>
      <c r="AE136" s="64"/>
      <c r="AF136" s="64"/>
    </row>
    <row r="137" ht="72" customHeight="1">
      <c r="A137" s="15">
        <v>14</v>
      </c>
      <c r="B137" t="s" s="115">
        <v>38</v>
      </c>
      <c r="C137" s="625">
        <v>1</v>
      </c>
      <c r="D137" t="s" s="18">
        <v>200</v>
      </c>
      <c r="E137" t="s" s="170">
        <v>1754</v>
      </c>
      <c r="F137" t="s" s="170">
        <v>1755</v>
      </c>
      <c r="G137" t="s" s="171">
        <v>1756</v>
      </c>
      <c r="H137" s="166">
        <v>1</v>
      </c>
      <c r="I137" t="s" s="18">
        <v>200</v>
      </c>
      <c r="J137" t="s" s="170">
        <v>1757</v>
      </c>
      <c r="K137" t="s" s="170">
        <v>1758</v>
      </c>
      <c r="L137" t="s" s="18">
        <v>1670</v>
      </c>
      <c r="M137" t="s" s="171">
        <v>1759</v>
      </c>
      <c r="N137" s="169"/>
      <c r="O137" s="169"/>
      <c r="P137" s="169"/>
      <c r="Q137" t="s" s="171">
        <v>1760</v>
      </c>
      <c r="R137" s="167">
        <v>1</v>
      </c>
      <c r="S137" t="s" s="171">
        <v>1761</v>
      </c>
      <c r="T137" t="s" s="171">
        <v>1762</v>
      </c>
      <c r="U137" t="s" s="171">
        <v>1670</v>
      </c>
      <c r="V137" t="s" s="171">
        <v>1763</v>
      </c>
      <c r="W137" s="167">
        <v>1</v>
      </c>
      <c r="X137" t="s" s="700">
        <v>1764</v>
      </c>
      <c r="Y137" t="s" s="170">
        <v>1765</v>
      </c>
      <c r="Z137" t="s" s="171">
        <v>1766</v>
      </c>
      <c r="AA137" t="s" s="170">
        <v>1767</v>
      </c>
      <c r="AB137" s="254">
        <v>2</v>
      </c>
      <c r="AC137" s="169"/>
      <c r="AD137" t="s" s="170">
        <v>1768</v>
      </c>
      <c r="AE137" s="169"/>
      <c r="AF137" t="s" s="18">
        <v>1670</v>
      </c>
    </row>
    <row r="138" ht="15" customHeight="1">
      <c r="A138" s="19"/>
      <c r="B138" s="116"/>
      <c r="C138" s="21"/>
      <c r="D138" s="22"/>
      <c r="E138" s="211"/>
      <c r="F138" s="211"/>
      <c r="G138" s="22"/>
      <c r="H138" s="22"/>
      <c r="I138" s="22"/>
      <c r="J138" s="211"/>
      <c r="K138" s="211"/>
      <c r="L138" s="22"/>
      <c r="M138" s="22"/>
      <c r="N138" s="22"/>
      <c r="O138" s="22"/>
      <c r="P138" s="22"/>
      <c r="Q138" s="22"/>
      <c r="R138" s="22"/>
      <c r="S138" s="22"/>
      <c r="T138" s="22"/>
      <c r="U138" s="22"/>
      <c r="V138" s="22"/>
      <c r="W138" s="22"/>
      <c r="X138" s="22"/>
      <c r="Y138" s="211"/>
      <c r="Z138" s="22"/>
      <c r="AA138" s="211"/>
      <c r="AB138" s="211"/>
      <c r="AC138" s="22"/>
      <c r="AD138" s="211"/>
      <c r="AE138" s="22"/>
      <c r="AF138" s="22"/>
    </row>
    <row r="139" ht="15" customHeight="1">
      <c r="A139" s="19"/>
      <c r="B139" s="116"/>
      <c r="C139" s="21"/>
      <c r="D139" s="22"/>
      <c r="E139" s="211"/>
      <c r="F139" s="211"/>
      <c r="G139" s="22"/>
      <c r="H139" s="22"/>
      <c r="I139" s="22"/>
      <c r="J139" s="211"/>
      <c r="K139" s="22"/>
      <c r="L139" s="22"/>
      <c r="M139" s="22"/>
      <c r="N139" s="22"/>
      <c r="O139" s="22"/>
      <c r="P139" s="22"/>
      <c r="Q139" s="22"/>
      <c r="R139" s="22"/>
      <c r="S139" s="22"/>
      <c r="T139" s="22"/>
      <c r="U139" s="22"/>
      <c r="V139" s="22"/>
      <c r="W139" s="22"/>
      <c r="X139" s="22"/>
      <c r="Y139" s="22"/>
      <c r="Z139" s="22"/>
      <c r="AA139" s="22"/>
      <c r="AB139" s="211"/>
      <c r="AC139" s="22"/>
      <c r="AD139" s="211"/>
      <c r="AE139" s="22"/>
      <c r="AF139" s="22"/>
    </row>
    <row r="140" ht="15" customHeight="1">
      <c r="A140" s="19"/>
      <c r="B140" s="116"/>
      <c r="C140" s="21"/>
      <c r="D140" s="22"/>
      <c r="E140" s="211"/>
      <c r="F140" s="211"/>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row>
    <row r="141" ht="15" customHeight="1">
      <c r="A141" s="19"/>
      <c r="B141" s="116"/>
      <c r="C141" s="21"/>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row>
    <row r="142" ht="15" customHeight="1">
      <c r="A142" s="23"/>
      <c r="B142" s="117"/>
      <c r="C142" s="25"/>
      <c r="D142" s="26"/>
      <c r="E142" s="26"/>
      <c r="F142" s="26"/>
      <c r="G142" s="22"/>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row>
    <row r="143" ht="48.75" customHeight="1">
      <c r="A143" s="52">
        <v>15</v>
      </c>
      <c r="B143" t="s" s="111">
        <v>40</v>
      </c>
      <c r="C143" s="634">
        <v>1</v>
      </c>
      <c r="D143" t="s" s="82">
        <v>200</v>
      </c>
      <c r="E143" t="s" s="483">
        <v>1769</v>
      </c>
      <c r="F143" t="s" s="506">
        <v>1770</v>
      </c>
      <c r="G143" t="s" s="303">
        <v>1456</v>
      </c>
      <c r="H143" s="285">
        <v>1</v>
      </c>
      <c r="I143" t="s" s="82">
        <v>337</v>
      </c>
      <c r="J143" t="s" s="283">
        <v>1769</v>
      </c>
      <c r="K143" t="s" s="432">
        <v>1771</v>
      </c>
      <c r="L143" t="s" s="484">
        <v>1772</v>
      </c>
      <c r="M143" s="285">
        <v>1</v>
      </c>
      <c r="N143" t="s" s="82">
        <v>1773</v>
      </c>
      <c r="O143" t="s" s="483">
        <v>1774</v>
      </c>
      <c r="P143" t="s" s="701">
        <v>1775</v>
      </c>
      <c r="Q143" t="s" s="82">
        <v>1456</v>
      </c>
      <c r="R143" s="285">
        <v>1</v>
      </c>
      <c r="S143" t="s" s="82">
        <v>337</v>
      </c>
      <c r="T143" t="s" s="283">
        <v>1769</v>
      </c>
      <c r="U143" t="s" s="701">
        <v>1776</v>
      </c>
      <c r="V143" t="s" s="432">
        <v>1777</v>
      </c>
      <c r="W143" s="285">
        <v>2</v>
      </c>
      <c r="X143" s="123"/>
      <c r="Y143" t="s" s="283">
        <v>1778</v>
      </c>
      <c r="Z143" t="s" s="296">
        <v>1779</v>
      </c>
      <c r="AA143" t="s" s="82">
        <v>374</v>
      </c>
      <c r="AB143" s="285">
        <v>1</v>
      </c>
      <c r="AC143" t="s" s="82">
        <v>1780</v>
      </c>
      <c r="AD143" t="s" s="283">
        <v>1781</v>
      </c>
      <c r="AE143" t="s" s="296">
        <v>1782</v>
      </c>
      <c r="AF143" t="s" s="483">
        <v>1783</v>
      </c>
    </row>
    <row r="144" ht="26.1" customHeight="1">
      <c r="A144" s="56"/>
      <c r="B144" s="113"/>
      <c r="C144" s="58"/>
      <c r="D144" s="59"/>
      <c r="E144" s="59"/>
      <c r="F144" s="510"/>
      <c r="G144" s="59"/>
      <c r="H144" s="59"/>
      <c r="I144" s="59"/>
      <c r="J144" s="59"/>
      <c r="K144" s="304"/>
      <c r="L144" s="491"/>
      <c r="M144" s="59"/>
      <c r="N144" s="59"/>
      <c r="O144" s="59"/>
      <c r="P144" s="702"/>
      <c r="Q144" s="59"/>
      <c r="R144" s="59"/>
      <c r="S144" s="59"/>
      <c r="T144" s="59"/>
      <c r="U144" s="702"/>
      <c r="V144" s="454"/>
      <c r="W144" s="59"/>
      <c r="X144" s="59"/>
      <c r="Y144" s="59"/>
      <c r="Z144" s="305"/>
      <c r="AA144" s="59"/>
      <c r="AB144" s="59"/>
      <c r="AC144" s="59"/>
      <c r="AD144" s="59"/>
      <c r="AE144" s="305"/>
      <c r="AF144" s="59"/>
    </row>
    <row r="145" ht="26.1" customHeight="1">
      <c r="A145" s="56"/>
      <c r="B145" s="113"/>
      <c r="C145" s="58"/>
      <c r="D145" s="59"/>
      <c r="E145" s="59"/>
      <c r="F145" s="510"/>
      <c r="G145" s="59"/>
      <c r="H145" s="59"/>
      <c r="I145" s="59"/>
      <c r="J145" s="59"/>
      <c r="K145" s="304"/>
      <c r="L145" s="491"/>
      <c r="M145" s="59"/>
      <c r="N145" s="59"/>
      <c r="O145" s="59"/>
      <c r="P145" s="702"/>
      <c r="Q145" s="59"/>
      <c r="R145" s="59"/>
      <c r="S145" s="59"/>
      <c r="T145" s="59"/>
      <c r="U145" s="702"/>
      <c r="V145" s="454"/>
      <c r="W145" s="59"/>
      <c r="X145" s="59"/>
      <c r="Y145" s="59"/>
      <c r="Z145" s="305"/>
      <c r="AA145" s="59"/>
      <c r="AB145" s="59"/>
      <c r="AC145" s="59"/>
      <c r="AD145" s="59"/>
      <c r="AE145" s="305"/>
      <c r="AF145" s="59"/>
    </row>
    <row r="146" ht="26.1" customHeight="1">
      <c r="A146" s="56"/>
      <c r="B146" s="113"/>
      <c r="C146" s="58"/>
      <c r="D146" s="59"/>
      <c r="E146" s="59"/>
      <c r="F146" s="510"/>
      <c r="G146" s="59"/>
      <c r="H146" s="59"/>
      <c r="I146" s="59"/>
      <c r="J146" s="59"/>
      <c r="K146" s="59"/>
      <c r="L146" s="491"/>
      <c r="M146" s="59"/>
      <c r="N146" s="59"/>
      <c r="O146" s="59"/>
      <c r="P146" s="702"/>
      <c r="Q146" s="59"/>
      <c r="R146" s="59"/>
      <c r="S146" s="59"/>
      <c r="T146" s="59"/>
      <c r="U146" s="702"/>
      <c r="V146" s="454"/>
      <c r="W146" s="59"/>
      <c r="X146" s="59"/>
      <c r="Y146" s="59"/>
      <c r="Z146" s="305"/>
      <c r="AA146" s="59"/>
      <c r="AB146" s="59"/>
      <c r="AC146" s="59"/>
      <c r="AD146" s="59"/>
      <c r="AE146" s="305"/>
      <c r="AF146" s="59"/>
    </row>
    <row r="147" ht="26.1" customHeight="1">
      <c r="A147" s="56"/>
      <c r="B147" s="113"/>
      <c r="C147" s="58"/>
      <c r="D147" s="59"/>
      <c r="E147" s="59"/>
      <c r="F147" s="510"/>
      <c r="G147" s="59"/>
      <c r="H147" s="59"/>
      <c r="I147" s="59"/>
      <c r="J147" s="59"/>
      <c r="K147" s="59"/>
      <c r="L147" s="59"/>
      <c r="M147" s="59"/>
      <c r="N147" s="59"/>
      <c r="O147" s="59"/>
      <c r="P147" s="702"/>
      <c r="Q147" s="59"/>
      <c r="R147" s="59"/>
      <c r="S147" s="59"/>
      <c r="T147" s="59"/>
      <c r="U147" s="702"/>
      <c r="V147" s="454"/>
      <c r="W147" s="59"/>
      <c r="X147" s="59"/>
      <c r="Y147" s="59"/>
      <c r="Z147" s="59"/>
      <c r="AA147" s="59"/>
      <c r="AB147" s="59"/>
      <c r="AC147" s="59"/>
      <c r="AD147" s="59"/>
      <c r="AE147" s="305"/>
      <c r="AF147" s="59"/>
    </row>
    <row r="148" ht="26.1" customHeight="1">
      <c r="A148" s="56"/>
      <c r="B148" s="113"/>
      <c r="C148" s="58"/>
      <c r="D148" s="59"/>
      <c r="E148" s="59"/>
      <c r="F148" s="59"/>
      <c r="G148" s="59"/>
      <c r="H148" s="59"/>
      <c r="I148" s="59"/>
      <c r="J148" s="59"/>
      <c r="K148" s="59"/>
      <c r="L148" s="59"/>
      <c r="M148" s="59"/>
      <c r="N148" s="59"/>
      <c r="O148" s="59"/>
      <c r="P148" s="702"/>
      <c r="Q148" s="59"/>
      <c r="R148" s="59"/>
      <c r="S148" s="59"/>
      <c r="T148" s="59"/>
      <c r="U148" s="702"/>
      <c r="V148" s="59"/>
      <c r="W148" s="59"/>
      <c r="X148" s="59"/>
      <c r="Y148" s="59"/>
      <c r="Z148" s="59"/>
      <c r="AA148" s="59"/>
      <c r="AB148" s="59"/>
      <c r="AC148" s="59"/>
      <c r="AD148" s="59"/>
      <c r="AE148" s="305"/>
      <c r="AF148" s="59"/>
    </row>
    <row r="149" ht="94.3" customHeight="1">
      <c r="A149" s="119"/>
      <c r="B149" s="114"/>
      <c r="C149" s="63"/>
      <c r="D149" s="64"/>
      <c r="E149" s="64"/>
      <c r="F149" s="64"/>
      <c r="G149" s="64"/>
      <c r="H149" s="64"/>
      <c r="I149" s="64"/>
      <c r="J149" s="64"/>
      <c r="K149" s="64"/>
      <c r="L149" s="64"/>
      <c r="M149" s="64"/>
      <c r="N149" s="64"/>
      <c r="O149" s="64"/>
      <c r="P149" s="703"/>
      <c r="Q149" s="64"/>
      <c r="R149" s="64"/>
      <c r="S149" s="64"/>
      <c r="T149" s="64"/>
      <c r="U149" s="703"/>
      <c r="V149" s="64"/>
      <c r="W149" s="64"/>
      <c r="X149" s="64"/>
      <c r="Y149" s="64"/>
      <c r="Z149" s="64"/>
      <c r="AA149" s="64"/>
      <c r="AB149" s="64"/>
      <c r="AC149" s="64"/>
      <c r="AD149" s="64"/>
      <c r="AE149" s="704"/>
      <c r="AF149" s="64"/>
    </row>
    <row r="150" ht="84" customHeight="1">
      <c r="A150" s="15">
        <v>16</v>
      </c>
      <c r="B150" t="s" s="115">
        <v>43</v>
      </c>
      <c r="C150" s="625">
        <v>1</v>
      </c>
      <c r="D150" t="s" s="18">
        <v>1784</v>
      </c>
      <c r="E150" t="s" s="170">
        <v>1785</v>
      </c>
      <c r="F150" t="s" s="170">
        <v>1786</v>
      </c>
      <c r="G150" t="s" s="171">
        <v>1787</v>
      </c>
      <c r="H150" s="166">
        <v>1</v>
      </c>
      <c r="I150" t="s" s="18">
        <v>1784</v>
      </c>
      <c r="J150" t="s" s="170">
        <v>1788</v>
      </c>
      <c r="K150" t="s" s="170">
        <v>1789</v>
      </c>
      <c r="L150" t="s" s="171">
        <v>1790</v>
      </c>
      <c r="M150" t="s" s="18">
        <v>1791</v>
      </c>
      <c r="N150" t="s" s="18">
        <v>1792</v>
      </c>
      <c r="O150" t="s" s="170">
        <v>1793</v>
      </c>
      <c r="P150" t="s" s="170">
        <v>1794</v>
      </c>
      <c r="Q150" t="s" s="170">
        <v>1795</v>
      </c>
      <c r="R150" s="166">
        <v>1</v>
      </c>
      <c r="S150" t="s" s="18">
        <v>1796</v>
      </c>
      <c r="T150" t="s" s="170">
        <v>1797</v>
      </c>
      <c r="U150" t="s" s="170">
        <v>1798</v>
      </c>
      <c r="V150" t="s" s="170">
        <v>1799</v>
      </c>
      <c r="W150" s="166">
        <v>1</v>
      </c>
      <c r="X150" t="s" s="18">
        <v>1792</v>
      </c>
      <c r="Y150" t="s" s="171">
        <v>1800</v>
      </c>
      <c r="Z150" t="s" s="171">
        <v>1801</v>
      </c>
      <c r="AA150" t="s" s="170">
        <v>1802</v>
      </c>
      <c r="AB150" s="166">
        <v>1</v>
      </c>
      <c r="AC150" t="s" s="18">
        <v>1803</v>
      </c>
      <c r="AD150" t="s" s="170">
        <v>1804</v>
      </c>
      <c r="AE150" t="s" s="170">
        <v>1805</v>
      </c>
      <c r="AF150" t="s" s="170">
        <v>1806</v>
      </c>
    </row>
    <row r="151" ht="15" customHeight="1">
      <c r="A151" s="19"/>
      <c r="B151" s="120"/>
      <c r="C151" s="21"/>
      <c r="D151" s="22"/>
      <c r="E151" s="211"/>
      <c r="F151" s="211"/>
      <c r="G151" s="22"/>
      <c r="H151" s="22"/>
      <c r="I151" s="22"/>
      <c r="J151" s="211"/>
      <c r="K151" s="211"/>
      <c r="L151" s="22"/>
      <c r="M151" s="22"/>
      <c r="N151" s="22"/>
      <c r="O151" s="211"/>
      <c r="P151" s="211"/>
      <c r="Q151" s="211"/>
      <c r="R151" s="22"/>
      <c r="S151" s="22"/>
      <c r="T151" s="211"/>
      <c r="U151" s="211"/>
      <c r="V151" s="211"/>
      <c r="W151" s="22"/>
      <c r="X151" s="22"/>
      <c r="Y151" s="22"/>
      <c r="Z151" s="22"/>
      <c r="AA151" s="211"/>
      <c r="AB151" s="22"/>
      <c r="AC151" s="22"/>
      <c r="AD151" s="211"/>
      <c r="AE151" s="211"/>
      <c r="AF151" s="211"/>
    </row>
    <row r="152" ht="15" customHeight="1">
      <c r="A152" s="19"/>
      <c r="B152" s="120"/>
      <c r="C152" s="21"/>
      <c r="D152" s="22"/>
      <c r="E152" s="211"/>
      <c r="F152" s="211"/>
      <c r="G152" s="22"/>
      <c r="H152" s="22"/>
      <c r="I152" s="22"/>
      <c r="J152" s="211"/>
      <c r="K152" s="211"/>
      <c r="L152" s="22"/>
      <c r="M152" s="22"/>
      <c r="N152" s="22"/>
      <c r="O152" s="22"/>
      <c r="P152" s="211"/>
      <c r="Q152" s="211"/>
      <c r="R152" s="22"/>
      <c r="S152" s="22"/>
      <c r="T152" s="211"/>
      <c r="U152" s="211"/>
      <c r="V152" s="316"/>
      <c r="W152" s="22"/>
      <c r="X152" s="22"/>
      <c r="Y152" s="22"/>
      <c r="Z152" s="22"/>
      <c r="AA152" s="22"/>
      <c r="AB152" s="22"/>
      <c r="AC152" s="22"/>
      <c r="AD152" s="211"/>
      <c r="AE152" s="211"/>
      <c r="AF152" s="22"/>
    </row>
    <row r="153" ht="15" customHeight="1">
      <c r="A153" s="19"/>
      <c r="B153" s="120"/>
      <c r="C153" s="21"/>
      <c r="D153" s="22"/>
      <c r="E153" s="211"/>
      <c r="F153" s="211"/>
      <c r="G153" s="22"/>
      <c r="H153" s="22"/>
      <c r="I153" s="22"/>
      <c r="J153" s="211"/>
      <c r="K153" s="211"/>
      <c r="L153" s="22"/>
      <c r="M153" s="22"/>
      <c r="N153" s="22"/>
      <c r="O153" s="22"/>
      <c r="P153" s="211"/>
      <c r="Q153" s="22"/>
      <c r="R153" s="22"/>
      <c r="S153" s="22"/>
      <c r="T153" s="211"/>
      <c r="U153" s="211"/>
      <c r="V153" s="22"/>
      <c r="W153" s="22"/>
      <c r="X153" s="22"/>
      <c r="Y153" s="22"/>
      <c r="Z153" s="22"/>
      <c r="AA153" s="22"/>
      <c r="AB153" s="22"/>
      <c r="AC153" s="22"/>
      <c r="AD153" s="211"/>
      <c r="AE153" s="211"/>
      <c r="AF153" s="22"/>
    </row>
    <row r="154" ht="15" customHeight="1">
      <c r="A154" s="19"/>
      <c r="B154" s="120"/>
      <c r="C154" s="21"/>
      <c r="D154" s="22"/>
      <c r="E154" s="211"/>
      <c r="F154" s="211"/>
      <c r="G154" s="22"/>
      <c r="H154" s="22"/>
      <c r="I154" s="22"/>
      <c r="J154" s="211"/>
      <c r="K154" s="211"/>
      <c r="L154" s="22"/>
      <c r="M154" s="22"/>
      <c r="N154" s="22"/>
      <c r="O154" s="22"/>
      <c r="P154" s="211"/>
      <c r="Q154" s="22"/>
      <c r="R154" s="22"/>
      <c r="S154" s="22"/>
      <c r="T154" s="211"/>
      <c r="U154" s="211"/>
      <c r="V154" s="22"/>
      <c r="W154" s="22"/>
      <c r="X154" s="22"/>
      <c r="Y154" s="22"/>
      <c r="Z154" s="22"/>
      <c r="AA154" s="22"/>
      <c r="AB154" s="22"/>
      <c r="AC154" s="22"/>
      <c r="AD154" s="22"/>
      <c r="AE154" s="22"/>
      <c r="AF154" s="22"/>
    </row>
    <row r="155" ht="15" customHeight="1">
      <c r="A155" s="19"/>
      <c r="B155" s="120"/>
      <c r="C155" s="21"/>
      <c r="D155" s="22"/>
      <c r="E155" s="211"/>
      <c r="F155" s="211"/>
      <c r="G155" s="22"/>
      <c r="H155" s="22"/>
      <c r="I155" s="22"/>
      <c r="J155" s="211"/>
      <c r="K155" s="211"/>
      <c r="L155" s="22"/>
      <c r="M155" s="22"/>
      <c r="N155" s="22"/>
      <c r="O155" s="22"/>
      <c r="P155" s="22"/>
      <c r="Q155" s="22"/>
      <c r="R155" s="22"/>
      <c r="S155" s="22"/>
      <c r="T155" s="22"/>
      <c r="U155" s="22"/>
      <c r="V155" s="22"/>
      <c r="W155" s="22"/>
      <c r="X155" s="22"/>
      <c r="Y155" s="22"/>
      <c r="Z155" s="22"/>
      <c r="AA155" s="22"/>
      <c r="AB155" s="22"/>
      <c r="AC155" s="22"/>
      <c r="AD155" s="22"/>
      <c r="AE155" s="22"/>
      <c r="AF155" s="22"/>
    </row>
    <row r="156" ht="13.75" customHeight="1">
      <c r="A156" s="19"/>
      <c r="B156" s="120"/>
      <c r="C156" s="21"/>
      <c r="D156" s="22"/>
      <c r="E156" s="211"/>
      <c r="F156" s="211"/>
      <c r="G156" s="22"/>
      <c r="H156" s="22"/>
      <c r="I156" s="22"/>
      <c r="J156" s="211"/>
      <c r="K156" s="211"/>
      <c r="L156" s="22"/>
      <c r="M156" s="22"/>
      <c r="N156" s="22"/>
      <c r="O156" s="22"/>
      <c r="P156" s="22"/>
      <c r="Q156" s="22"/>
      <c r="R156" s="22"/>
      <c r="S156" s="22"/>
      <c r="T156" s="22"/>
      <c r="U156" s="22"/>
      <c r="V156" s="22"/>
      <c r="W156" s="22"/>
      <c r="X156" s="22"/>
      <c r="Y156" s="22"/>
      <c r="Z156" s="22"/>
      <c r="AA156" s="22"/>
      <c r="AB156" s="22"/>
      <c r="AC156" s="22"/>
      <c r="AD156" s="22"/>
      <c r="AE156" s="22"/>
      <c r="AF156" s="22"/>
    </row>
    <row r="157" ht="13.75" customHeight="1">
      <c r="A157" s="19"/>
      <c r="B157" s="120"/>
      <c r="C157" s="21"/>
      <c r="D157" s="22"/>
      <c r="E157" s="211"/>
      <c r="F157" s="211"/>
      <c r="G157" s="22"/>
      <c r="H157" s="22"/>
      <c r="I157" s="22"/>
      <c r="J157" s="211"/>
      <c r="K157" s="211"/>
      <c r="L157" s="22"/>
      <c r="M157" s="22"/>
      <c r="N157" s="22"/>
      <c r="O157" s="22"/>
      <c r="P157" s="22"/>
      <c r="Q157" s="22"/>
      <c r="R157" s="22"/>
      <c r="S157" s="22"/>
      <c r="T157" s="22"/>
      <c r="U157" s="22"/>
      <c r="V157" s="22"/>
      <c r="W157" s="22"/>
      <c r="X157" s="22"/>
      <c r="Y157" s="22"/>
      <c r="Z157" s="22"/>
      <c r="AA157" s="22"/>
      <c r="AB157" s="22"/>
      <c r="AC157" s="22"/>
      <c r="AD157" s="22"/>
      <c r="AE157" s="22"/>
      <c r="AF157" s="22"/>
    </row>
    <row r="158" ht="13.75" customHeight="1">
      <c r="A158" s="19"/>
      <c r="B158" s="120"/>
      <c r="C158" s="21"/>
      <c r="D158" s="22"/>
      <c r="E158" s="211"/>
      <c r="F158" s="211"/>
      <c r="G158" s="22"/>
      <c r="H158" s="22"/>
      <c r="I158" s="22"/>
      <c r="J158" s="211"/>
      <c r="K158" s="211"/>
      <c r="L158" s="22"/>
      <c r="M158" s="22"/>
      <c r="N158" s="22"/>
      <c r="O158" s="22"/>
      <c r="P158" s="22"/>
      <c r="Q158" s="22"/>
      <c r="R158" s="22"/>
      <c r="S158" s="22"/>
      <c r="T158" s="22"/>
      <c r="U158" s="22"/>
      <c r="V158" s="22"/>
      <c r="W158" s="22"/>
      <c r="X158" s="22"/>
      <c r="Y158" s="22"/>
      <c r="Z158" s="22"/>
      <c r="AA158" s="22"/>
      <c r="AB158" s="22"/>
      <c r="AC158" s="22"/>
      <c r="AD158" s="22"/>
      <c r="AE158" s="22"/>
      <c r="AF158" s="22"/>
    </row>
    <row r="159" ht="13.75" customHeight="1">
      <c r="A159" s="19"/>
      <c r="B159" s="120"/>
      <c r="C159" s="21"/>
      <c r="D159" s="22"/>
      <c r="E159" s="211"/>
      <c r="F159" s="211"/>
      <c r="G159" s="22"/>
      <c r="H159" s="22"/>
      <c r="I159" s="22"/>
      <c r="J159" s="211"/>
      <c r="K159" s="211"/>
      <c r="L159" s="22"/>
      <c r="M159" s="22"/>
      <c r="N159" s="22"/>
      <c r="O159" s="22"/>
      <c r="P159" s="22"/>
      <c r="Q159" s="22"/>
      <c r="R159" s="22"/>
      <c r="S159" s="22"/>
      <c r="T159" s="22"/>
      <c r="U159" s="22"/>
      <c r="V159" s="22"/>
      <c r="W159" s="22"/>
      <c r="X159" s="22"/>
      <c r="Y159" s="22"/>
      <c r="Z159" s="22"/>
      <c r="AA159" s="22"/>
      <c r="AB159" s="22"/>
      <c r="AC159" s="22"/>
      <c r="AD159" s="22"/>
      <c r="AE159" s="22"/>
      <c r="AF159" s="22"/>
    </row>
    <row r="160" ht="13.75" customHeight="1">
      <c r="A160" s="19"/>
      <c r="B160" s="120"/>
      <c r="C160" s="21"/>
      <c r="D160" s="22"/>
      <c r="E160" s="211"/>
      <c r="F160" s="211"/>
      <c r="G160" s="22"/>
      <c r="H160" s="22"/>
      <c r="I160" s="22"/>
      <c r="J160" s="211"/>
      <c r="K160" s="211"/>
      <c r="L160" s="22"/>
      <c r="M160" s="22"/>
      <c r="N160" s="22"/>
      <c r="O160" s="22"/>
      <c r="P160" s="22"/>
      <c r="Q160" s="22"/>
      <c r="R160" s="22"/>
      <c r="S160" s="22"/>
      <c r="T160" s="22"/>
      <c r="U160" s="22"/>
      <c r="V160" s="22"/>
      <c r="W160" s="22"/>
      <c r="X160" s="22"/>
      <c r="Y160" s="22"/>
      <c r="Z160" s="22"/>
      <c r="AA160" s="22"/>
      <c r="AB160" s="22"/>
      <c r="AC160" s="22"/>
      <c r="AD160" s="22"/>
      <c r="AE160" s="22"/>
      <c r="AF160" s="22"/>
    </row>
    <row r="161" ht="13.55" customHeight="1">
      <c r="A161" s="23"/>
      <c r="B161" s="114"/>
      <c r="C161" s="63"/>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row>
    <row r="162" ht="13.55" customHeight="1">
      <c r="A162" s="121"/>
      <c r="B162" s="122"/>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row>
    <row r="163" ht="13.55" customHeight="1">
      <c r="A163" s="124"/>
      <c r="B163" s="125"/>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row>
    <row r="164" ht="13.55" customHeight="1">
      <c r="A164" s="124"/>
      <c r="B164" s="125"/>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row>
    <row r="165" ht="13.55" customHeight="1">
      <c r="A165" s="124"/>
      <c r="B165" s="125"/>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row>
    <row r="166" ht="13.55" customHeight="1">
      <c r="A166" s="124"/>
      <c r="B166" s="125"/>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row>
    <row r="167" ht="13.55" customHeight="1">
      <c r="A167" s="124"/>
      <c r="B167" s="125"/>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row>
    <row r="168" ht="13.55" customHeight="1">
      <c r="A168" s="124"/>
      <c r="B168" s="125"/>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row>
    <row r="169" ht="13.55" customHeight="1">
      <c r="A169" s="124"/>
      <c r="B169" s="125"/>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row>
    <row r="170" ht="13.55" customHeight="1">
      <c r="A170" s="124"/>
      <c r="B170" s="125"/>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row>
    <row r="171" ht="13.55" customHeight="1">
      <c r="A171" s="124"/>
      <c r="B171" s="125"/>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row>
    <row r="172" ht="13.55" customHeight="1">
      <c r="A172" s="124"/>
      <c r="B172" s="125"/>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row>
    <row r="173" ht="13.55" customHeight="1">
      <c r="A173" s="124"/>
      <c r="B173" s="125"/>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row>
    <row r="174" ht="13.55" customHeight="1">
      <c r="A174" s="124"/>
      <c r="B174" s="125"/>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row>
    <row r="175" ht="13.55" customHeight="1">
      <c r="A175" s="124"/>
      <c r="B175" s="125"/>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row>
    <row r="176" ht="13.55" customHeight="1">
      <c r="A176" s="124"/>
      <c r="B176" s="125"/>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row>
    <row r="177" ht="13.55" customHeight="1">
      <c r="A177" s="124"/>
      <c r="B177" s="125"/>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row>
    <row r="178" ht="13.55" customHeight="1">
      <c r="A178" s="124"/>
      <c r="B178" s="125"/>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row>
  </sheetData>
  <mergeCells count="155">
    <mergeCell ref="B119:B125"/>
    <mergeCell ref="A126:A136"/>
    <mergeCell ref="A137:A142"/>
    <mergeCell ref="A150:A155"/>
    <mergeCell ref="C2:AF2"/>
    <mergeCell ref="C3:G3"/>
    <mergeCell ref="H3:L3"/>
    <mergeCell ref="M3:Q3"/>
    <mergeCell ref="R3:V3"/>
    <mergeCell ref="W3:AA3"/>
    <mergeCell ref="A56:A58"/>
    <mergeCell ref="A70:A80"/>
    <mergeCell ref="A81:A82"/>
    <mergeCell ref="A90:A92"/>
    <mergeCell ref="A110:A118"/>
    <mergeCell ref="A119:A125"/>
    <mergeCell ref="B2:B4"/>
    <mergeCell ref="A5:A12"/>
    <mergeCell ref="A13:A18"/>
    <mergeCell ref="A19:A42"/>
    <mergeCell ref="A43:A47"/>
    <mergeCell ref="A48:A55"/>
    <mergeCell ref="AB3:AF3"/>
    <mergeCell ref="F5:F8"/>
    <mergeCell ref="Z5:Z6"/>
    <mergeCell ref="AD5:AD8"/>
    <mergeCell ref="AE5:AE12"/>
    <mergeCell ref="T13:T17"/>
    <mergeCell ref="V13:V17"/>
    <mergeCell ref="Y13:Y16"/>
    <mergeCell ref="AA13:AA17"/>
    <mergeCell ref="AD13:AD17"/>
    <mergeCell ref="O13:O16"/>
    <mergeCell ref="Q13:Q18"/>
    <mergeCell ref="K19:K21"/>
    <mergeCell ref="E13:E14"/>
    <mergeCell ref="G13:G16"/>
    <mergeCell ref="J13:J14"/>
    <mergeCell ref="L13:L18"/>
    <mergeCell ref="J5:J6"/>
    <mergeCell ref="T5:T7"/>
    <mergeCell ref="U5:U7"/>
    <mergeCell ref="Y5:Y9"/>
    <mergeCell ref="Z56:Z68"/>
    <mergeCell ref="AD56:AD64"/>
    <mergeCell ref="AE56:AE64"/>
    <mergeCell ref="AF19:AF20"/>
    <mergeCell ref="E43:E45"/>
    <mergeCell ref="F43:F46"/>
    <mergeCell ref="J43:J45"/>
    <mergeCell ref="K43:K44"/>
    <mergeCell ref="O43:O44"/>
    <mergeCell ref="P43:P46"/>
    <mergeCell ref="L19:L24"/>
    <mergeCell ref="O19:O42"/>
    <mergeCell ref="Q19:Q24"/>
    <mergeCell ref="T19:T42"/>
    <mergeCell ref="U19:U20"/>
    <mergeCell ref="V19:V22"/>
    <mergeCell ref="T43:T44"/>
    <mergeCell ref="Y43:Y46"/>
    <mergeCell ref="AD43:AD47"/>
    <mergeCell ref="AE43:AE44"/>
    <mergeCell ref="E19:E42"/>
    <mergeCell ref="F19:F42"/>
    <mergeCell ref="G19:G21"/>
    <mergeCell ref="J19:J42"/>
    <mergeCell ref="E48:E50"/>
    <mergeCell ref="F48:F50"/>
    <mergeCell ref="J48:J49"/>
    <mergeCell ref="K48:K49"/>
    <mergeCell ref="Y19:Y21"/>
    <mergeCell ref="Z19:Z21"/>
    <mergeCell ref="AD19:AD37"/>
    <mergeCell ref="AF81:AF82"/>
    <mergeCell ref="J90:J98"/>
    <mergeCell ref="Y90:Y98"/>
    <mergeCell ref="Z90:Z97"/>
    <mergeCell ref="AD90:AD95"/>
    <mergeCell ref="AE90:AE99"/>
    <mergeCell ref="AF56:AF64"/>
    <mergeCell ref="G70:G72"/>
    <mergeCell ref="J70:J71"/>
    <mergeCell ref="K70:K75"/>
    <mergeCell ref="Z70:Z71"/>
    <mergeCell ref="E56:E63"/>
    <mergeCell ref="F56:F63"/>
    <mergeCell ref="J56:J64"/>
    <mergeCell ref="K56:K64"/>
    <mergeCell ref="O56:O64"/>
    <mergeCell ref="Y56:Y63"/>
    <mergeCell ref="AF110:AF113"/>
    <mergeCell ref="F81:F84"/>
    <mergeCell ref="G81:G83"/>
    <mergeCell ref="J81:J82"/>
    <mergeCell ref="L81:L83"/>
    <mergeCell ref="Q81:Q83"/>
    <mergeCell ref="U81:U86"/>
    <mergeCell ref="AD119:AD120"/>
    <mergeCell ref="AE119:AE120"/>
    <mergeCell ref="AD102:AD104"/>
    <mergeCell ref="J110:J113"/>
    <mergeCell ref="L110:L111"/>
    <mergeCell ref="Y110:Y112"/>
    <mergeCell ref="AA110:AA113"/>
    <mergeCell ref="AD110:AD113"/>
    <mergeCell ref="V81:V83"/>
    <mergeCell ref="AA81:AA83"/>
    <mergeCell ref="E137:E140"/>
    <mergeCell ref="F137:F140"/>
    <mergeCell ref="J137:J139"/>
    <mergeCell ref="K137:K138"/>
    <mergeCell ref="Y137:Y138"/>
    <mergeCell ref="AA137:AA138"/>
    <mergeCell ref="AD137:AD139"/>
    <mergeCell ref="AF119:AF120"/>
    <mergeCell ref="E126:E133"/>
    <mergeCell ref="J126:J127"/>
    <mergeCell ref="K126:K134"/>
    <mergeCell ref="O126:O128"/>
    <mergeCell ref="P126:P129"/>
    <mergeCell ref="T126:T128"/>
    <mergeCell ref="U126:U129"/>
    <mergeCell ref="Y126:Y134"/>
    <mergeCell ref="Z126:Z136"/>
    <mergeCell ref="E119:E121"/>
    <mergeCell ref="F119:F120"/>
    <mergeCell ref="J119:J121"/>
    <mergeCell ref="O119:O121"/>
    <mergeCell ref="P119:P120"/>
    <mergeCell ref="T119:T121"/>
    <mergeCell ref="U119:U121"/>
    <mergeCell ref="F143:F147"/>
    <mergeCell ref="P143:P149"/>
    <mergeCell ref="U143:U149"/>
    <mergeCell ref="V143:V146"/>
    <mergeCell ref="Z143:Z145"/>
    <mergeCell ref="AE143:AE149"/>
    <mergeCell ref="AA126:AA127"/>
    <mergeCell ref="AD126:AD129"/>
    <mergeCell ref="AE126:AE129"/>
    <mergeCell ref="AE150:AE153"/>
    <mergeCell ref="AF150:AF151"/>
    <mergeCell ref="Q150:Q152"/>
    <mergeCell ref="T150:T154"/>
    <mergeCell ref="U150:U154"/>
    <mergeCell ref="V150:V151"/>
    <mergeCell ref="AA150:AA151"/>
    <mergeCell ref="AD150:AD153"/>
    <mergeCell ref="E150:E155"/>
    <mergeCell ref="F150:F155"/>
    <mergeCell ref="J150:J155"/>
    <mergeCell ref="K150:K155"/>
    <mergeCell ref="O150:O151"/>
    <mergeCell ref="P150:P154"/>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6.xml><?xml version="1.0" encoding="utf-8"?>
<worksheet xmlns:r="http://schemas.openxmlformats.org/officeDocument/2006/relationships" xmlns="http://schemas.openxmlformats.org/spreadsheetml/2006/main">
  <dimension ref="A1:AD178"/>
  <sheetViews>
    <sheetView workbookViewId="0" showGridLines="0" defaultGridColor="1"/>
  </sheetViews>
  <sheetFormatPr defaultColWidth="8.83333" defaultRowHeight="28.5" customHeight="1" outlineLevelRow="0" outlineLevelCol="0"/>
  <cols>
    <col min="1" max="1" width="6.35156" style="705" customWidth="1"/>
    <col min="2" max="2" width="13.5" style="705" customWidth="1"/>
    <col min="3" max="3" width="8.85156" style="705" customWidth="1"/>
    <col min="4" max="4" width="11" style="705" customWidth="1"/>
    <col min="5" max="5" width="20.8516" style="705" customWidth="1"/>
    <col min="6" max="6" width="8.85156" style="705" customWidth="1"/>
    <col min="7" max="8" width="12" style="705" customWidth="1"/>
    <col min="9" max="9" width="10.5" style="705" customWidth="1"/>
    <col min="10" max="12" width="8.85156" style="705" customWidth="1"/>
    <col min="13" max="13" width="19.1719" style="705" customWidth="1"/>
    <col min="14" max="14" width="8.85156" style="705" customWidth="1"/>
    <col min="15" max="15" width="28.1719" style="705" customWidth="1"/>
    <col min="16" max="16" width="8.85156" style="705" customWidth="1"/>
    <col min="17" max="17" width="11.8516" style="705" customWidth="1"/>
    <col min="18" max="18" width="26.1719" style="705" customWidth="1"/>
    <col min="19" max="19" width="8.85156" style="705" customWidth="1"/>
    <col min="20" max="20" width="25.1719" style="705" customWidth="1"/>
    <col min="21" max="21" width="8.85156" style="705" customWidth="1"/>
    <col min="22" max="22" width="25.3516" style="705" customWidth="1"/>
    <col min="23" max="23" width="8.85156" style="705" customWidth="1"/>
    <col min="24" max="24" width="23.1719" style="705" customWidth="1"/>
    <col min="25" max="25" width="8.85156" style="705" customWidth="1"/>
    <col min="26" max="26" width="20.5" style="705" customWidth="1"/>
    <col min="27" max="27" width="10.6719" style="705" customWidth="1"/>
    <col min="28" max="29" width="8.85156" style="705" customWidth="1"/>
    <col min="30" max="30" width="11" style="705" customWidth="1"/>
    <col min="31" max="16384" width="8.85156" style="705" customWidth="1"/>
  </cols>
  <sheetData>
    <row r="1" ht="27" customHeight="1">
      <c r="A1" s="2"/>
      <c r="B1" s="3"/>
      <c r="C1" t="s" s="520">
        <v>1807</v>
      </c>
      <c r="D1" t="s" s="520">
        <v>1808</v>
      </c>
      <c r="E1" t="s" s="520">
        <v>1809</v>
      </c>
      <c r="F1" s="133"/>
      <c r="G1" s="706"/>
      <c r="H1" t="s" s="520">
        <v>1810</v>
      </c>
      <c r="I1" t="s" s="520">
        <v>1811</v>
      </c>
      <c r="J1" t="s" s="520">
        <v>1812</v>
      </c>
      <c r="K1" t="s" s="520">
        <v>1813</v>
      </c>
      <c r="L1" t="s" s="520">
        <v>1814</v>
      </c>
      <c r="M1" t="s" s="520">
        <v>1815</v>
      </c>
      <c r="N1" t="s" s="520">
        <v>1816</v>
      </c>
      <c r="O1" t="s" s="520">
        <v>1817</v>
      </c>
      <c r="P1" t="s" s="520">
        <v>1818</v>
      </c>
      <c r="Q1" t="s" s="520">
        <v>1819</v>
      </c>
      <c r="R1" t="s" s="520">
        <v>1820</v>
      </c>
      <c r="S1" t="s" s="520">
        <v>1821</v>
      </c>
      <c r="T1" t="s" s="520">
        <v>1822</v>
      </c>
      <c r="U1" t="s" s="520">
        <v>1823</v>
      </c>
      <c r="V1" t="s" s="520">
        <v>1824</v>
      </c>
      <c r="W1" t="s" s="520">
        <v>1825</v>
      </c>
      <c r="X1" t="s" s="520">
        <v>1826</v>
      </c>
      <c r="Y1" t="s" s="520">
        <v>1827</v>
      </c>
      <c r="Z1" t="s" s="520">
        <v>1828</v>
      </c>
      <c r="AA1" t="s" s="520">
        <v>1829</v>
      </c>
      <c r="AB1" t="s" s="520">
        <v>1830</v>
      </c>
      <c r="AC1" t="s" s="520">
        <v>1831</v>
      </c>
      <c r="AD1" t="s" s="520">
        <v>1832</v>
      </c>
    </row>
    <row r="2" ht="27" customHeight="1">
      <c r="A2" s="6"/>
      <c r="B2" t="s" s="7">
        <v>2</v>
      </c>
      <c r="C2" t="s" s="615">
        <v>1833</v>
      </c>
      <c r="D2" s="616"/>
      <c r="E2" s="616"/>
      <c r="F2" s="616"/>
      <c r="G2" s="616"/>
      <c r="H2" s="616"/>
      <c r="I2" s="616"/>
      <c r="J2" t="s" s="615">
        <v>1834</v>
      </c>
      <c r="K2" s="616"/>
      <c r="L2" t="s" s="615">
        <v>1835</v>
      </c>
      <c r="M2" s="616"/>
      <c r="N2" s="616"/>
      <c r="O2" s="616"/>
      <c r="P2" s="616"/>
      <c r="Q2" t="s" s="615">
        <v>1836</v>
      </c>
      <c r="R2" s="616"/>
      <c r="S2" t="s" s="615">
        <v>1837</v>
      </c>
      <c r="T2" s="616"/>
      <c r="U2" s="616"/>
      <c r="V2" s="616"/>
      <c r="W2" t="s" s="615">
        <v>947</v>
      </c>
      <c r="X2" s="616"/>
      <c r="Y2" s="616"/>
      <c r="Z2" s="616"/>
      <c r="AA2" t="s" s="7">
        <v>1838</v>
      </c>
      <c r="AB2" s="10"/>
      <c r="AC2" t="s" s="615">
        <v>1839</v>
      </c>
      <c r="AD2" s="616"/>
    </row>
    <row r="3" ht="27.4" customHeight="1">
      <c r="A3" s="6"/>
      <c r="B3" s="10"/>
      <c r="C3" t="s" s="7">
        <v>1840</v>
      </c>
      <c r="D3" t="s" s="7">
        <v>1841</v>
      </c>
      <c r="E3" t="s" s="158">
        <v>1842</v>
      </c>
      <c r="F3" s="163"/>
      <c r="G3" t="s" s="156">
        <v>174</v>
      </c>
      <c r="H3" t="s" s="7">
        <v>1843</v>
      </c>
      <c r="I3" t="s" s="7">
        <v>1844</v>
      </c>
      <c r="J3" t="s" s="7">
        <v>148</v>
      </c>
      <c r="K3" t="s" s="7">
        <v>995</v>
      </c>
      <c r="L3" t="s" s="158">
        <v>1845</v>
      </c>
      <c r="M3" t="s" s="7">
        <v>1846</v>
      </c>
      <c r="N3" t="s" s="7">
        <v>1847</v>
      </c>
      <c r="O3" t="s" s="7">
        <v>1848</v>
      </c>
      <c r="P3" t="s" s="7">
        <v>160</v>
      </c>
      <c r="Q3" t="s" s="7">
        <v>1849</v>
      </c>
      <c r="R3" t="s" s="7">
        <v>1850</v>
      </c>
      <c r="S3" t="s" s="7">
        <v>1851</v>
      </c>
      <c r="T3" t="s" s="7">
        <v>1852</v>
      </c>
      <c r="U3" t="s" s="7">
        <v>1853</v>
      </c>
      <c r="V3" t="s" s="7">
        <v>1854</v>
      </c>
      <c r="W3" t="s" s="7">
        <v>1855</v>
      </c>
      <c r="X3" t="s" s="7">
        <v>969</v>
      </c>
      <c r="Y3" t="s" s="7">
        <v>970</v>
      </c>
      <c r="Z3" t="s" s="7">
        <v>969</v>
      </c>
      <c r="AA3" t="s" s="7">
        <v>165</v>
      </c>
      <c r="AB3" t="s" s="7">
        <v>1856</v>
      </c>
      <c r="AC3" t="s" s="7">
        <v>148</v>
      </c>
      <c r="AD3" t="s" s="7">
        <v>995</v>
      </c>
    </row>
    <row r="4" ht="27" customHeight="1">
      <c r="A4" s="13"/>
      <c r="B4" s="10"/>
      <c r="C4" s="10"/>
      <c r="D4" s="10"/>
      <c r="E4" s="163"/>
      <c r="F4" s="163"/>
      <c r="G4" s="162"/>
      <c r="H4" s="10"/>
      <c r="I4" s="10"/>
      <c r="J4" s="10"/>
      <c r="K4" s="10"/>
      <c r="L4" s="163"/>
      <c r="M4" s="10"/>
      <c r="N4" s="10"/>
      <c r="O4" s="10"/>
      <c r="P4" s="10"/>
      <c r="Q4" s="10"/>
      <c r="R4" s="10"/>
      <c r="S4" s="10"/>
      <c r="T4" s="10"/>
      <c r="U4" s="10"/>
      <c r="V4" s="10"/>
      <c r="W4" s="10"/>
      <c r="X4" s="10"/>
      <c r="Y4" s="10"/>
      <c r="Z4" s="10"/>
      <c r="AA4" s="10"/>
      <c r="AB4" s="10"/>
      <c r="AC4" s="10"/>
      <c r="AD4" s="10"/>
    </row>
    <row r="5" ht="108" customHeight="1">
      <c r="A5" s="15">
        <v>1</v>
      </c>
      <c r="B5" t="s" s="16">
        <v>6</v>
      </c>
      <c r="C5" t="s" s="17">
        <v>200</v>
      </c>
      <c r="D5" s="255">
        <v>97</v>
      </c>
      <c r="E5" t="s" s="707">
        <v>1857</v>
      </c>
      <c r="F5" s="708"/>
      <c r="G5" t="s" s="171">
        <v>1858</v>
      </c>
      <c r="H5" t="s" s="171">
        <v>1859</v>
      </c>
      <c r="I5" t="s" s="171">
        <v>1860</v>
      </c>
      <c r="J5" t="s" s="171">
        <v>1861</v>
      </c>
      <c r="K5" s="169"/>
      <c r="L5" t="s" s="18">
        <v>1862</v>
      </c>
      <c r="M5" s="237">
        <v>0.02</v>
      </c>
      <c r="N5" s="166">
        <v>2</v>
      </c>
      <c r="O5" s="169"/>
      <c r="P5" s="169"/>
      <c r="Q5" s="166">
        <v>2</v>
      </c>
      <c r="R5" t="s" s="171">
        <v>1863</v>
      </c>
      <c r="S5" s="166">
        <v>1</v>
      </c>
      <c r="T5" t="s" s="170">
        <v>1864</v>
      </c>
      <c r="U5" s="166">
        <v>2</v>
      </c>
      <c r="V5" s="169"/>
      <c r="W5" s="166">
        <v>1</v>
      </c>
      <c r="X5" t="s" s="170">
        <v>1865</v>
      </c>
      <c r="Y5" s="166">
        <v>2</v>
      </c>
      <c r="Z5" s="169"/>
      <c r="AA5" t="s" s="18">
        <v>200</v>
      </c>
      <c r="AB5" s="166">
        <v>70</v>
      </c>
      <c r="AC5" t="s" s="18">
        <v>1866</v>
      </c>
      <c r="AD5" s="169"/>
    </row>
    <row r="6" ht="15" customHeight="1">
      <c r="A6" s="19"/>
      <c r="B6" s="20"/>
      <c r="C6" t="s" s="220">
        <v>229</v>
      </c>
      <c r="D6" s="215">
        <v>0.5</v>
      </c>
      <c r="E6" s="709">
        <v>0</v>
      </c>
      <c r="F6" s="21"/>
      <c r="G6" s="188"/>
      <c r="H6" t="s" s="303">
        <v>1867</v>
      </c>
      <c r="I6" s="208">
        <v>4</v>
      </c>
      <c r="J6" s="22"/>
      <c r="K6" s="22"/>
      <c r="L6" s="22"/>
      <c r="M6" s="211"/>
      <c r="N6" s="22"/>
      <c r="O6" s="22"/>
      <c r="P6" s="22"/>
      <c r="Q6" s="22"/>
      <c r="R6" s="22"/>
      <c r="S6" s="22"/>
      <c r="T6" s="211"/>
      <c r="U6" s="22"/>
      <c r="V6" s="22"/>
      <c r="W6" s="22"/>
      <c r="X6" s="211"/>
      <c r="Y6" s="22"/>
      <c r="Z6" s="22"/>
      <c r="AA6" t="s" s="209">
        <v>229</v>
      </c>
      <c r="AB6" s="208">
        <v>20</v>
      </c>
      <c r="AC6" s="22"/>
      <c r="AD6" s="22"/>
    </row>
    <row r="7" ht="15" customHeight="1">
      <c r="A7" s="19"/>
      <c r="B7" s="20"/>
      <c r="C7" t="s" s="220">
        <v>357</v>
      </c>
      <c r="D7" s="215">
        <v>0.4</v>
      </c>
      <c r="E7" s="709">
        <v>0</v>
      </c>
      <c r="F7" s="21"/>
      <c r="G7" s="188"/>
      <c r="H7" s="22"/>
      <c r="I7" s="22"/>
      <c r="J7" s="22"/>
      <c r="K7" s="22"/>
      <c r="L7" s="22"/>
      <c r="M7" s="211"/>
      <c r="N7" s="22"/>
      <c r="O7" s="22"/>
      <c r="P7" s="22"/>
      <c r="Q7" s="22"/>
      <c r="R7" s="22"/>
      <c r="S7" s="22"/>
      <c r="T7" s="22"/>
      <c r="U7" s="22"/>
      <c r="V7" s="22"/>
      <c r="W7" s="22"/>
      <c r="X7" s="22"/>
      <c r="Y7" s="22"/>
      <c r="Z7" s="22"/>
      <c r="AA7" t="s" s="209">
        <v>312</v>
      </c>
      <c r="AB7" s="208">
        <v>10</v>
      </c>
      <c r="AC7" s="22"/>
      <c r="AD7" s="22"/>
    </row>
    <row r="8" ht="15" customHeight="1">
      <c r="A8" s="19"/>
      <c r="B8" s="20"/>
      <c r="C8" t="s" s="220">
        <v>337</v>
      </c>
      <c r="D8" s="215">
        <v>0.01</v>
      </c>
      <c r="E8" s="709">
        <v>0</v>
      </c>
      <c r="F8" s="21"/>
      <c r="G8" s="188"/>
      <c r="H8" s="22"/>
      <c r="I8" s="22"/>
      <c r="J8" s="22"/>
      <c r="K8" s="22"/>
      <c r="L8" s="22"/>
      <c r="M8" s="211"/>
      <c r="N8" s="22"/>
      <c r="O8" s="22"/>
      <c r="P8" s="22"/>
      <c r="Q8" s="22"/>
      <c r="R8" s="22"/>
      <c r="S8" s="22"/>
      <c r="T8" s="22"/>
      <c r="U8" s="22"/>
      <c r="V8" s="22"/>
      <c r="W8" s="22"/>
      <c r="X8" s="22"/>
      <c r="Y8" s="22"/>
      <c r="Z8" s="22"/>
      <c r="AA8" s="22"/>
      <c r="AB8" s="22"/>
      <c r="AC8" s="22"/>
      <c r="AD8" s="22"/>
    </row>
    <row r="9" ht="15" customHeight="1">
      <c r="A9" s="19"/>
      <c r="B9" s="20"/>
      <c r="C9" t="s" s="220">
        <v>462</v>
      </c>
      <c r="D9" s="215">
        <v>0.3</v>
      </c>
      <c r="E9" s="710"/>
      <c r="F9" s="21"/>
      <c r="G9" s="188"/>
      <c r="H9" s="22"/>
      <c r="I9" s="22"/>
      <c r="J9" s="22"/>
      <c r="K9" s="22"/>
      <c r="L9" s="22"/>
      <c r="M9" s="22"/>
      <c r="N9" s="22"/>
      <c r="O9" s="22"/>
      <c r="P9" s="22"/>
      <c r="Q9" s="22"/>
      <c r="R9" s="22"/>
      <c r="S9" s="22"/>
      <c r="T9" s="22"/>
      <c r="U9" s="22"/>
      <c r="V9" s="22"/>
      <c r="W9" s="22"/>
      <c r="X9" s="22"/>
      <c r="Y9" s="22"/>
      <c r="Z9" s="22"/>
      <c r="AA9" s="22"/>
      <c r="AB9" s="22"/>
      <c r="AC9" s="22"/>
      <c r="AD9" s="22"/>
    </row>
    <row r="10" ht="15" customHeight="1">
      <c r="A10" s="19"/>
      <c r="B10" s="20"/>
      <c r="C10" t="s" s="220">
        <v>265</v>
      </c>
      <c r="D10" s="215">
        <v>0.02</v>
      </c>
      <c r="E10" t="s" s="711">
        <v>1868</v>
      </c>
      <c r="F10" s="21"/>
      <c r="G10" t="s" s="209">
        <v>1869</v>
      </c>
      <c r="H10" s="22"/>
      <c r="I10" s="22"/>
      <c r="J10" s="22"/>
      <c r="K10" s="22"/>
      <c r="L10" s="22"/>
      <c r="M10" s="22"/>
      <c r="N10" s="22"/>
      <c r="O10" s="22"/>
      <c r="P10" s="22"/>
      <c r="Q10" s="22"/>
      <c r="R10" s="22"/>
      <c r="S10" s="22"/>
      <c r="T10" s="22"/>
      <c r="U10" s="22"/>
      <c r="V10" s="22"/>
      <c r="W10" s="22"/>
      <c r="X10" s="22"/>
      <c r="Y10" s="22"/>
      <c r="Z10" s="22"/>
      <c r="AA10" s="22"/>
      <c r="AB10" s="22"/>
      <c r="AC10" s="22"/>
      <c r="AD10" s="22"/>
    </row>
    <row r="11" ht="15" customHeight="1">
      <c r="A11" s="19"/>
      <c r="B11" s="20"/>
      <c r="C11" t="s" s="220">
        <v>226</v>
      </c>
      <c r="D11" s="215">
        <v>0.9</v>
      </c>
      <c r="E11" t="s" s="711">
        <v>1870</v>
      </c>
      <c r="F11" s="21"/>
      <c r="G11" t="s" s="209">
        <v>1871</v>
      </c>
      <c r="H11" t="s" s="209">
        <v>1872</v>
      </c>
      <c r="I11" s="22"/>
      <c r="J11" s="22"/>
      <c r="K11" s="22"/>
      <c r="L11" s="22"/>
      <c r="M11" s="22"/>
      <c r="N11" s="22"/>
      <c r="O11" s="22"/>
      <c r="P11" s="22"/>
      <c r="Q11" s="22"/>
      <c r="R11" s="22"/>
      <c r="S11" s="22"/>
      <c r="T11" s="22"/>
      <c r="U11" s="22"/>
      <c r="V11" s="22"/>
      <c r="W11" s="22"/>
      <c r="X11" s="22"/>
      <c r="Y11" s="22"/>
      <c r="Z11" s="22"/>
      <c r="AA11" s="22"/>
      <c r="AB11" s="22"/>
      <c r="AC11" s="22"/>
      <c r="AD11" s="22"/>
    </row>
    <row r="12" ht="15" customHeight="1">
      <c r="A12" s="23"/>
      <c r="B12" s="24"/>
      <c r="C12" t="s" s="712">
        <v>1873</v>
      </c>
      <c r="D12" s="713">
        <v>0.11</v>
      </c>
      <c r="E12" s="714">
        <v>0</v>
      </c>
      <c r="F12" s="25"/>
      <c r="G12" s="205"/>
      <c r="H12" s="26"/>
      <c r="I12" s="26"/>
      <c r="J12" s="26"/>
      <c r="K12" s="26"/>
      <c r="L12" s="26"/>
      <c r="M12" s="26"/>
      <c r="N12" s="26"/>
      <c r="O12" s="26"/>
      <c r="P12" s="26"/>
      <c r="Q12" s="26"/>
      <c r="R12" s="26"/>
      <c r="S12" s="26"/>
      <c r="T12" s="26"/>
      <c r="U12" s="26"/>
      <c r="V12" s="26"/>
      <c r="W12" s="26"/>
      <c r="X12" s="26"/>
      <c r="Y12" s="26"/>
      <c r="Z12" s="26"/>
      <c r="AA12" s="26"/>
      <c r="AB12" s="26"/>
      <c r="AC12" s="26"/>
      <c r="AD12" s="26"/>
    </row>
    <row r="13" ht="24" customHeight="1">
      <c r="A13" s="27">
        <v>2</v>
      </c>
      <c r="B13" t="s" s="28">
        <v>10</v>
      </c>
      <c r="C13" t="s" s="29">
        <v>200</v>
      </c>
      <c r="D13" s="167">
        <v>80</v>
      </c>
      <c r="E13" s="172">
        <f>8.09/3.44</f>
        <v>2.35174418604651</v>
      </c>
      <c r="F13" t="s" s="171">
        <v>215</v>
      </c>
      <c r="G13" s="197">
        <v>1.13</v>
      </c>
      <c r="H13" s="167">
        <v>3</v>
      </c>
      <c r="I13" s="167">
        <v>15</v>
      </c>
      <c r="J13" t="s" s="18">
        <v>1874</v>
      </c>
      <c r="K13" t="s" s="18">
        <v>1875</v>
      </c>
      <c r="L13" s="172">
        <f>120/3.44</f>
        <v>34.8837209302326</v>
      </c>
      <c r="M13" s="167">
        <v>7.6</v>
      </c>
      <c r="N13" s="167">
        <v>1</v>
      </c>
      <c r="O13" t="s" s="170">
        <v>1876</v>
      </c>
      <c r="P13" t="s" s="171">
        <v>1877</v>
      </c>
      <c r="Q13" s="167">
        <v>1</v>
      </c>
      <c r="R13" t="s" s="170">
        <v>1878</v>
      </c>
      <c r="S13" s="167">
        <v>2</v>
      </c>
      <c r="T13" t="s" s="171">
        <v>223</v>
      </c>
      <c r="U13" s="167">
        <v>2</v>
      </c>
      <c r="V13" t="s" s="171">
        <v>223</v>
      </c>
      <c r="W13" s="167">
        <v>2</v>
      </c>
      <c r="X13" t="s" s="171">
        <v>223</v>
      </c>
      <c r="Y13" s="167">
        <v>2</v>
      </c>
      <c r="Z13" t="s" s="171">
        <v>223</v>
      </c>
      <c r="AA13" t="s" s="171">
        <v>200</v>
      </c>
      <c r="AB13" s="167">
        <v>90</v>
      </c>
      <c r="AC13" s="168"/>
      <c r="AD13" t="s" s="18">
        <v>1879</v>
      </c>
    </row>
    <row r="14" ht="15" customHeight="1">
      <c r="A14" s="31"/>
      <c r="B14" s="32"/>
      <c r="C14" t="s" s="250">
        <v>226</v>
      </c>
      <c r="D14" s="183">
        <v>20</v>
      </c>
      <c r="E14" s="202">
        <f>35/3.44</f>
        <v>10.1744186046512</v>
      </c>
      <c r="F14" t="s" s="182">
        <v>215</v>
      </c>
      <c r="G14" s="181">
        <v>4.91</v>
      </c>
      <c r="H14" s="183">
        <v>7</v>
      </c>
      <c r="I14" s="183">
        <v>8</v>
      </c>
      <c r="J14" s="34"/>
      <c r="K14" s="34"/>
      <c r="L14" s="34"/>
      <c r="M14" s="34"/>
      <c r="N14" s="34"/>
      <c r="O14" s="211"/>
      <c r="P14" s="34"/>
      <c r="Q14" s="34"/>
      <c r="R14" s="211"/>
      <c r="S14" s="34"/>
      <c r="T14" s="34"/>
      <c r="U14" s="34"/>
      <c r="V14" s="34"/>
      <c r="W14" s="34"/>
      <c r="X14" s="34"/>
      <c r="Y14" s="34"/>
      <c r="Z14" s="34"/>
      <c r="AA14" t="s" s="182">
        <v>229</v>
      </c>
      <c r="AB14" s="183">
        <v>10</v>
      </c>
      <c r="AC14" s="34"/>
      <c r="AD14" s="34"/>
    </row>
    <row r="15" ht="15" customHeight="1">
      <c r="A15" s="31"/>
      <c r="B15" s="32"/>
      <c r="C15" s="33"/>
      <c r="D15" s="183">
        <f>SUM(D5:D12)</f>
        <v>99.23999999999999</v>
      </c>
      <c r="E15" s="34"/>
      <c r="F15" s="34"/>
      <c r="G15" s="181"/>
      <c r="H15" s="34"/>
      <c r="I15" s="34"/>
      <c r="J15" s="34"/>
      <c r="K15" s="34"/>
      <c r="L15" s="34"/>
      <c r="M15" s="34"/>
      <c r="N15" s="34"/>
      <c r="O15" s="211"/>
      <c r="P15" s="34"/>
      <c r="Q15" s="34"/>
      <c r="R15" s="211"/>
      <c r="S15" s="34"/>
      <c r="T15" s="34"/>
      <c r="U15" s="34"/>
      <c r="V15" s="34"/>
      <c r="W15" s="34"/>
      <c r="X15" s="34"/>
      <c r="Y15" s="34"/>
      <c r="Z15" s="34"/>
      <c r="AA15" s="34"/>
      <c r="AB15" s="34"/>
      <c r="AC15" s="34"/>
      <c r="AD15" s="34"/>
    </row>
    <row r="16" ht="15" customHeight="1">
      <c r="A16" s="31"/>
      <c r="B16" s="32"/>
      <c r="C16" s="33"/>
      <c r="D16" s="34"/>
      <c r="E16" s="34"/>
      <c r="F16" s="34"/>
      <c r="G16" s="181"/>
      <c r="H16" s="34"/>
      <c r="I16" s="34"/>
      <c r="J16" s="34"/>
      <c r="K16" s="34"/>
      <c r="L16" s="34"/>
      <c r="M16" s="34"/>
      <c r="N16" s="34"/>
      <c r="O16" s="211"/>
      <c r="P16" s="34"/>
      <c r="Q16" s="34"/>
      <c r="R16" s="211"/>
      <c r="S16" s="34"/>
      <c r="T16" s="34"/>
      <c r="U16" s="34"/>
      <c r="V16" s="34"/>
      <c r="W16" s="34"/>
      <c r="X16" s="34"/>
      <c r="Y16" s="34"/>
      <c r="Z16" s="34"/>
      <c r="AA16" s="34"/>
      <c r="AB16" s="34"/>
      <c r="AC16" s="34"/>
      <c r="AD16" s="34"/>
    </row>
    <row r="17" ht="15" customHeight="1">
      <c r="A17" s="31"/>
      <c r="B17" s="32"/>
      <c r="C17" s="33"/>
      <c r="D17" s="34"/>
      <c r="E17" s="34"/>
      <c r="F17" s="34"/>
      <c r="G17" s="181"/>
      <c r="H17" s="34"/>
      <c r="I17" s="34"/>
      <c r="J17" s="34"/>
      <c r="K17" s="34"/>
      <c r="L17" s="34"/>
      <c r="M17" s="34"/>
      <c r="N17" s="34"/>
      <c r="O17" s="211"/>
      <c r="P17" s="34"/>
      <c r="Q17" s="34"/>
      <c r="R17" s="34"/>
      <c r="S17" s="34"/>
      <c r="T17" s="34"/>
      <c r="U17" s="34"/>
      <c r="V17" s="34"/>
      <c r="W17" s="34"/>
      <c r="X17" s="34"/>
      <c r="Y17" s="34"/>
      <c r="Z17" s="34"/>
      <c r="AA17" s="34"/>
      <c r="AB17" s="34"/>
      <c r="AC17" s="34"/>
      <c r="AD17" s="34"/>
    </row>
    <row r="18" ht="15" customHeight="1">
      <c r="A18" s="35"/>
      <c r="B18" s="24"/>
      <c r="C18" s="25"/>
      <c r="D18" s="26"/>
      <c r="E18" s="26"/>
      <c r="F18" s="26"/>
      <c r="G18" s="205"/>
      <c r="H18" s="26"/>
      <c r="I18" s="26"/>
      <c r="J18" s="26"/>
      <c r="K18" s="26"/>
      <c r="L18" s="26"/>
      <c r="M18" s="26"/>
      <c r="N18" s="26"/>
      <c r="O18" s="26"/>
      <c r="P18" s="26"/>
      <c r="Q18" s="26"/>
      <c r="R18" s="26"/>
      <c r="S18" s="26"/>
      <c r="T18" s="26"/>
      <c r="U18" s="26"/>
      <c r="V18" s="26"/>
      <c r="W18" s="26"/>
      <c r="X18" s="26"/>
      <c r="Y18" s="26"/>
      <c r="Z18" s="26"/>
      <c r="AA18" s="26"/>
      <c r="AB18" s="26"/>
      <c r="AC18" s="26"/>
      <c r="AD18" s="26"/>
    </row>
    <row r="19" ht="15" customHeight="1">
      <c r="A19" s="15">
        <v>3</v>
      </c>
      <c r="B19" t="s" s="16">
        <v>12</v>
      </c>
      <c r="C19" t="s" s="17">
        <v>200</v>
      </c>
      <c r="D19" s="166">
        <v>96.28</v>
      </c>
      <c r="E19" s="199">
        <f t="shared" si="4" ref="E19:E20">3.39/2.19</f>
        <v>1.54794520547945</v>
      </c>
      <c r="F19" s="169"/>
      <c r="G19" s="715">
        <v>1.06</v>
      </c>
      <c r="H19" t="s" s="171">
        <v>1880</v>
      </c>
      <c r="I19" t="s" s="171">
        <v>1881</v>
      </c>
      <c r="J19" t="s" s="18">
        <v>1882</v>
      </c>
      <c r="K19" s="169"/>
      <c r="L19" t="s" s="18">
        <v>1883</v>
      </c>
      <c r="M19" s="716">
        <v>0.3897</v>
      </c>
      <c r="N19" s="166">
        <v>2</v>
      </c>
      <c r="O19" s="169"/>
      <c r="P19" s="169"/>
      <c r="Q19" s="166">
        <v>1</v>
      </c>
      <c r="R19" t="s" s="170">
        <v>1884</v>
      </c>
      <c r="S19" s="166">
        <v>1</v>
      </c>
      <c r="T19" t="s" s="170">
        <v>1885</v>
      </c>
      <c r="U19" s="166">
        <v>1</v>
      </c>
      <c r="V19" t="s" s="170">
        <v>1886</v>
      </c>
      <c r="W19" s="166">
        <v>1</v>
      </c>
      <c r="X19" t="s" s="170">
        <v>1887</v>
      </c>
      <c r="Y19" s="166">
        <v>2</v>
      </c>
      <c r="Z19" s="169"/>
      <c r="AA19" t="s" s="18">
        <v>229</v>
      </c>
      <c r="AB19" s="166">
        <v>74.90000000000001</v>
      </c>
      <c r="AC19" t="s" s="18">
        <v>1888</v>
      </c>
      <c r="AD19" t="s" s="18">
        <v>1889</v>
      </c>
    </row>
    <row r="20" ht="36" customHeight="1">
      <c r="A20" s="19"/>
      <c r="B20" s="32"/>
      <c r="C20" t="s" s="220">
        <v>230</v>
      </c>
      <c r="D20" s="208">
        <v>1.53</v>
      </c>
      <c r="E20" s="210">
        <f t="shared" si="4"/>
        <v>1.54794520547945</v>
      </c>
      <c r="F20" s="22"/>
      <c r="G20" s="312">
        <v>1.06</v>
      </c>
      <c r="H20" t="s" s="182">
        <v>389</v>
      </c>
      <c r="I20" t="s" s="182">
        <v>444</v>
      </c>
      <c r="J20" s="22"/>
      <c r="K20" s="22"/>
      <c r="L20" s="22"/>
      <c r="M20" s="211"/>
      <c r="N20" s="22"/>
      <c r="O20" s="22"/>
      <c r="P20" s="22"/>
      <c r="Q20" s="22"/>
      <c r="R20" s="211"/>
      <c r="S20" s="22"/>
      <c r="T20" s="211"/>
      <c r="U20" s="22"/>
      <c r="V20" s="211"/>
      <c r="W20" s="22"/>
      <c r="X20" s="211"/>
      <c r="Y20" s="22"/>
      <c r="Z20" s="22"/>
      <c r="AA20" t="s" s="182">
        <v>1890</v>
      </c>
      <c r="AB20" s="208">
        <v>15</v>
      </c>
      <c r="AC20" s="22"/>
      <c r="AD20" s="22"/>
    </row>
    <row r="21" ht="15" customHeight="1">
      <c r="A21" s="19"/>
      <c r="B21" s="32"/>
      <c r="C21" t="s" s="220">
        <v>357</v>
      </c>
      <c r="D21" s="208">
        <v>0.85</v>
      </c>
      <c r="E21" s="210">
        <v>0</v>
      </c>
      <c r="F21" s="22"/>
      <c r="G21" s="188"/>
      <c r="H21" t="s" s="209">
        <v>389</v>
      </c>
      <c r="I21" t="s" s="209">
        <v>444</v>
      </c>
      <c r="J21" s="22"/>
      <c r="K21" s="22"/>
      <c r="L21" s="22"/>
      <c r="M21" s="22"/>
      <c r="N21" s="22"/>
      <c r="O21" s="22"/>
      <c r="P21" s="22"/>
      <c r="Q21" s="22"/>
      <c r="R21" s="22"/>
      <c r="S21" s="22"/>
      <c r="T21" s="211"/>
      <c r="U21" s="22"/>
      <c r="V21" s="211"/>
      <c r="W21" s="22"/>
      <c r="X21" s="211"/>
      <c r="Y21" s="22"/>
      <c r="Z21" s="22"/>
      <c r="AA21" t="s" s="209">
        <v>1891</v>
      </c>
      <c r="AB21" s="208">
        <v>10.1</v>
      </c>
      <c r="AC21" s="22"/>
      <c r="AD21" s="22"/>
    </row>
    <row r="22" ht="15" customHeight="1">
      <c r="A22" s="19"/>
      <c r="B22" s="32"/>
      <c r="C22" t="s" s="220">
        <v>210</v>
      </c>
      <c r="D22" s="208">
        <v>0.16</v>
      </c>
      <c r="E22" s="210">
        <v>0</v>
      </c>
      <c r="F22" s="22"/>
      <c r="G22" s="188"/>
      <c r="H22" t="s" s="209">
        <v>389</v>
      </c>
      <c r="I22" t="s" s="209">
        <v>444</v>
      </c>
      <c r="J22" s="22"/>
      <c r="K22" s="22"/>
      <c r="L22" s="22"/>
      <c r="M22" s="22"/>
      <c r="N22" s="22"/>
      <c r="O22" s="22"/>
      <c r="P22" s="22"/>
      <c r="Q22" s="22"/>
      <c r="R22" s="22"/>
      <c r="S22" s="22"/>
      <c r="T22" s="211"/>
      <c r="U22" s="22"/>
      <c r="V22" s="211"/>
      <c r="W22" s="22"/>
      <c r="X22" s="211"/>
      <c r="Y22" s="22"/>
      <c r="Z22" s="22"/>
      <c r="AA22" s="22"/>
      <c r="AB22" s="22"/>
      <c r="AC22" s="22"/>
      <c r="AD22" s="22"/>
    </row>
    <row r="23" ht="15" customHeight="1">
      <c r="A23" s="19"/>
      <c r="B23" s="32"/>
      <c r="C23" t="s" s="220">
        <v>1892</v>
      </c>
      <c r="D23" s="208">
        <v>1.18</v>
      </c>
      <c r="E23" s="22"/>
      <c r="F23" s="22"/>
      <c r="G23" s="188"/>
      <c r="H23" t="s" s="209">
        <v>389</v>
      </c>
      <c r="I23" t="s" s="209">
        <v>444</v>
      </c>
      <c r="J23" s="22"/>
      <c r="K23" s="22"/>
      <c r="L23" s="22"/>
      <c r="M23" s="22"/>
      <c r="N23" s="22"/>
      <c r="O23" s="22"/>
      <c r="P23" s="22"/>
      <c r="Q23" s="22"/>
      <c r="R23" s="22"/>
      <c r="S23" s="22"/>
      <c r="T23" s="211"/>
      <c r="U23" s="22"/>
      <c r="V23" s="211"/>
      <c r="W23" s="22"/>
      <c r="X23" s="211"/>
      <c r="Y23" s="22"/>
      <c r="Z23" s="22"/>
      <c r="AA23" s="22"/>
      <c r="AB23" s="22"/>
      <c r="AC23" s="22"/>
      <c r="AD23" s="22"/>
    </row>
    <row r="24" ht="15" customHeight="1">
      <c r="A24" s="19"/>
      <c r="B24" s="32"/>
      <c r="C24" s="21"/>
      <c r="D24" s="22"/>
      <c r="E24" s="22"/>
      <c r="F24" s="22"/>
      <c r="G24" s="188"/>
      <c r="H24" s="22"/>
      <c r="I24" s="22"/>
      <c r="J24" s="22"/>
      <c r="K24" s="22"/>
      <c r="L24" s="22"/>
      <c r="M24" s="22"/>
      <c r="N24" s="22"/>
      <c r="O24" s="22"/>
      <c r="P24" s="22"/>
      <c r="Q24" s="22"/>
      <c r="R24" s="22"/>
      <c r="S24" s="22"/>
      <c r="T24" s="211"/>
      <c r="U24" s="22"/>
      <c r="V24" s="211"/>
      <c r="W24" s="22"/>
      <c r="X24" s="211"/>
      <c r="Y24" s="22"/>
      <c r="Z24" s="22"/>
      <c r="AA24" s="22"/>
      <c r="AB24" s="22"/>
      <c r="AC24" s="22"/>
      <c r="AD24" s="22"/>
    </row>
    <row r="25" ht="15" customHeight="1">
      <c r="A25" s="19"/>
      <c r="B25" s="32"/>
      <c r="C25" s="21"/>
      <c r="D25" s="22"/>
      <c r="E25" s="22"/>
      <c r="F25" s="22"/>
      <c r="G25" s="188"/>
      <c r="H25" s="22"/>
      <c r="I25" s="22"/>
      <c r="J25" s="22"/>
      <c r="K25" s="22"/>
      <c r="L25" s="22"/>
      <c r="M25" s="22"/>
      <c r="N25" s="22"/>
      <c r="O25" s="22"/>
      <c r="P25" s="22"/>
      <c r="Q25" s="22"/>
      <c r="R25" s="22"/>
      <c r="S25" s="22"/>
      <c r="T25" s="211"/>
      <c r="U25" s="22"/>
      <c r="V25" s="22"/>
      <c r="W25" s="22"/>
      <c r="X25" s="211"/>
      <c r="Y25" s="22"/>
      <c r="Z25" s="22"/>
      <c r="AA25" s="22"/>
      <c r="AB25" s="22"/>
      <c r="AC25" s="22"/>
      <c r="AD25" s="22"/>
    </row>
    <row r="26" ht="15" customHeight="1">
      <c r="A26" s="19"/>
      <c r="B26" s="32"/>
      <c r="C26" s="21"/>
      <c r="D26" s="22"/>
      <c r="E26" s="22"/>
      <c r="F26" s="22"/>
      <c r="G26" s="188"/>
      <c r="H26" s="22"/>
      <c r="I26" s="22"/>
      <c r="J26" s="22"/>
      <c r="K26" s="22"/>
      <c r="L26" s="22"/>
      <c r="M26" s="22"/>
      <c r="N26" s="22"/>
      <c r="O26" s="22"/>
      <c r="P26" s="22"/>
      <c r="Q26" s="22"/>
      <c r="R26" s="22"/>
      <c r="S26" s="22"/>
      <c r="T26" s="211"/>
      <c r="U26" s="22"/>
      <c r="V26" s="22"/>
      <c r="W26" s="22"/>
      <c r="X26" s="211"/>
      <c r="Y26" s="22"/>
      <c r="Z26" s="22"/>
      <c r="AA26" s="22"/>
      <c r="AB26" s="22"/>
      <c r="AC26" s="22"/>
      <c r="AD26" s="22"/>
    </row>
    <row r="27" ht="15" customHeight="1">
      <c r="A27" s="19"/>
      <c r="B27" s="32"/>
      <c r="C27" s="21"/>
      <c r="D27" s="22"/>
      <c r="E27" s="22"/>
      <c r="F27" s="22"/>
      <c r="G27" s="188"/>
      <c r="H27" s="22"/>
      <c r="I27" s="22"/>
      <c r="J27" s="22"/>
      <c r="K27" s="22"/>
      <c r="L27" s="22"/>
      <c r="M27" s="22"/>
      <c r="N27" s="22"/>
      <c r="O27" s="22"/>
      <c r="P27" s="22"/>
      <c r="Q27" s="22"/>
      <c r="R27" s="22"/>
      <c r="S27" s="22"/>
      <c r="T27" s="22"/>
      <c r="U27" s="22"/>
      <c r="V27" s="22"/>
      <c r="W27" s="22"/>
      <c r="X27" s="22"/>
      <c r="Y27" s="22"/>
      <c r="Z27" s="22"/>
      <c r="AA27" s="22"/>
      <c r="AB27" s="22"/>
      <c r="AC27" s="22"/>
      <c r="AD27" s="22"/>
    </row>
    <row r="28" ht="15" customHeight="1">
      <c r="A28" s="19"/>
      <c r="B28" s="32"/>
      <c r="C28" s="21"/>
      <c r="D28" s="22"/>
      <c r="E28" s="22"/>
      <c r="F28" s="22"/>
      <c r="G28" s="188"/>
      <c r="H28" s="22"/>
      <c r="I28" s="22"/>
      <c r="J28" s="22"/>
      <c r="K28" s="22"/>
      <c r="L28" s="22"/>
      <c r="M28" s="22"/>
      <c r="N28" s="22"/>
      <c r="O28" s="22"/>
      <c r="P28" s="22"/>
      <c r="Q28" s="22"/>
      <c r="R28" s="22"/>
      <c r="S28" s="22"/>
      <c r="T28" s="22"/>
      <c r="U28" s="22"/>
      <c r="V28" s="22"/>
      <c r="W28" s="22"/>
      <c r="X28" s="22"/>
      <c r="Y28" s="22"/>
      <c r="Z28" s="22"/>
      <c r="AA28" s="22"/>
      <c r="AB28" s="22"/>
      <c r="AC28" s="22"/>
      <c r="AD28" s="22"/>
    </row>
    <row r="29" ht="15" customHeight="1">
      <c r="A29" s="19"/>
      <c r="B29" s="32"/>
      <c r="C29" s="21"/>
      <c r="D29" s="22"/>
      <c r="E29" s="22"/>
      <c r="F29" s="22"/>
      <c r="G29" s="188"/>
      <c r="H29" s="22"/>
      <c r="I29" s="22"/>
      <c r="J29" s="22"/>
      <c r="K29" s="22"/>
      <c r="L29" s="22"/>
      <c r="M29" s="22"/>
      <c r="N29" s="22"/>
      <c r="O29" s="22"/>
      <c r="P29" s="22"/>
      <c r="Q29" s="22"/>
      <c r="R29" s="22"/>
      <c r="S29" s="22"/>
      <c r="T29" s="22"/>
      <c r="U29" s="22"/>
      <c r="V29" s="22"/>
      <c r="W29" s="22"/>
      <c r="X29" s="22"/>
      <c r="Y29" s="22"/>
      <c r="Z29" s="22"/>
      <c r="AA29" s="22"/>
      <c r="AB29" s="22"/>
      <c r="AC29" s="22"/>
      <c r="AD29" s="22"/>
    </row>
    <row r="30" ht="15" customHeight="1">
      <c r="A30" s="19"/>
      <c r="B30" s="32"/>
      <c r="C30" s="21"/>
      <c r="D30" s="22"/>
      <c r="E30" s="22"/>
      <c r="F30" s="22"/>
      <c r="G30" s="188"/>
      <c r="H30" s="22"/>
      <c r="I30" s="22"/>
      <c r="J30" s="22"/>
      <c r="K30" s="22"/>
      <c r="L30" s="22"/>
      <c r="M30" s="22"/>
      <c r="N30" s="22"/>
      <c r="O30" s="22"/>
      <c r="P30" s="22"/>
      <c r="Q30" s="22"/>
      <c r="R30" s="22"/>
      <c r="S30" s="22"/>
      <c r="T30" s="22"/>
      <c r="U30" s="22"/>
      <c r="V30" s="22"/>
      <c r="W30" s="22"/>
      <c r="X30" s="22"/>
      <c r="Y30" s="22"/>
      <c r="Z30" s="22"/>
      <c r="AA30" s="22"/>
      <c r="AB30" s="22"/>
      <c r="AC30" s="22"/>
      <c r="AD30" s="22"/>
    </row>
    <row r="31" ht="15" customHeight="1">
      <c r="A31" s="19"/>
      <c r="B31" s="32"/>
      <c r="C31" s="21"/>
      <c r="D31" s="22"/>
      <c r="E31" s="22"/>
      <c r="F31" s="22"/>
      <c r="G31" s="188"/>
      <c r="H31" s="22"/>
      <c r="I31" s="22"/>
      <c r="J31" s="22"/>
      <c r="K31" s="22"/>
      <c r="L31" s="22"/>
      <c r="M31" s="22"/>
      <c r="N31" s="22"/>
      <c r="O31" s="22"/>
      <c r="P31" s="22"/>
      <c r="Q31" s="22"/>
      <c r="R31" s="22"/>
      <c r="S31" s="22"/>
      <c r="T31" s="22"/>
      <c r="U31" s="22"/>
      <c r="V31" s="22"/>
      <c r="W31" s="22"/>
      <c r="X31" s="22"/>
      <c r="Y31" s="22"/>
      <c r="Z31" s="22"/>
      <c r="AA31" s="22"/>
      <c r="AB31" s="22"/>
      <c r="AC31" s="22"/>
      <c r="AD31" s="22"/>
    </row>
    <row r="32" ht="15" customHeight="1">
      <c r="A32" s="19"/>
      <c r="B32" s="32"/>
      <c r="C32" s="21"/>
      <c r="D32" s="22"/>
      <c r="E32" s="22"/>
      <c r="F32" s="22"/>
      <c r="G32" s="188"/>
      <c r="H32" s="22"/>
      <c r="I32" s="22"/>
      <c r="J32" s="22"/>
      <c r="K32" s="22"/>
      <c r="L32" s="22"/>
      <c r="M32" s="22"/>
      <c r="N32" s="22"/>
      <c r="O32" s="22"/>
      <c r="P32" s="22"/>
      <c r="Q32" s="22"/>
      <c r="R32" s="22"/>
      <c r="S32" s="22"/>
      <c r="T32" s="22"/>
      <c r="U32" s="22"/>
      <c r="V32" s="22"/>
      <c r="W32" s="22"/>
      <c r="X32" s="22"/>
      <c r="Y32" s="22"/>
      <c r="Z32" s="22"/>
      <c r="AA32" s="22"/>
      <c r="AB32" s="22"/>
      <c r="AC32" s="22"/>
      <c r="AD32" s="22"/>
    </row>
    <row r="33" ht="15" customHeight="1">
      <c r="A33" s="19"/>
      <c r="B33" s="32"/>
      <c r="C33" s="21"/>
      <c r="D33" s="22"/>
      <c r="E33" s="22"/>
      <c r="F33" s="22"/>
      <c r="G33" s="188"/>
      <c r="H33" s="22"/>
      <c r="I33" s="22"/>
      <c r="J33" s="22"/>
      <c r="K33" s="22"/>
      <c r="L33" s="22"/>
      <c r="M33" s="22"/>
      <c r="N33" s="22"/>
      <c r="O33" s="22"/>
      <c r="P33" s="22"/>
      <c r="Q33" s="22"/>
      <c r="R33" s="22"/>
      <c r="S33" s="22"/>
      <c r="T33" s="22"/>
      <c r="U33" s="22"/>
      <c r="V33" s="22"/>
      <c r="W33" s="22"/>
      <c r="X33" s="22"/>
      <c r="Y33" s="22"/>
      <c r="Z33" s="22"/>
      <c r="AA33" s="22"/>
      <c r="AB33" s="22"/>
      <c r="AC33" s="22"/>
      <c r="AD33" s="22"/>
    </row>
    <row r="34" ht="15" customHeight="1">
      <c r="A34" s="19"/>
      <c r="B34" s="32"/>
      <c r="C34" s="21"/>
      <c r="D34" s="22"/>
      <c r="E34" s="22"/>
      <c r="F34" s="22"/>
      <c r="G34" s="188"/>
      <c r="H34" s="22"/>
      <c r="I34" s="22"/>
      <c r="J34" s="22"/>
      <c r="K34" s="22"/>
      <c r="L34" s="22"/>
      <c r="M34" s="22"/>
      <c r="N34" s="22"/>
      <c r="O34" s="22"/>
      <c r="P34" s="22"/>
      <c r="Q34" s="22"/>
      <c r="R34" s="22"/>
      <c r="S34" s="22"/>
      <c r="T34" s="22"/>
      <c r="U34" s="22"/>
      <c r="V34" s="22"/>
      <c r="W34" s="22"/>
      <c r="X34" s="22"/>
      <c r="Y34" s="22"/>
      <c r="Z34" s="22"/>
      <c r="AA34" s="22"/>
      <c r="AB34" s="22"/>
      <c r="AC34" s="22"/>
      <c r="AD34" s="22"/>
    </row>
    <row r="35" ht="15" customHeight="1">
      <c r="A35" s="19"/>
      <c r="B35" s="37"/>
      <c r="C35" s="538"/>
      <c r="D35" s="227"/>
      <c r="E35" s="227"/>
      <c r="F35" s="227"/>
      <c r="G35" s="228"/>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row>
    <row r="36" ht="15" customHeight="1">
      <c r="A36" s="19"/>
      <c r="B36" s="37"/>
      <c r="C36" s="538"/>
      <c r="D36" s="227"/>
      <c r="E36" s="227"/>
      <c r="F36" s="227"/>
      <c r="G36" s="228"/>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row>
    <row r="37" ht="15" customHeight="1">
      <c r="A37" s="19"/>
      <c r="B37" s="37"/>
      <c r="C37" s="538"/>
      <c r="D37" s="227"/>
      <c r="E37" s="227"/>
      <c r="F37" s="227"/>
      <c r="G37" s="228"/>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row>
    <row r="38" ht="15" customHeight="1">
      <c r="A38" s="19"/>
      <c r="B38" s="37"/>
      <c r="C38" s="538"/>
      <c r="D38" s="227"/>
      <c r="E38" s="227"/>
      <c r="F38" s="227"/>
      <c r="G38" s="228"/>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row>
    <row r="39" ht="15" customHeight="1">
      <c r="A39" s="19"/>
      <c r="B39" s="37"/>
      <c r="C39" s="538"/>
      <c r="D39" s="227"/>
      <c r="E39" s="227"/>
      <c r="F39" s="227"/>
      <c r="G39" s="228"/>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row>
    <row r="40" ht="15" customHeight="1">
      <c r="A40" s="19"/>
      <c r="B40" s="37"/>
      <c r="C40" s="538"/>
      <c r="D40" s="227"/>
      <c r="E40" s="227"/>
      <c r="F40" s="227"/>
      <c r="G40" s="228"/>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row>
    <row r="41" ht="15" customHeight="1">
      <c r="A41" s="19"/>
      <c r="B41" s="37"/>
      <c r="C41" s="538"/>
      <c r="D41" s="227"/>
      <c r="E41" s="227"/>
      <c r="F41" s="227"/>
      <c r="G41" s="228"/>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row>
    <row r="42" ht="15" customHeight="1">
      <c r="A42" s="23"/>
      <c r="B42" s="40"/>
      <c r="C42" s="540"/>
      <c r="D42" s="231"/>
      <c r="E42" s="231"/>
      <c r="F42" s="231"/>
      <c r="G42" s="232"/>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row>
    <row r="43" ht="24" customHeight="1">
      <c r="A43" s="15">
        <v>4</v>
      </c>
      <c r="B43" t="s" s="16">
        <v>14</v>
      </c>
      <c r="C43" t="s" s="17">
        <v>200</v>
      </c>
      <c r="D43" s="237">
        <v>0.961</v>
      </c>
      <c r="E43" s="172">
        <f>3.5/2.19</f>
        <v>1.59817351598174</v>
      </c>
      <c r="F43" s="169"/>
      <c r="G43" s="312">
        <v>1.09</v>
      </c>
      <c r="H43" s="166">
        <v>7</v>
      </c>
      <c r="I43" s="166">
        <v>24</v>
      </c>
      <c r="J43" t="s" s="171">
        <v>1893</v>
      </c>
      <c r="K43" s="169"/>
      <c r="L43" t="s" s="171">
        <v>1894</v>
      </c>
      <c r="M43" s="560">
        <v>0.012</v>
      </c>
      <c r="N43" s="166">
        <v>2</v>
      </c>
      <c r="O43" s="169"/>
      <c r="P43" s="169"/>
      <c r="Q43" s="166">
        <v>2</v>
      </c>
      <c r="R43" s="169"/>
      <c r="S43" s="166">
        <v>2</v>
      </c>
      <c r="T43" s="169"/>
      <c r="U43" s="166">
        <v>2</v>
      </c>
      <c r="V43" s="169"/>
      <c r="W43" s="166">
        <v>1</v>
      </c>
      <c r="X43" t="s" s="170">
        <v>1895</v>
      </c>
      <c r="Y43" s="166">
        <v>2</v>
      </c>
      <c r="Z43" s="169"/>
      <c r="AA43" t="s" s="18">
        <v>229</v>
      </c>
      <c r="AB43" s="560">
        <v>0.631</v>
      </c>
      <c r="AC43" t="s" s="171">
        <v>1896</v>
      </c>
      <c r="AD43" t="s" s="171">
        <v>282</v>
      </c>
    </row>
    <row r="44" ht="15" customHeight="1">
      <c r="A44" s="19"/>
      <c r="B44" s="44"/>
      <c r="C44" t="s" s="220">
        <v>1897</v>
      </c>
      <c r="D44" s="717">
        <v>4</v>
      </c>
      <c r="E44" s="208">
        <v>0</v>
      </c>
      <c r="F44" s="22"/>
      <c r="G44" s="188"/>
      <c r="H44" s="22"/>
      <c r="I44" s="22"/>
      <c r="J44" s="22"/>
      <c r="K44" s="22"/>
      <c r="L44" s="22"/>
      <c r="M44" s="22"/>
      <c r="N44" s="22"/>
      <c r="O44" s="22"/>
      <c r="P44" s="22"/>
      <c r="Q44" s="22"/>
      <c r="R44" s="22"/>
      <c r="S44" s="22"/>
      <c r="T44" s="22"/>
      <c r="U44" s="22"/>
      <c r="V44" s="22"/>
      <c r="W44" s="22"/>
      <c r="X44" s="211"/>
      <c r="Y44" s="22"/>
      <c r="Z44" s="22"/>
      <c r="AA44" t="s" s="209">
        <v>312</v>
      </c>
      <c r="AB44" s="718">
        <v>0.369</v>
      </c>
      <c r="AC44" s="22"/>
      <c r="AD44" s="22"/>
    </row>
    <row r="45" ht="15" customHeight="1">
      <c r="A45" s="19"/>
      <c r="B45" s="44"/>
      <c r="C45" s="21"/>
      <c r="D45" s="209"/>
      <c r="E45" s="22"/>
      <c r="F45" s="22"/>
      <c r="G45" s="188"/>
      <c r="H45" s="22"/>
      <c r="I45" s="22"/>
      <c r="J45" s="22"/>
      <c r="K45" s="22"/>
      <c r="L45" s="22"/>
      <c r="M45" s="22"/>
      <c r="N45" s="22"/>
      <c r="O45" s="22"/>
      <c r="P45" s="22"/>
      <c r="Q45" s="22"/>
      <c r="R45" s="22"/>
      <c r="S45" s="22"/>
      <c r="T45" s="22"/>
      <c r="U45" s="22"/>
      <c r="V45" s="22"/>
      <c r="W45" s="22"/>
      <c r="X45" s="22"/>
      <c r="Y45" s="22"/>
      <c r="Z45" s="22"/>
      <c r="AA45" s="22"/>
      <c r="AB45" s="209"/>
      <c r="AC45" s="22"/>
      <c r="AD45" s="22"/>
    </row>
    <row r="46" ht="15" customHeight="1">
      <c r="A46" s="19"/>
      <c r="B46" s="44"/>
      <c r="C46" s="21"/>
      <c r="D46" s="22"/>
      <c r="E46" s="22"/>
      <c r="F46" s="22"/>
      <c r="G46" s="188"/>
      <c r="H46" s="22"/>
      <c r="I46" s="22"/>
      <c r="J46" s="22"/>
      <c r="K46" s="22"/>
      <c r="L46" s="22"/>
      <c r="M46" s="22"/>
      <c r="N46" s="22"/>
      <c r="O46" s="22"/>
      <c r="P46" s="22"/>
      <c r="Q46" s="22"/>
      <c r="R46" s="22"/>
      <c r="S46" s="22"/>
      <c r="T46" s="22"/>
      <c r="U46" s="22"/>
      <c r="V46" s="22"/>
      <c r="W46" s="22"/>
      <c r="X46" s="22"/>
      <c r="Y46" s="22"/>
      <c r="Z46" s="22"/>
      <c r="AA46" s="22"/>
      <c r="AB46" s="22"/>
      <c r="AC46" s="22"/>
      <c r="AD46" s="22"/>
    </row>
    <row r="47" ht="15" customHeight="1">
      <c r="A47" s="23"/>
      <c r="B47" s="45"/>
      <c r="C47" s="25"/>
      <c r="D47" s="26"/>
      <c r="E47" s="26"/>
      <c r="F47" s="26"/>
      <c r="G47" s="205"/>
      <c r="H47" s="26"/>
      <c r="I47" s="26"/>
      <c r="J47" s="26"/>
      <c r="K47" s="26"/>
      <c r="L47" s="26"/>
      <c r="M47" s="26"/>
      <c r="N47" s="26"/>
      <c r="O47" s="26"/>
      <c r="P47" s="26"/>
      <c r="Q47" s="26"/>
      <c r="R47" s="26"/>
      <c r="S47" s="26"/>
      <c r="T47" s="26"/>
      <c r="U47" s="26"/>
      <c r="V47" s="26"/>
      <c r="W47" s="26"/>
      <c r="X47" s="26"/>
      <c r="Y47" s="26"/>
      <c r="Z47" s="26"/>
      <c r="AA47" s="26"/>
      <c r="AB47" s="26"/>
      <c r="AC47" s="26"/>
      <c r="AD47" s="26"/>
    </row>
    <row r="48" ht="36" customHeight="1">
      <c r="A48" s="27">
        <v>5</v>
      </c>
      <c r="B48" t="s" s="28">
        <v>16</v>
      </c>
      <c r="C48" t="s" s="544">
        <v>200</v>
      </c>
      <c r="D48" t="s" s="171">
        <v>1898</v>
      </c>
      <c r="E48" s="172">
        <f>(2423.04+637.19)/1371.54</f>
        <v>2.23123642037418</v>
      </c>
      <c r="F48" t="s" s="171">
        <v>215</v>
      </c>
      <c r="G48" s="197">
        <v>1.01</v>
      </c>
      <c r="H48" s="167">
        <v>7</v>
      </c>
      <c r="I48" s="167">
        <v>24</v>
      </c>
      <c r="J48" t="s" s="18">
        <v>1899</v>
      </c>
      <c r="K48" t="s" s="18">
        <v>335</v>
      </c>
      <c r="L48" t="s" s="171">
        <v>197</v>
      </c>
      <c r="M48" s="167">
        <v>0</v>
      </c>
      <c r="N48" s="167">
        <v>2</v>
      </c>
      <c r="O48" s="168"/>
      <c r="P48" s="167">
        <v>0</v>
      </c>
      <c r="Q48" s="167">
        <v>2</v>
      </c>
      <c r="R48" t="s" s="171">
        <v>1900</v>
      </c>
      <c r="S48" s="167">
        <v>1</v>
      </c>
      <c r="T48" t="s" s="171">
        <v>1901</v>
      </c>
      <c r="U48" s="167">
        <v>1</v>
      </c>
      <c r="V48" s="168"/>
      <c r="W48" s="167">
        <v>1</v>
      </c>
      <c r="X48" t="s" s="171">
        <v>1902</v>
      </c>
      <c r="Y48" s="167">
        <v>2</v>
      </c>
      <c r="Z48" s="168"/>
      <c r="AA48" t="s" s="171">
        <v>200</v>
      </c>
      <c r="AB48" s="238">
        <v>0.02</v>
      </c>
      <c r="AC48" t="s" s="18">
        <v>1903</v>
      </c>
      <c r="AD48" t="s" s="171">
        <v>335</v>
      </c>
    </row>
    <row r="49" ht="24" customHeight="1">
      <c r="A49" s="31"/>
      <c r="B49" s="46"/>
      <c r="C49" s="719"/>
      <c r="D49" t="s" s="262">
        <v>1904</v>
      </c>
      <c r="E49" s="202">
        <f>(5224.69+1373.95)/1371.54</f>
        <v>4.81111743004214</v>
      </c>
      <c r="F49" t="s" s="182">
        <v>215</v>
      </c>
      <c r="G49" s="181"/>
      <c r="H49" s="48"/>
      <c r="I49" s="48"/>
      <c r="J49" s="48"/>
      <c r="K49" s="48"/>
      <c r="L49" s="48"/>
      <c r="M49" s="48"/>
      <c r="N49" s="48"/>
      <c r="O49" s="48"/>
      <c r="P49" s="48"/>
      <c r="Q49" s="48"/>
      <c r="R49" s="48"/>
      <c r="S49" s="48"/>
      <c r="T49" s="48"/>
      <c r="U49" s="48"/>
      <c r="V49" s="48"/>
      <c r="W49" s="48"/>
      <c r="X49" s="48"/>
      <c r="Y49" s="48"/>
      <c r="Z49" s="48"/>
      <c r="AA49" t="s" s="262">
        <v>312</v>
      </c>
      <c r="AB49" s="720">
        <v>0.98</v>
      </c>
      <c r="AC49" s="48"/>
      <c r="AD49" s="48"/>
    </row>
    <row r="50" ht="24" customHeight="1">
      <c r="A50" s="31"/>
      <c r="B50" s="46"/>
      <c r="C50" s="719"/>
      <c r="D50" t="s" s="262">
        <v>1905</v>
      </c>
      <c r="E50" s="202">
        <f>(7496.29+1971.32)/1371.54</f>
        <v>6.90290476398793</v>
      </c>
      <c r="F50" t="s" s="182">
        <v>215</v>
      </c>
      <c r="G50" s="181"/>
      <c r="H50" s="48"/>
      <c r="I50" s="48"/>
      <c r="J50" s="48"/>
      <c r="K50" s="48"/>
      <c r="L50" s="48"/>
      <c r="M50" s="48"/>
      <c r="N50" s="48"/>
      <c r="O50" s="48"/>
      <c r="P50" s="48"/>
      <c r="Q50" s="48"/>
      <c r="R50" s="48"/>
      <c r="S50" s="48"/>
      <c r="T50" s="48"/>
      <c r="U50" s="48"/>
      <c r="V50" s="48"/>
      <c r="W50" s="48"/>
      <c r="X50" s="48"/>
      <c r="Y50" s="48"/>
      <c r="Z50" s="48"/>
      <c r="AA50" s="48"/>
      <c r="AB50" s="48"/>
      <c r="AC50" s="48"/>
      <c r="AD50" s="48"/>
    </row>
    <row r="51" ht="15" customHeight="1">
      <c r="A51" s="31"/>
      <c r="B51" s="46"/>
      <c r="C51" s="719"/>
      <c r="D51" t="s" s="262">
        <v>1906</v>
      </c>
      <c r="E51" s="202">
        <f>(7575.01+1991.22)/1371.54</f>
        <v>6.97480933840792</v>
      </c>
      <c r="F51" t="s" s="182">
        <v>215</v>
      </c>
      <c r="G51" s="181"/>
      <c r="H51" s="48"/>
      <c r="I51" s="48"/>
      <c r="J51" s="48"/>
      <c r="K51" s="48"/>
      <c r="L51" s="48"/>
      <c r="M51" s="48"/>
      <c r="N51" s="48"/>
      <c r="O51" s="48"/>
      <c r="P51" s="48"/>
      <c r="Q51" s="48"/>
      <c r="R51" s="48"/>
      <c r="S51" s="48"/>
      <c r="T51" s="48"/>
      <c r="U51" s="48"/>
      <c r="V51" s="48"/>
      <c r="W51" s="48"/>
      <c r="X51" s="48"/>
      <c r="Y51" s="48"/>
      <c r="Z51" s="48"/>
      <c r="AA51" s="48"/>
      <c r="AB51" s="48"/>
      <c r="AC51" s="48"/>
      <c r="AD51" s="48"/>
    </row>
    <row r="52" ht="15" customHeight="1">
      <c r="A52" s="31"/>
      <c r="B52" s="46"/>
      <c r="C52" s="719"/>
      <c r="D52" t="s" s="262">
        <v>1907</v>
      </c>
      <c r="E52" s="202">
        <f>(11433.74+3006.76)/1371.54</f>
        <v>10.5286757950916</v>
      </c>
      <c r="F52" t="s" s="182">
        <v>215</v>
      </c>
      <c r="G52" s="181"/>
      <c r="H52" s="48"/>
      <c r="I52" s="48"/>
      <c r="J52" s="48"/>
      <c r="K52" s="48"/>
      <c r="L52" s="48"/>
      <c r="M52" s="48"/>
      <c r="N52" s="48"/>
      <c r="O52" s="48"/>
      <c r="P52" s="48"/>
      <c r="Q52" s="48"/>
      <c r="R52" s="48"/>
      <c r="S52" s="48"/>
      <c r="T52" s="48"/>
      <c r="U52" s="48"/>
      <c r="V52" s="48"/>
      <c r="W52" s="48"/>
      <c r="X52" s="48"/>
      <c r="Y52" s="48"/>
      <c r="Z52" s="48"/>
      <c r="AA52" s="48"/>
      <c r="AB52" s="48"/>
      <c r="AC52" s="48"/>
      <c r="AD52" s="48"/>
    </row>
    <row r="53" ht="15" customHeight="1">
      <c r="A53" s="31"/>
      <c r="B53" s="46"/>
      <c r="C53" s="719"/>
      <c r="D53" t="s" s="262">
        <v>1908</v>
      </c>
      <c r="E53" s="202">
        <f>(12190.94+3205.88)/1371.54</f>
        <v>11.2259358093822</v>
      </c>
      <c r="F53" t="s" s="182">
        <v>215</v>
      </c>
      <c r="G53" s="181"/>
      <c r="H53" s="48"/>
      <c r="I53" s="48"/>
      <c r="J53" s="48"/>
      <c r="K53" s="48"/>
      <c r="L53" s="48"/>
      <c r="M53" s="48"/>
      <c r="N53" s="48"/>
      <c r="O53" s="48"/>
      <c r="P53" s="48"/>
      <c r="Q53" s="48"/>
      <c r="R53" s="48"/>
      <c r="S53" s="48"/>
      <c r="T53" s="48"/>
      <c r="U53" s="48"/>
      <c r="V53" s="48"/>
      <c r="W53" s="48"/>
      <c r="X53" s="48"/>
      <c r="Y53" s="48"/>
      <c r="Z53" s="48"/>
      <c r="AA53" s="48"/>
      <c r="AB53" s="48"/>
      <c r="AC53" s="48"/>
      <c r="AD53" s="48"/>
    </row>
    <row r="54" ht="15" customHeight="1">
      <c r="A54" s="31"/>
      <c r="B54" s="46"/>
      <c r="C54" t="s" s="721">
        <v>1909</v>
      </c>
      <c r="D54" s="720">
        <v>0.12</v>
      </c>
      <c r="E54" s="264">
        <v>0</v>
      </c>
      <c r="F54" s="48"/>
      <c r="G54" s="265"/>
      <c r="H54" s="263">
        <v>7</v>
      </c>
      <c r="I54" s="263">
        <v>24</v>
      </c>
      <c r="J54" s="48"/>
      <c r="K54" s="48"/>
      <c r="L54" s="48"/>
      <c r="M54" s="48"/>
      <c r="N54" s="48"/>
      <c r="O54" s="48"/>
      <c r="P54" s="48"/>
      <c r="Q54" s="48"/>
      <c r="R54" s="48"/>
      <c r="S54" s="48"/>
      <c r="T54" s="48"/>
      <c r="U54" s="48"/>
      <c r="V54" s="48"/>
      <c r="W54" s="48"/>
      <c r="X54" s="48"/>
      <c r="Y54" s="48"/>
      <c r="Z54" s="48"/>
      <c r="AA54" s="48"/>
      <c r="AB54" s="48"/>
      <c r="AC54" s="48"/>
      <c r="AD54" s="48"/>
    </row>
    <row r="55" ht="15" customHeight="1">
      <c r="A55" s="35"/>
      <c r="B55" s="49"/>
      <c r="C55" t="s" s="722">
        <v>1910</v>
      </c>
      <c r="D55" s="723">
        <v>0.01</v>
      </c>
      <c r="E55" t="s" s="724">
        <v>197</v>
      </c>
      <c r="F55" s="725"/>
      <c r="G55" s="726"/>
      <c r="H55" s="725"/>
      <c r="I55" s="725"/>
      <c r="J55" s="51"/>
      <c r="K55" s="51"/>
      <c r="L55" s="51"/>
      <c r="M55" s="51"/>
      <c r="N55" s="51"/>
      <c r="O55" s="51"/>
      <c r="P55" s="51"/>
      <c r="Q55" s="51"/>
      <c r="R55" s="51"/>
      <c r="S55" s="51"/>
      <c r="T55" s="51"/>
      <c r="U55" s="51"/>
      <c r="V55" s="51"/>
      <c r="W55" s="51"/>
      <c r="X55" s="51"/>
      <c r="Y55" s="51"/>
      <c r="Z55" s="51"/>
      <c r="AA55" s="51"/>
      <c r="AB55" s="51"/>
      <c r="AC55" s="51"/>
      <c r="AD55" s="51"/>
    </row>
    <row r="56" ht="60" customHeight="1">
      <c r="A56" s="52">
        <v>6</v>
      </c>
      <c r="B56" t="s" s="53">
        <v>19</v>
      </c>
      <c r="C56" t="s" s="54">
        <v>200</v>
      </c>
      <c r="D56" s="285">
        <v>35.6</v>
      </c>
      <c r="E56" s="288">
        <f t="shared" si="13" ref="E56:E57">11/19.98</f>
        <v>0.550550550550551</v>
      </c>
      <c r="F56" t="s" s="82">
        <v>406</v>
      </c>
      <c r="G56" s="339">
        <v>0.17</v>
      </c>
      <c r="H56" s="285">
        <v>3</v>
      </c>
      <c r="I56" t="s" s="82">
        <v>1911</v>
      </c>
      <c r="J56" t="s" s="82">
        <v>1147</v>
      </c>
      <c r="K56" s="123"/>
      <c r="L56" t="s" s="82">
        <v>197</v>
      </c>
      <c r="M56" t="s" s="82">
        <v>197</v>
      </c>
      <c r="N56" s="285">
        <v>2</v>
      </c>
      <c r="O56" s="123"/>
      <c r="P56" s="123"/>
      <c r="Q56" s="285">
        <v>1</v>
      </c>
      <c r="R56" t="s" s="283">
        <v>1912</v>
      </c>
      <c r="S56" s="285">
        <v>2</v>
      </c>
      <c r="T56" t="s" s="82">
        <v>1913</v>
      </c>
      <c r="U56" s="285">
        <v>2</v>
      </c>
      <c r="V56" s="123"/>
      <c r="W56" s="285">
        <v>1</v>
      </c>
      <c r="X56" t="s" s="283">
        <v>1914</v>
      </c>
      <c r="Y56" s="285">
        <v>1</v>
      </c>
      <c r="Z56" t="s" s="293">
        <v>1915</v>
      </c>
      <c r="AA56" t="s" s="82">
        <v>200</v>
      </c>
      <c r="AB56" s="285">
        <v>14</v>
      </c>
      <c r="AC56" t="s" s="83">
        <v>1916</v>
      </c>
      <c r="AD56" s="123"/>
    </row>
    <row r="57" ht="15" customHeight="1">
      <c r="A57" s="56"/>
      <c r="B57" s="57"/>
      <c r="C57" t="s" s="727">
        <v>230</v>
      </c>
      <c r="D57" s="299">
        <v>35.6</v>
      </c>
      <c r="E57" s="331">
        <f t="shared" si="13"/>
        <v>0.550550550550551</v>
      </c>
      <c r="F57" t="s" s="303">
        <v>406</v>
      </c>
      <c r="G57" s="345">
        <v>0.17</v>
      </c>
      <c r="H57" s="299">
        <v>7</v>
      </c>
      <c r="I57" s="59"/>
      <c r="J57" s="59"/>
      <c r="K57" s="59"/>
      <c r="L57" s="59"/>
      <c r="M57" s="59"/>
      <c r="N57" s="59"/>
      <c r="O57" s="59"/>
      <c r="P57" s="59"/>
      <c r="Q57" s="59"/>
      <c r="R57" s="636"/>
      <c r="S57" s="59"/>
      <c r="T57" s="59"/>
      <c r="U57" s="59"/>
      <c r="V57" s="59"/>
      <c r="W57" s="59"/>
      <c r="X57" s="636"/>
      <c r="Y57" s="59"/>
      <c r="Z57" s="304"/>
      <c r="AA57" t="s" s="303">
        <v>229</v>
      </c>
      <c r="AB57" s="299">
        <v>30</v>
      </c>
      <c r="AC57" s="59"/>
      <c r="AD57" s="59"/>
    </row>
    <row r="58" ht="15" customHeight="1">
      <c r="A58" s="56"/>
      <c r="B58" s="57"/>
      <c r="C58" t="s" s="727">
        <v>229</v>
      </c>
      <c r="D58" s="299">
        <v>9.300000000000001</v>
      </c>
      <c r="E58" s="298">
        <v>0</v>
      </c>
      <c r="F58" s="59"/>
      <c r="G58" s="125"/>
      <c r="H58" s="299">
        <v>7</v>
      </c>
      <c r="I58" t="s" s="303">
        <v>1917</v>
      </c>
      <c r="J58" s="59"/>
      <c r="K58" s="59"/>
      <c r="L58" s="59"/>
      <c r="M58" s="59"/>
      <c r="N58" s="59"/>
      <c r="O58" s="59"/>
      <c r="P58" s="59"/>
      <c r="Q58" s="59"/>
      <c r="R58" s="636"/>
      <c r="S58" s="59"/>
      <c r="T58" s="59"/>
      <c r="U58" s="59"/>
      <c r="V58" s="59"/>
      <c r="W58" s="59"/>
      <c r="X58" s="636"/>
      <c r="Y58" s="59"/>
      <c r="Z58" s="59"/>
      <c r="AA58" t="s" s="303">
        <v>288</v>
      </c>
      <c r="AB58" s="299">
        <v>56</v>
      </c>
      <c r="AC58" s="59"/>
      <c r="AD58" s="59"/>
    </row>
    <row r="59" ht="13.55" customHeight="1">
      <c r="A59" s="60"/>
      <c r="B59" s="57"/>
      <c r="C59" t="s" s="727">
        <v>357</v>
      </c>
      <c r="D59" s="658">
        <v>0.15</v>
      </c>
      <c r="E59" s="298">
        <v>0</v>
      </c>
      <c r="F59" s="59"/>
      <c r="G59" s="125"/>
      <c r="H59" t="s" s="303">
        <v>1917</v>
      </c>
      <c r="I59" t="s" s="303">
        <v>1917</v>
      </c>
      <c r="J59" s="59"/>
      <c r="K59" s="59"/>
      <c r="L59" s="59"/>
      <c r="M59" s="59"/>
      <c r="N59" s="59"/>
      <c r="O59" s="59"/>
      <c r="P59" s="59"/>
      <c r="Q59" s="59"/>
      <c r="R59" s="636"/>
      <c r="S59" s="59"/>
      <c r="T59" s="59"/>
      <c r="U59" s="59"/>
      <c r="V59" s="59"/>
      <c r="W59" s="59"/>
      <c r="X59" s="59"/>
      <c r="Y59" s="59"/>
      <c r="Z59" s="59"/>
      <c r="AA59" s="59"/>
      <c r="AB59" s="59"/>
      <c r="AC59" s="59"/>
      <c r="AD59" s="59"/>
    </row>
    <row r="60" ht="13.55" customHeight="1">
      <c r="A60" s="60"/>
      <c r="B60" s="57"/>
      <c r="C60" t="s" s="727">
        <v>337</v>
      </c>
      <c r="D60" s="299">
        <v>0.5</v>
      </c>
      <c r="E60" s="298">
        <v>0</v>
      </c>
      <c r="F60" s="59"/>
      <c r="G60" s="125"/>
      <c r="H60" t="s" s="303">
        <v>1917</v>
      </c>
      <c r="I60" t="s" s="303">
        <v>1917</v>
      </c>
      <c r="J60" s="59"/>
      <c r="K60" s="59"/>
      <c r="L60" s="59"/>
      <c r="M60" s="59"/>
      <c r="N60" s="59"/>
      <c r="O60" s="59"/>
      <c r="P60" s="59"/>
      <c r="Q60" s="59"/>
      <c r="R60" s="59"/>
      <c r="S60" s="59"/>
      <c r="T60" s="59"/>
      <c r="U60" s="59"/>
      <c r="V60" s="59"/>
      <c r="W60" s="59"/>
      <c r="X60" s="59"/>
      <c r="Y60" s="59"/>
      <c r="Z60" s="59"/>
      <c r="AA60" s="59"/>
      <c r="AB60" s="59"/>
      <c r="AC60" s="59"/>
      <c r="AD60" s="59"/>
    </row>
    <row r="61" ht="13.55" customHeight="1">
      <c r="A61" s="60"/>
      <c r="B61" s="57"/>
      <c r="C61" t="s" s="727">
        <v>210</v>
      </c>
      <c r="D61" s="299">
        <v>0.3</v>
      </c>
      <c r="E61" s="298">
        <v>0</v>
      </c>
      <c r="F61" s="59"/>
      <c r="G61" s="125"/>
      <c r="H61" t="s" s="303">
        <v>1917</v>
      </c>
      <c r="I61" t="s" s="303">
        <v>1917</v>
      </c>
      <c r="J61" s="59"/>
      <c r="K61" s="59"/>
      <c r="L61" s="59"/>
      <c r="M61" s="59"/>
      <c r="N61" s="59"/>
      <c r="O61" s="59"/>
      <c r="P61" s="59"/>
      <c r="Q61" s="59"/>
      <c r="R61" s="59"/>
      <c r="S61" s="59"/>
      <c r="T61" s="59"/>
      <c r="U61" s="59"/>
      <c r="V61" s="59"/>
      <c r="W61" s="59"/>
      <c r="X61" s="59"/>
      <c r="Y61" s="59"/>
      <c r="Z61" s="59"/>
      <c r="AA61" s="59"/>
      <c r="AB61" s="59"/>
      <c r="AC61" s="59"/>
      <c r="AD61" s="59"/>
    </row>
    <row r="62" ht="13.55" customHeight="1">
      <c r="A62" s="60"/>
      <c r="B62" s="57"/>
      <c r="C62" t="s" s="727">
        <v>462</v>
      </c>
      <c r="D62" s="299">
        <v>0.1</v>
      </c>
      <c r="E62" s="298">
        <v>0</v>
      </c>
      <c r="F62" s="59"/>
      <c r="G62" s="125"/>
      <c r="H62" t="s" s="303">
        <v>1917</v>
      </c>
      <c r="I62" t="s" s="303">
        <v>1917</v>
      </c>
      <c r="J62" s="59"/>
      <c r="K62" s="59"/>
      <c r="L62" s="59"/>
      <c r="M62" s="59"/>
      <c r="N62" s="59"/>
      <c r="O62" s="59"/>
      <c r="P62" s="59"/>
      <c r="Q62" s="59"/>
      <c r="R62" s="59"/>
      <c r="S62" s="59"/>
      <c r="T62" s="59"/>
      <c r="U62" s="59"/>
      <c r="V62" s="59"/>
      <c r="W62" s="59"/>
      <c r="X62" s="59"/>
      <c r="Y62" s="59"/>
      <c r="Z62" s="59"/>
      <c r="AA62" s="59"/>
      <c r="AB62" s="59"/>
      <c r="AC62" s="59"/>
      <c r="AD62" s="59"/>
    </row>
    <row r="63" ht="13.55" customHeight="1">
      <c r="A63" s="60"/>
      <c r="B63" s="57"/>
      <c r="C63" t="s" s="727">
        <v>1873</v>
      </c>
      <c r="D63" s="299">
        <v>0.5</v>
      </c>
      <c r="E63" s="298">
        <v>0</v>
      </c>
      <c r="F63" s="59"/>
      <c r="G63" s="125"/>
      <c r="H63" t="s" s="303">
        <v>1917</v>
      </c>
      <c r="I63" t="s" s="303">
        <v>1917</v>
      </c>
      <c r="J63" s="59"/>
      <c r="K63" s="59"/>
      <c r="L63" s="59"/>
      <c r="M63" s="59"/>
      <c r="N63" s="59"/>
      <c r="O63" s="59"/>
      <c r="P63" s="59"/>
      <c r="Q63" s="59"/>
      <c r="R63" s="59"/>
      <c r="S63" s="59"/>
      <c r="T63" s="59"/>
      <c r="U63" s="59"/>
      <c r="V63" s="59"/>
      <c r="W63" s="59"/>
      <c r="X63" s="59"/>
      <c r="Y63" s="59"/>
      <c r="Z63" s="59"/>
      <c r="AA63" s="59"/>
      <c r="AB63" s="59"/>
      <c r="AC63" s="59"/>
      <c r="AD63" s="59"/>
    </row>
    <row r="64" ht="13.55" customHeight="1">
      <c r="A64" s="60"/>
      <c r="B64" s="57"/>
      <c r="C64" t="s" s="727">
        <v>1918</v>
      </c>
      <c r="D64" s="299">
        <v>0.4</v>
      </c>
      <c r="E64" s="59"/>
      <c r="F64" s="59"/>
      <c r="G64" s="125"/>
      <c r="H64" s="59"/>
      <c r="I64" s="59"/>
      <c r="J64" s="59"/>
      <c r="K64" s="59"/>
      <c r="L64" s="59"/>
      <c r="M64" s="59"/>
      <c r="N64" s="59"/>
      <c r="O64" s="59"/>
      <c r="P64" s="59"/>
      <c r="Q64" s="59"/>
      <c r="R64" s="59"/>
      <c r="S64" s="59"/>
      <c r="T64" s="59"/>
      <c r="U64" s="59"/>
      <c r="V64" s="59"/>
      <c r="W64" s="59"/>
      <c r="X64" s="59"/>
      <c r="Y64" s="59"/>
      <c r="Z64" s="59"/>
      <c r="AA64" s="59"/>
      <c r="AB64" s="59"/>
      <c r="AC64" s="59"/>
      <c r="AD64" s="59"/>
    </row>
    <row r="65" ht="13.55" customHeight="1">
      <c r="A65" s="60"/>
      <c r="B65" s="57"/>
      <c r="C65" t="s" s="727">
        <v>1919</v>
      </c>
      <c r="D65" s="299">
        <v>2.8</v>
      </c>
      <c r="E65" s="298">
        <f>130/19.98</f>
        <v>6.50650650650651</v>
      </c>
      <c r="F65" s="59"/>
      <c r="G65" s="345">
        <v>2.02</v>
      </c>
      <c r="H65" s="59"/>
      <c r="I65" s="59"/>
      <c r="J65" s="59"/>
      <c r="K65" s="59"/>
      <c r="L65" s="59"/>
      <c r="M65" s="59"/>
      <c r="N65" s="59"/>
      <c r="O65" s="59"/>
      <c r="P65" s="59"/>
      <c r="Q65" s="59"/>
      <c r="R65" s="59"/>
      <c r="S65" s="59"/>
      <c r="T65" s="59"/>
      <c r="U65" s="59"/>
      <c r="V65" s="59"/>
      <c r="W65" s="59"/>
      <c r="X65" s="59"/>
      <c r="Y65" s="59"/>
      <c r="Z65" s="59"/>
      <c r="AA65" s="59"/>
      <c r="AB65" s="59"/>
      <c r="AC65" s="59"/>
      <c r="AD65" s="59"/>
    </row>
    <row r="66" ht="13.55" customHeight="1">
      <c r="A66" s="60"/>
      <c r="B66" s="57"/>
      <c r="C66" s="58"/>
      <c r="D66" s="59"/>
      <c r="E66" s="59"/>
      <c r="F66" s="59"/>
      <c r="G66" s="125"/>
      <c r="H66" s="59"/>
      <c r="I66" s="59"/>
      <c r="J66" s="59"/>
      <c r="K66" s="59"/>
      <c r="L66" s="59"/>
      <c r="M66" s="59"/>
      <c r="N66" s="59"/>
      <c r="O66" s="59"/>
      <c r="P66" s="59"/>
      <c r="Q66" s="59"/>
      <c r="R66" s="59"/>
      <c r="S66" s="59"/>
      <c r="T66" s="59"/>
      <c r="U66" s="59"/>
      <c r="V66" s="59"/>
      <c r="W66" s="59"/>
      <c r="X66" s="59"/>
      <c r="Y66" s="59"/>
      <c r="Z66" s="59"/>
      <c r="AA66" s="59"/>
      <c r="AB66" s="59"/>
      <c r="AC66" s="59"/>
      <c r="AD66" s="59"/>
    </row>
    <row r="67" ht="13.55" customHeight="1">
      <c r="A67" s="60"/>
      <c r="B67" s="57"/>
      <c r="C67" s="58"/>
      <c r="D67" s="59"/>
      <c r="E67" s="59"/>
      <c r="F67" s="59"/>
      <c r="G67" s="125"/>
      <c r="H67" s="59"/>
      <c r="I67" s="59"/>
      <c r="J67" s="59"/>
      <c r="K67" s="59"/>
      <c r="L67" s="59"/>
      <c r="M67" s="59"/>
      <c r="N67" s="59"/>
      <c r="O67" s="59"/>
      <c r="P67" s="59"/>
      <c r="Q67" s="59"/>
      <c r="R67" s="59"/>
      <c r="S67" s="59"/>
      <c r="T67" s="59"/>
      <c r="U67" s="59"/>
      <c r="V67" s="59"/>
      <c r="W67" s="59"/>
      <c r="X67" s="59"/>
      <c r="Y67" s="59"/>
      <c r="Z67" s="59"/>
      <c r="AA67" s="59"/>
      <c r="AB67" s="59"/>
      <c r="AC67" s="59"/>
      <c r="AD67" s="59"/>
    </row>
    <row r="68" ht="13.55" customHeight="1">
      <c r="A68" s="60"/>
      <c r="B68" s="57"/>
      <c r="C68" s="58"/>
      <c r="D68" s="59"/>
      <c r="E68" s="59"/>
      <c r="F68" s="59"/>
      <c r="G68" s="125"/>
      <c r="H68" s="59"/>
      <c r="I68" s="59"/>
      <c r="J68" s="59"/>
      <c r="K68" s="59"/>
      <c r="L68" s="59"/>
      <c r="M68" s="59"/>
      <c r="N68" s="59"/>
      <c r="O68" s="59"/>
      <c r="P68" s="59"/>
      <c r="Q68" s="59"/>
      <c r="R68" s="59"/>
      <c r="S68" s="59"/>
      <c r="T68" s="59"/>
      <c r="U68" s="59"/>
      <c r="V68" s="59"/>
      <c r="W68" s="59"/>
      <c r="X68" s="59"/>
      <c r="Y68" s="59"/>
      <c r="Z68" s="59"/>
      <c r="AA68" s="59"/>
      <c r="AB68" s="59"/>
      <c r="AC68" s="59"/>
      <c r="AD68" s="59"/>
    </row>
    <row r="69" ht="13.55" customHeight="1">
      <c r="A69" s="61"/>
      <c r="B69" s="62"/>
      <c r="C69" s="63"/>
      <c r="D69" s="64"/>
      <c r="E69" s="64"/>
      <c r="F69" s="64"/>
      <c r="G69" s="310"/>
      <c r="H69" s="64"/>
      <c r="I69" s="64"/>
      <c r="J69" s="64"/>
      <c r="K69" s="64"/>
      <c r="L69" s="64"/>
      <c r="M69" s="64"/>
      <c r="N69" s="64"/>
      <c r="O69" s="64"/>
      <c r="P69" s="64"/>
      <c r="Q69" s="64"/>
      <c r="R69" s="64"/>
      <c r="S69" s="64"/>
      <c r="T69" s="64"/>
      <c r="U69" s="64"/>
      <c r="V69" s="64"/>
      <c r="W69" s="64"/>
      <c r="X69" s="64"/>
      <c r="Y69" s="64"/>
      <c r="Z69" s="64"/>
      <c r="AA69" s="64"/>
      <c r="AB69" s="64"/>
      <c r="AC69" s="64"/>
      <c r="AD69" s="64"/>
    </row>
    <row r="70" ht="48" customHeight="1">
      <c r="A70" s="15">
        <v>7</v>
      </c>
      <c r="B70" t="s" s="65">
        <v>21</v>
      </c>
      <c r="C70" t="s" s="29">
        <v>200</v>
      </c>
      <c r="D70" s="559">
        <v>0.41</v>
      </c>
      <c r="E70" s="199">
        <f t="shared" si="16" ref="E70:E71">3.78/19.98</f>
        <v>0.189189189189189</v>
      </c>
      <c r="F70" t="s" s="18">
        <v>215</v>
      </c>
      <c r="G70" s="312">
        <v>0.06</v>
      </c>
      <c r="H70" s="166">
        <v>7</v>
      </c>
      <c r="I70" t="s" s="18">
        <v>1920</v>
      </c>
      <c r="J70" t="s" s="18">
        <v>752</v>
      </c>
      <c r="K70" t="s" s="18">
        <v>1921</v>
      </c>
      <c r="L70" t="s" s="18">
        <v>1922</v>
      </c>
      <c r="M70" t="s" s="18">
        <v>1923</v>
      </c>
      <c r="N70" s="166">
        <v>2</v>
      </c>
      <c r="O70" s="169"/>
      <c r="P70" s="169"/>
      <c r="Q70" s="166">
        <v>2</v>
      </c>
      <c r="R70" t="s" s="171">
        <v>1924</v>
      </c>
      <c r="S70" s="166">
        <v>1</v>
      </c>
      <c r="T70" t="s" s="170">
        <v>1172</v>
      </c>
      <c r="U70" s="166">
        <v>1</v>
      </c>
      <c r="V70" t="s" s="170">
        <v>1925</v>
      </c>
      <c r="W70" s="167">
        <v>1</v>
      </c>
      <c r="X70" t="s" s="170">
        <v>1173</v>
      </c>
      <c r="Y70" s="167">
        <v>1</v>
      </c>
      <c r="Z70" t="s" s="170">
        <v>1173</v>
      </c>
      <c r="AA70" t="s" s="18">
        <v>200</v>
      </c>
      <c r="AB70" s="167">
        <v>1</v>
      </c>
      <c r="AC70" s="728"/>
      <c r="AD70" t="s" s="18">
        <v>1926</v>
      </c>
    </row>
    <row r="71" ht="15" customHeight="1">
      <c r="A71" s="19"/>
      <c r="B71" s="67"/>
      <c r="C71" t="s" s="220">
        <v>1927</v>
      </c>
      <c r="D71" s="517">
        <v>0.41</v>
      </c>
      <c r="E71" s="210">
        <f t="shared" si="16"/>
        <v>0.189189189189189</v>
      </c>
      <c r="F71" t="s" s="209">
        <v>215</v>
      </c>
      <c r="G71" s="188">
        <v>0.06</v>
      </c>
      <c r="H71" s="208">
        <v>7</v>
      </c>
      <c r="I71" t="s" s="209">
        <v>1920</v>
      </c>
      <c r="J71" s="22"/>
      <c r="K71" s="22"/>
      <c r="L71" s="22"/>
      <c r="M71" s="22"/>
      <c r="N71" s="22"/>
      <c r="O71" s="22"/>
      <c r="P71" s="22"/>
      <c r="Q71" s="22"/>
      <c r="R71" s="22"/>
      <c r="S71" s="22"/>
      <c r="T71" s="211"/>
      <c r="U71" s="22"/>
      <c r="V71" s="211"/>
      <c r="W71" s="22"/>
      <c r="X71" s="211"/>
      <c r="Y71" s="22"/>
      <c r="Z71" s="211"/>
      <c r="AA71" t="s" s="209">
        <v>230</v>
      </c>
      <c r="AB71" t="s" s="209">
        <v>1928</v>
      </c>
      <c r="AC71" s="22"/>
      <c r="AD71" s="22"/>
    </row>
    <row r="72" ht="15" customHeight="1">
      <c r="A72" s="19"/>
      <c r="B72" s="67"/>
      <c r="C72" t="s" s="220">
        <v>357</v>
      </c>
      <c r="D72" s="241">
        <v>0.04</v>
      </c>
      <c r="E72" s="210">
        <f>7.5/19.98</f>
        <v>0.375375375375375</v>
      </c>
      <c r="F72" t="s" s="209">
        <v>215</v>
      </c>
      <c r="G72" s="188">
        <v>0.12</v>
      </c>
      <c r="H72" s="208">
        <v>7</v>
      </c>
      <c r="I72" s="208">
        <v>1</v>
      </c>
      <c r="J72" s="22"/>
      <c r="K72" s="22"/>
      <c r="L72" s="22"/>
      <c r="M72" s="22"/>
      <c r="N72" s="22"/>
      <c r="O72" s="22"/>
      <c r="P72" s="22"/>
      <c r="Q72" s="22"/>
      <c r="R72" s="22"/>
      <c r="S72" s="22"/>
      <c r="T72" s="22"/>
      <c r="U72" s="22"/>
      <c r="V72" s="211"/>
      <c r="W72" s="22"/>
      <c r="X72" s="211"/>
      <c r="Y72" s="22"/>
      <c r="Z72" s="22"/>
      <c r="AA72" t="s" s="209">
        <v>229</v>
      </c>
      <c r="AB72" s="183">
        <v>21</v>
      </c>
      <c r="AC72" s="22"/>
      <c r="AD72" s="22"/>
    </row>
    <row r="73" ht="15" customHeight="1">
      <c r="A73" s="19"/>
      <c r="B73" s="67"/>
      <c r="C73" t="s" s="220">
        <v>1929</v>
      </c>
      <c r="D73" s="517">
        <v>0.02</v>
      </c>
      <c r="E73" s="210">
        <f>1.5/19.98</f>
        <v>0.0750750750750751</v>
      </c>
      <c r="F73" t="s" s="209">
        <v>215</v>
      </c>
      <c r="G73" s="188"/>
      <c r="H73" s="208">
        <v>7</v>
      </c>
      <c r="I73" s="208">
        <v>24</v>
      </c>
      <c r="J73" s="22"/>
      <c r="K73" s="22"/>
      <c r="L73" s="22"/>
      <c r="M73" s="22"/>
      <c r="N73" s="22"/>
      <c r="O73" s="22"/>
      <c r="P73" s="22"/>
      <c r="Q73" s="22"/>
      <c r="R73" s="22"/>
      <c r="S73" s="22"/>
      <c r="T73" s="22"/>
      <c r="U73" s="22"/>
      <c r="V73" s="22"/>
      <c r="W73" s="22"/>
      <c r="X73" s="22"/>
      <c r="Y73" s="22"/>
      <c r="Z73" s="22"/>
      <c r="AA73" t="s" s="209">
        <v>288</v>
      </c>
      <c r="AB73" s="208">
        <v>75</v>
      </c>
      <c r="AC73" s="22"/>
      <c r="AD73" s="22"/>
    </row>
    <row r="74" ht="15" customHeight="1">
      <c r="A74" s="19"/>
      <c r="B74" s="67"/>
      <c r="C74" t="s" s="220">
        <v>210</v>
      </c>
      <c r="D74" s="517">
        <v>0.02</v>
      </c>
      <c r="E74" s="210">
        <v>0</v>
      </c>
      <c r="F74" t="s" s="209">
        <v>215</v>
      </c>
      <c r="G74" s="188"/>
      <c r="H74" s="208">
        <v>7</v>
      </c>
      <c r="I74" s="208">
        <v>24</v>
      </c>
      <c r="J74" s="22"/>
      <c r="K74" s="22"/>
      <c r="L74" s="22"/>
      <c r="M74" s="22"/>
      <c r="N74" s="22"/>
      <c r="O74" s="22"/>
      <c r="P74" s="22"/>
      <c r="Q74" s="22"/>
      <c r="R74" s="22"/>
      <c r="S74" s="22"/>
      <c r="T74" s="22"/>
      <c r="U74" s="22"/>
      <c r="V74" s="22"/>
      <c r="W74" s="22"/>
      <c r="X74" s="22"/>
      <c r="Y74" s="22"/>
      <c r="Z74" s="22"/>
      <c r="AA74" s="22"/>
      <c r="AB74" s="22"/>
      <c r="AC74" s="22"/>
      <c r="AD74" s="22"/>
    </row>
    <row r="75" ht="15" customHeight="1">
      <c r="A75" s="19"/>
      <c r="B75" s="67"/>
      <c r="C75" t="s" s="220">
        <v>265</v>
      </c>
      <c r="D75" s="517">
        <v>0.02</v>
      </c>
      <c r="E75" s="210">
        <f>1500/19.98</f>
        <v>75.07507507507511</v>
      </c>
      <c r="F75" t="s" s="209">
        <v>215</v>
      </c>
      <c r="G75" s="188">
        <v>23.33</v>
      </c>
      <c r="H75" s="208">
        <v>7</v>
      </c>
      <c r="I75" s="208">
        <v>10</v>
      </c>
      <c r="J75" s="22"/>
      <c r="K75" s="22"/>
      <c r="L75" s="22"/>
      <c r="M75" s="22"/>
      <c r="N75" s="22"/>
      <c r="O75" s="22"/>
      <c r="P75" s="22"/>
      <c r="Q75" s="22"/>
      <c r="R75" s="22"/>
      <c r="S75" s="22"/>
      <c r="T75" s="22"/>
      <c r="U75" s="22"/>
      <c r="V75" s="22"/>
      <c r="W75" s="22"/>
      <c r="X75" s="22"/>
      <c r="Y75" s="22"/>
      <c r="Z75" s="22"/>
      <c r="AA75" s="22"/>
      <c r="AB75" s="22"/>
      <c r="AC75" s="22"/>
      <c r="AD75" s="22"/>
    </row>
    <row r="76" ht="15" customHeight="1">
      <c r="A76" s="19"/>
      <c r="B76" s="67"/>
      <c r="C76" t="s" s="220">
        <v>435</v>
      </c>
      <c r="D76" s="517">
        <v>0.02</v>
      </c>
      <c r="E76" s="210">
        <f>300/19.98</f>
        <v>15.015015015015</v>
      </c>
      <c r="F76" t="s" s="209">
        <v>215</v>
      </c>
      <c r="G76" s="188"/>
      <c r="H76" s="208">
        <v>7</v>
      </c>
      <c r="I76" s="208">
        <v>1</v>
      </c>
      <c r="J76" s="22"/>
      <c r="K76" s="22"/>
      <c r="L76" s="22"/>
      <c r="M76" s="22"/>
      <c r="N76" s="22"/>
      <c r="O76" s="22"/>
      <c r="P76" s="22"/>
      <c r="Q76" s="22"/>
      <c r="R76" s="22"/>
      <c r="S76" s="22"/>
      <c r="T76" s="22"/>
      <c r="U76" s="22"/>
      <c r="V76" s="22"/>
      <c r="W76" s="22"/>
      <c r="X76" s="22"/>
      <c r="Y76" s="22"/>
      <c r="Z76" s="22"/>
      <c r="AA76" s="22"/>
      <c r="AB76" s="22"/>
      <c r="AC76" s="22"/>
      <c r="AD76" s="22"/>
    </row>
    <row r="77" ht="15" customHeight="1">
      <c r="A77" s="19"/>
      <c r="B77" s="67"/>
      <c r="C77" t="s" s="220">
        <v>226</v>
      </c>
      <c r="D77" s="517">
        <v>0.04</v>
      </c>
      <c r="E77" s="210">
        <f>200/19.98</f>
        <v>10.010010010010</v>
      </c>
      <c r="F77" t="s" s="209">
        <v>215</v>
      </c>
      <c r="G77" s="188">
        <v>3.11</v>
      </c>
      <c r="H77" s="208">
        <v>7</v>
      </c>
      <c r="I77" t="s" s="209">
        <v>1930</v>
      </c>
      <c r="J77" s="22"/>
      <c r="K77" s="22"/>
      <c r="L77" s="22"/>
      <c r="M77" s="22"/>
      <c r="N77" s="22"/>
      <c r="O77" s="22"/>
      <c r="P77" s="22"/>
      <c r="Q77" s="22"/>
      <c r="R77" s="22"/>
      <c r="S77" s="22"/>
      <c r="T77" s="22"/>
      <c r="U77" s="22"/>
      <c r="V77" s="22"/>
      <c r="W77" s="22"/>
      <c r="X77" s="22"/>
      <c r="Y77" s="22"/>
      <c r="Z77" s="22"/>
      <c r="AA77" s="22"/>
      <c r="AB77" s="22"/>
      <c r="AC77" s="22"/>
      <c r="AD77" s="22"/>
    </row>
    <row r="78" ht="15" customHeight="1">
      <c r="A78" s="19"/>
      <c r="B78" s="67"/>
      <c r="C78" t="s" s="220">
        <v>1931</v>
      </c>
      <c r="D78" s="517">
        <v>0.02</v>
      </c>
      <c r="E78" s="210">
        <v>0</v>
      </c>
      <c r="F78" s="22"/>
      <c r="G78" s="188"/>
      <c r="H78" s="208">
        <v>7</v>
      </c>
      <c r="I78" t="s" s="209">
        <v>1930</v>
      </c>
      <c r="J78" s="22"/>
      <c r="K78" s="22"/>
      <c r="L78" s="22"/>
      <c r="M78" s="22"/>
      <c r="N78" s="22"/>
      <c r="O78" s="22"/>
      <c r="P78" s="22"/>
      <c r="Q78" s="22"/>
      <c r="R78" s="22"/>
      <c r="S78" s="22"/>
      <c r="T78" s="22"/>
      <c r="U78" s="22"/>
      <c r="V78" s="22"/>
      <c r="W78" s="22"/>
      <c r="X78" s="22"/>
      <c r="Y78" s="22"/>
      <c r="Z78" s="22"/>
      <c r="AA78" s="22"/>
      <c r="AB78" s="22"/>
      <c r="AC78" s="22"/>
      <c r="AD78" s="22"/>
    </row>
    <row r="79" ht="15" customHeight="1">
      <c r="A79" s="19"/>
      <c r="B79" s="67"/>
      <c r="C79" s="21"/>
      <c r="D79" s="517">
        <f>SUM(D70:D78)</f>
        <v>1</v>
      </c>
      <c r="E79" s="22"/>
      <c r="F79" s="22"/>
      <c r="G79" s="188"/>
      <c r="H79" s="22"/>
      <c r="I79" s="22"/>
      <c r="J79" s="22"/>
      <c r="K79" s="22"/>
      <c r="L79" s="22"/>
      <c r="M79" s="22"/>
      <c r="N79" s="22"/>
      <c r="O79" s="22"/>
      <c r="P79" s="22"/>
      <c r="Q79" s="22"/>
      <c r="R79" s="22"/>
      <c r="S79" s="22"/>
      <c r="T79" s="22"/>
      <c r="U79" s="22"/>
      <c r="V79" s="22"/>
      <c r="W79" s="22"/>
      <c r="X79" s="22"/>
      <c r="Y79" s="22"/>
      <c r="Z79" s="22"/>
      <c r="AA79" s="22"/>
      <c r="AB79" s="22"/>
      <c r="AC79" s="22"/>
      <c r="AD79" s="22"/>
    </row>
    <row r="80" ht="15" customHeight="1">
      <c r="A80" s="23"/>
      <c r="B80" s="68"/>
      <c r="C80" s="25"/>
      <c r="D80" s="26"/>
      <c r="E80" s="26"/>
      <c r="F80" s="26"/>
      <c r="G80" s="205"/>
      <c r="H80" s="26"/>
      <c r="I80" s="26"/>
      <c r="J80" s="26"/>
      <c r="K80" s="26"/>
      <c r="L80" s="26"/>
      <c r="M80" s="26"/>
      <c r="N80" s="26"/>
      <c r="O80" s="26"/>
      <c r="P80" s="26"/>
      <c r="Q80" s="26"/>
      <c r="R80" s="26"/>
      <c r="S80" s="26"/>
      <c r="T80" s="26"/>
      <c r="U80" s="26"/>
      <c r="V80" s="26"/>
      <c r="W80" s="26"/>
      <c r="X80" s="26"/>
      <c r="Y80" s="26"/>
      <c r="Z80" s="26"/>
      <c r="AA80" s="26"/>
      <c r="AB80" s="26"/>
      <c r="AC80" s="26"/>
      <c r="AD80" s="26"/>
    </row>
    <row r="81" ht="150" customHeight="1">
      <c r="A81" s="71">
        <v>8</v>
      </c>
      <c r="B81" t="s" s="72">
        <v>22</v>
      </c>
      <c r="C81" t="s" s="73">
        <v>392</v>
      </c>
      <c r="D81" s="322">
        <v>0.9</v>
      </c>
      <c r="E81" s="323">
        <f>5.5/19.98</f>
        <v>0.275275275275275</v>
      </c>
      <c r="F81" t="s" s="320">
        <v>406</v>
      </c>
      <c r="G81" s="324"/>
      <c r="H81" s="321">
        <v>7</v>
      </c>
      <c r="I81" s="321">
        <v>5</v>
      </c>
      <c r="J81" t="s" s="320">
        <v>1932</v>
      </c>
      <c r="K81" t="s" s="75">
        <v>1933</v>
      </c>
      <c r="L81" t="s" s="320">
        <v>1934</v>
      </c>
      <c r="M81" s="322">
        <v>0.041</v>
      </c>
      <c r="N81" s="321">
        <v>2</v>
      </c>
      <c r="O81" s="325"/>
      <c r="P81" s="325"/>
      <c r="Q81" s="321">
        <v>2</v>
      </c>
      <c r="R81" t="s" s="292">
        <v>1935</v>
      </c>
      <c r="S81" s="321">
        <v>2</v>
      </c>
      <c r="T81" t="s" s="292">
        <v>1936</v>
      </c>
      <c r="U81" s="321">
        <v>2</v>
      </c>
      <c r="V81" s="325"/>
      <c r="W81" s="321">
        <v>1</v>
      </c>
      <c r="X81" t="s" s="292">
        <v>1203</v>
      </c>
      <c r="Y81" s="321">
        <v>2</v>
      </c>
      <c r="Z81" s="325"/>
      <c r="AA81" t="s" s="320">
        <v>200</v>
      </c>
      <c r="AB81" s="729">
        <v>14</v>
      </c>
      <c r="AC81" s="325"/>
      <c r="AD81" t="s" s="75">
        <v>1214</v>
      </c>
    </row>
    <row r="82" ht="90" customHeight="1">
      <c r="A82" s="76"/>
      <c r="B82" s="77"/>
      <c r="C82" t="s" s="730">
        <v>226</v>
      </c>
      <c r="D82" s="330">
        <v>0.05</v>
      </c>
      <c r="E82" t="s" s="333">
        <v>1937</v>
      </c>
      <c r="F82" s="79"/>
      <c r="G82" s="301"/>
      <c r="H82" t="s" s="329">
        <v>407</v>
      </c>
      <c r="I82" t="s" s="329">
        <v>407</v>
      </c>
      <c r="J82" s="79"/>
      <c r="K82" s="79"/>
      <c r="L82" s="79"/>
      <c r="M82" s="79"/>
      <c r="N82" s="79"/>
      <c r="O82" s="79"/>
      <c r="P82" s="79"/>
      <c r="Q82" s="79"/>
      <c r="R82" s="302"/>
      <c r="S82" s="79"/>
      <c r="T82" s="302"/>
      <c r="U82" s="79"/>
      <c r="V82" s="79"/>
      <c r="W82" s="79"/>
      <c r="X82" s="302"/>
      <c r="Y82" s="79"/>
      <c r="Z82" s="79"/>
      <c r="AA82" t="s" s="329">
        <v>229</v>
      </c>
      <c r="AB82" s="335">
        <v>14</v>
      </c>
      <c r="AC82" s="79"/>
      <c r="AD82" s="79"/>
    </row>
    <row r="83" ht="60" customHeight="1">
      <c r="A83" s="80"/>
      <c r="B83" s="77"/>
      <c r="C83" t="s" s="731">
        <v>412</v>
      </c>
      <c r="D83" s="330">
        <v>0.05</v>
      </c>
      <c r="E83" t="s" s="333">
        <v>415</v>
      </c>
      <c r="F83" s="79"/>
      <c r="G83" s="301"/>
      <c r="H83" s="335">
        <v>5.5</v>
      </c>
      <c r="I83" s="335">
        <v>11</v>
      </c>
      <c r="J83" s="79"/>
      <c r="K83" s="79"/>
      <c r="L83" s="79"/>
      <c r="M83" s="79"/>
      <c r="N83" s="79"/>
      <c r="O83" s="79"/>
      <c r="P83" s="79"/>
      <c r="Q83" s="79"/>
      <c r="R83" s="79"/>
      <c r="S83" s="79"/>
      <c r="T83" s="79"/>
      <c r="U83" s="79"/>
      <c r="V83" s="79"/>
      <c r="W83" s="79"/>
      <c r="X83" s="79"/>
      <c r="Y83" s="79"/>
      <c r="Z83" s="79"/>
      <c r="AA83" t="s" s="329">
        <v>337</v>
      </c>
      <c r="AB83" s="335">
        <v>12</v>
      </c>
      <c r="AC83" s="79"/>
      <c r="AD83" s="79"/>
    </row>
    <row r="84" ht="13.55" customHeight="1">
      <c r="A84" s="81"/>
      <c r="B84" s="57"/>
      <c r="C84" s="58"/>
      <c r="D84" s="59"/>
      <c r="E84" s="59"/>
      <c r="F84" s="59"/>
      <c r="G84" s="125"/>
      <c r="H84" s="59"/>
      <c r="I84" s="59"/>
      <c r="J84" s="79"/>
      <c r="K84" s="79"/>
      <c r="L84" s="79"/>
      <c r="M84" s="79"/>
      <c r="N84" s="79"/>
      <c r="O84" s="79"/>
      <c r="P84" s="79"/>
      <c r="Q84" s="79"/>
      <c r="R84" s="79"/>
      <c r="S84" s="79"/>
      <c r="T84" s="79"/>
      <c r="U84" s="79"/>
      <c r="V84" s="79"/>
      <c r="W84" s="79"/>
      <c r="X84" s="79"/>
      <c r="Y84" s="79"/>
      <c r="Z84" s="79"/>
      <c r="AA84" t="s" s="329">
        <v>1891</v>
      </c>
      <c r="AB84" s="335">
        <v>60</v>
      </c>
      <c r="AC84" s="79"/>
      <c r="AD84" s="79"/>
    </row>
    <row r="85" ht="13.55" customHeight="1">
      <c r="A85" s="19"/>
      <c r="B85" s="57"/>
      <c r="C85" s="58"/>
      <c r="D85" s="59"/>
      <c r="E85" s="59"/>
      <c r="F85" s="59"/>
      <c r="G85" s="125"/>
      <c r="H85" s="59"/>
      <c r="I85" s="59"/>
      <c r="J85" s="59"/>
      <c r="K85" s="59"/>
      <c r="L85" s="59"/>
      <c r="M85" s="59"/>
      <c r="N85" s="59"/>
      <c r="O85" s="59"/>
      <c r="P85" s="59"/>
      <c r="Q85" s="59"/>
      <c r="R85" s="59"/>
      <c r="S85" s="59"/>
      <c r="T85" s="59"/>
      <c r="U85" s="59"/>
      <c r="V85" s="59"/>
      <c r="W85" s="59"/>
      <c r="X85" s="59"/>
      <c r="Y85" s="59"/>
      <c r="Z85" s="59"/>
      <c r="AA85" s="59"/>
      <c r="AB85" s="59"/>
      <c r="AC85" s="59"/>
      <c r="AD85" s="59"/>
    </row>
    <row r="86" ht="13.55" customHeight="1">
      <c r="A86" s="19"/>
      <c r="B86" s="57"/>
      <c r="C86" s="58"/>
      <c r="D86" s="59"/>
      <c r="E86" s="59"/>
      <c r="F86" s="59"/>
      <c r="G86" s="125"/>
      <c r="H86" s="59"/>
      <c r="I86" s="59"/>
      <c r="J86" s="59"/>
      <c r="K86" s="59"/>
      <c r="L86" s="59"/>
      <c r="M86" s="59"/>
      <c r="N86" s="59"/>
      <c r="O86" s="59"/>
      <c r="P86" s="59"/>
      <c r="Q86" s="59"/>
      <c r="R86" s="59"/>
      <c r="S86" s="59"/>
      <c r="T86" s="59"/>
      <c r="U86" s="59"/>
      <c r="V86" s="59"/>
      <c r="W86" s="59"/>
      <c r="X86" s="59"/>
      <c r="Y86" s="59"/>
      <c r="Z86" s="59"/>
      <c r="AA86" s="59"/>
      <c r="AB86" s="59"/>
      <c r="AC86" s="59"/>
      <c r="AD86" s="59"/>
    </row>
    <row r="87" ht="13.55" customHeight="1">
      <c r="A87" s="19"/>
      <c r="B87" s="57"/>
      <c r="C87" s="58"/>
      <c r="D87" s="59"/>
      <c r="E87" s="59"/>
      <c r="F87" s="59"/>
      <c r="G87" s="125"/>
      <c r="H87" s="59"/>
      <c r="I87" s="59"/>
      <c r="J87" s="59"/>
      <c r="K87" s="59"/>
      <c r="L87" s="59"/>
      <c r="M87" s="59"/>
      <c r="N87" s="59"/>
      <c r="O87" s="59"/>
      <c r="P87" s="59"/>
      <c r="Q87" s="59"/>
      <c r="R87" s="59"/>
      <c r="S87" s="59"/>
      <c r="T87" s="59"/>
      <c r="U87" s="59"/>
      <c r="V87" s="59"/>
      <c r="W87" s="59"/>
      <c r="X87" s="59"/>
      <c r="Y87" s="59"/>
      <c r="Z87" s="59"/>
      <c r="AA87" s="59"/>
      <c r="AB87" s="59"/>
      <c r="AC87" s="59"/>
      <c r="AD87" s="59"/>
    </row>
    <row r="88" ht="13.55" customHeight="1">
      <c r="A88" s="19"/>
      <c r="B88" s="57"/>
      <c r="C88" s="58"/>
      <c r="D88" s="59"/>
      <c r="E88" s="59"/>
      <c r="F88" s="59"/>
      <c r="G88" s="125"/>
      <c r="H88" s="59"/>
      <c r="I88" s="59"/>
      <c r="J88" s="59"/>
      <c r="K88" s="59"/>
      <c r="L88" s="59"/>
      <c r="M88" s="59"/>
      <c r="N88" s="59"/>
      <c r="O88" s="59"/>
      <c r="P88" s="59"/>
      <c r="Q88" s="59"/>
      <c r="R88" s="59"/>
      <c r="S88" s="59"/>
      <c r="T88" s="59"/>
      <c r="U88" s="59"/>
      <c r="V88" s="59"/>
      <c r="W88" s="59"/>
      <c r="X88" s="59"/>
      <c r="Y88" s="59"/>
      <c r="Z88" s="59"/>
      <c r="AA88" s="59"/>
      <c r="AB88" s="59"/>
      <c r="AC88" s="59"/>
      <c r="AD88" s="59"/>
    </row>
    <row r="89" ht="13.55" customHeight="1">
      <c r="A89" s="23"/>
      <c r="B89" s="62"/>
      <c r="C89" s="63"/>
      <c r="D89" s="64"/>
      <c r="E89" s="64"/>
      <c r="F89" s="64"/>
      <c r="G89" s="3"/>
      <c r="H89" s="64"/>
      <c r="I89" s="64"/>
      <c r="J89" s="64"/>
      <c r="K89" s="64"/>
      <c r="L89" s="64"/>
      <c r="M89" s="64"/>
      <c r="N89" s="64"/>
      <c r="O89" s="64"/>
      <c r="P89" s="64"/>
      <c r="Q89" s="64"/>
      <c r="R89" s="64"/>
      <c r="S89" s="64"/>
      <c r="T89" s="64"/>
      <c r="U89" s="64"/>
      <c r="V89" s="64"/>
      <c r="W89" s="64"/>
      <c r="X89" s="64"/>
      <c r="Y89" s="64"/>
      <c r="Z89" s="64"/>
      <c r="AA89" s="64"/>
      <c r="AB89" s="64"/>
      <c r="AC89" s="64"/>
      <c r="AD89" s="64"/>
    </row>
    <row r="90" ht="45" customHeight="1">
      <c r="A90" s="52">
        <v>9</v>
      </c>
      <c r="B90" t="s" s="53">
        <v>24</v>
      </c>
      <c r="C90" t="s" s="732">
        <v>200</v>
      </c>
      <c r="D90" s="285">
        <f>78.78-12.33</f>
        <v>66.45</v>
      </c>
      <c r="E90" s="294">
        <f>170/49.19</f>
        <v>3.45598698922545</v>
      </c>
      <c r="F90" t="s" s="82">
        <v>215</v>
      </c>
      <c r="G90" s="339"/>
      <c r="H90" s="285">
        <v>7</v>
      </c>
      <c r="I90" s="285">
        <v>24</v>
      </c>
      <c r="J90" t="s" s="82">
        <v>1938</v>
      </c>
      <c r="K90" t="s" s="82">
        <v>425</v>
      </c>
      <c r="L90" t="s" s="283">
        <v>1939</v>
      </c>
      <c r="M90" s="337">
        <v>0.05</v>
      </c>
      <c r="N90" s="285">
        <v>2</v>
      </c>
      <c r="O90" s="123"/>
      <c r="P90" s="123"/>
      <c r="Q90" s="285">
        <v>2</v>
      </c>
      <c r="R90" s="123"/>
      <c r="S90" s="285">
        <v>2</v>
      </c>
      <c r="T90" s="123"/>
      <c r="U90" s="285">
        <v>2</v>
      </c>
      <c r="V90" s="123"/>
      <c r="W90" s="285">
        <v>1</v>
      </c>
      <c r="X90" t="s" s="75">
        <v>1940</v>
      </c>
      <c r="Y90" s="285">
        <v>1</v>
      </c>
      <c r="Z90" t="s" s="292">
        <v>1236</v>
      </c>
      <c r="AA90" t="s" s="82">
        <v>200</v>
      </c>
      <c r="AB90" s="285">
        <v>57.5</v>
      </c>
      <c r="AC90" s="123"/>
      <c r="AD90" t="s" s="83">
        <v>1941</v>
      </c>
    </row>
    <row r="91" ht="15" customHeight="1">
      <c r="A91" s="56"/>
      <c r="B91" s="57"/>
      <c r="C91" s="733"/>
      <c r="D91" s="299">
        <v>12.33</v>
      </c>
      <c r="E91" s="344">
        <f>150/49.19</f>
        <v>3.04940028461069</v>
      </c>
      <c r="F91" t="s" s="303">
        <v>215</v>
      </c>
      <c r="G91" s="345">
        <v>0.97</v>
      </c>
      <c r="H91" s="299">
        <v>7</v>
      </c>
      <c r="I91" s="299">
        <v>24</v>
      </c>
      <c r="J91" s="59"/>
      <c r="K91" s="59"/>
      <c r="L91" s="59"/>
      <c r="M91" s="59"/>
      <c r="N91" s="59"/>
      <c r="O91" s="59"/>
      <c r="P91" s="59"/>
      <c r="Q91" s="59"/>
      <c r="R91" s="59"/>
      <c r="S91" s="59"/>
      <c r="T91" s="59"/>
      <c r="U91" s="59"/>
      <c r="V91" s="59"/>
      <c r="W91" s="59"/>
      <c r="X91" s="693"/>
      <c r="Y91" s="59"/>
      <c r="Z91" s="302"/>
      <c r="AA91" t="s" s="303">
        <v>230</v>
      </c>
      <c r="AB91" s="299">
        <v>2.4</v>
      </c>
      <c r="AC91" s="59"/>
      <c r="AD91" s="59"/>
    </row>
    <row r="92" ht="15" customHeight="1">
      <c r="A92" s="56"/>
      <c r="B92" s="57"/>
      <c r="C92" t="s" s="727">
        <v>230</v>
      </c>
      <c r="D92" s="299">
        <v>6.91</v>
      </c>
      <c r="E92" s="344">
        <f>71/49.19</f>
        <v>1.44338280138239</v>
      </c>
      <c r="F92" s="59"/>
      <c r="G92" s="125"/>
      <c r="H92" s="299">
        <v>7</v>
      </c>
      <c r="I92" s="299">
        <v>24</v>
      </c>
      <c r="J92" s="59"/>
      <c r="K92" s="59"/>
      <c r="L92" s="59"/>
      <c r="M92" s="59"/>
      <c r="N92" s="59"/>
      <c r="O92" s="59"/>
      <c r="P92" s="59"/>
      <c r="Q92" s="59"/>
      <c r="R92" s="59"/>
      <c r="S92" s="59"/>
      <c r="T92" s="59"/>
      <c r="U92" s="59"/>
      <c r="V92" s="59"/>
      <c r="W92" s="59"/>
      <c r="X92" s="693"/>
      <c r="Y92" s="59"/>
      <c r="Z92" s="302"/>
      <c r="AA92" t="s" s="303">
        <v>229</v>
      </c>
      <c r="AB92" s="299">
        <v>10.6</v>
      </c>
      <c r="AC92" s="59"/>
      <c r="AD92" s="59"/>
    </row>
    <row r="93" ht="13.55" customHeight="1">
      <c r="A93" s="60"/>
      <c r="B93" s="57"/>
      <c r="C93" t="s" s="727">
        <v>229</v>
      </c>
      <c r="D93" s="299">
        <v>12.14</v>
      </c>
      <c r="E93" s="298">
        <v>0</v>
      </c>
      <c r="F93" s="59"/>
      <c r="G93" s="125"/>
      <c r="H93" s="299">
        <v>7</v>
      </c>
      <c r="I93" s="299">
        <v>24</v>
      </c>
      <c r="J93" s="59"/>
      <c r="K93" s="59"/>
      <c r="L93" s="59"/>
      <c r="M93" s="59"/>
      <c r="N93" s="59"/>
      <c r="O93" s="59"/>
      <c r="P93" s="59"/>
      <c r="Q93" s="59"/>
      <c r="R93" s="59"/>
      <c r="S93" s="59"/>
      <c r="T93" s="59"/>
      <c r="U93" s="59"/>
      <c r="V93" s="59"/>
      <c r="W93" s="59"/>
      <c r="X93" s="693"/>
      <c r="Y93" s="59"/>
      <c r="Z93" s="302"/>
      <c r="AA93" t="s" s="303">
        <v>357</v>
      </c>
      <c r="AB93" s="299">
        <v>0.1</v>
      </c>
      <c r="AC93" s="59"/>
      <c r="AD93" s="59"/>
    </row>
    <row r="94" ht="13.55" customHeight="1">
      <c r="A94" s="60"/>
      <c r="B94" s="57"/>
      <c r="C94" t="s" s="727">
        <v>357</v>
      </c>
      <c r="D94" s="299">
        <v>0.47</v>
      </c>
      <c r="E94" s="298">
        <v>0</v>
      </c>
      <c r="F94" s="59"/>
      <c r="G94" s="125"/>
      <c r="H94" s="299">
        <v>7</v>
      </c>
      <c r="I94" s="299">
        <v>24</v>
      </c>
      <c r="J94" s="59"/>
      <c r="K94" s="59"/>
      <c r="L94" s="59"/>
      <c r="M94" s="59"/>
      <c r="N94" s="59"/>
      <c r="O94" s="59"/>
      <c r="P94" s="59"/>
      <c r="Q94" s="59"/>
      <c r="R94" s="59"/>
      <c r="S94" s="59"/>
      <c r="T94" s="59"/>
      <c r="U94" s="59"/>
      <c r="V94" s="59"/>
      <c r="W94" s="59"/>
      <c r="X94" s="693"/>
      <c r="Y94" s="59"/>
      <c r="Z94" s="302"/>
      <c r="AA94" t="s" s="303">
        <v>337</v>
      </c>
      <c r="AB94" s="299">
        <v>0.6</v>
      </c>
      <c r="AC94" s="59"/>
      <c r="AD94" s="59"/>
    </row>
    <row r="95" ht="54.4" customHeight="1">
      <c r="A95" s="60"/>
      <c r="B95" s="57"/>
      <c r="C95" t="s" s="727">
        <v>337</v>
      </c>
      <c r="D95" s="299">
        <v>0.84</v>
      </c>
      <c r="E95" s="298">
        <v>0</v>
      </c>
      <c r="F95" s="59"/>
      <c r="G95" s="125"/>
      <c r="H95" s="299">
        <v>7</v>
      </c>
      <c r="I95" s="299">
        <v>24</v>
      </c>
      <c r="J95" s="59"/>
      <c r="K95" s="59"/>
      <c r="L95" s="59"/>
      <c r="M95" s="59"/>
      <c r="N95" s="59"/>
      <c r="O95" s="59"/>
      <c r="P95" s="59"/>
      <c r="Q95" s="59"/>
      <c r="R95" s="59"/>
      <c r="S95" s="59"/>
      <c r="T95" s="59"/>
      <c r="U95" s="59"/>
      <c r="V95" s="59"/>
      <c r="W95" s="59"/>
      <c r="X95" s="693"/>
      <c r="Y95" s="59"/>
      <c r="Z95" s="302"/>
      <c r="AA95" t="s" s="303">
        <v>288</v>
      </c>
      <c r="AB95" s="299">
        <v>28.8</v>
      </c>
      <c r="AC95" s="59"/>
      <c r="AD95" s="59"/>
    </row>
    <row r="96" ht="13.55" customHeight="1">
      <c r="A96" s="60"/>
      <c r="B96" s="57"/>
      <c r="C96" t="s" s="727">
        <v>210</v>
      </c>
      <c r="D96" s="299">
        <v>0.05</v>
      </c>
      <c r="E96" s="298">
        <v>0</v>
      </c>
      <c r="F96" s="59"/>
      <c r="G96" s="125"/>
      <c r="H96" s="299">
        <v>7</v>
      </c>
      <c r="I96" s="299">
        <v>24</v>
      </c>
      <c r="J96" s="59"/>
      <c r="K96" s="59"/>
      <c r="L96" s="59"/>
      <c r="M96" s="59"/>
      <c r="N96" s="59"/>
      <c r="O96" s="59"/>
      <c r="P96" s="59"/>
      <c r="Q96" s="59"/>
      <c r="R96" s="59"/>
      <c r="S96" s="59"/>
      <c r="T96" s="59"/>
      <c r="U96" s="59"/>
      <c r="V96" s="59"/>
      <c r="W96" s="59"/>
      <c r="X96" s="693"/>
      <c r="Y96" s="59"/>
      <c r="Z96" s="59"/>
      <c r="AA96" s="59"/>
      <c r="AB96" s="59"/>
      <c r="AC96" s="59"/>
      <c r="AD96" s="59"/>
    </row>
    <row r="97" ht="25.4" customHeight="1">
      <c r="A97" s="60"/>
      <c r="B97" s="57"/>
      <c r="C97" t="s" s="727">
        <v>227</v>
      </c>
      <c r="D97" s="299">
        <v>0.019</v>
      </c>
      <c r="E97" s="298">
        <v>0</v>
      </c>
      <c r="F97" s="59"/>
      <c r="G97" s="125"/>
      <c r="H97" s="59"/>
      <c r="I97" s="59"/>
      <c r="J97" s="59"/>
      <c r="K97" s="59"/>
      <c r="L97" s="59"/>
      <c r="M97" s="59"/>
      <c r="N97" s="59"/>
      <c r="O97" s="59"/>
      <c r="P97" s="59"/>
      <c r="Q97" s="59"/>
      <c r="R97" s="59"/>
      <c r="S97" s="59"/>
      <c r="T97" s="59"/>
      <c r="U97" s="59"/>
      <c r="V97" s="59"/>
      <c r="W97" s="59"/>
      <c r="X97" s="693"/>
      <c r="Y97" s="59"/>
      <c r="Z97" s="59"/>
      <c r="AA97" s="59"/>
      <c r="AB97" s="59"/>
      <c r="AC97" s="59"/>
      <c r="AD97" s="59"/>
    </row>
    <row r="98" ht="13.55" customHeight="1">
      <c r="A98" s="60"/>
      <c r="B98" s="57"/>
      <c r="C98" t="s" s="727">
        <v>265</v>
      </c>
      <c r="D98" s="299">
        <v>0.39</v>
      </c>
      <c r="E98" s="298">
        <f>(60)/49.19</f>
        <v>1.21976011384428</v>
      </c>
      <c r="F98" t="s" s="303">
        <v>1942</v>
      </c>
      <c r="G98" s="345">
        <v>0.39</v>
      </c>
      <c r="H98" s="59"/>
      <c r="I98" s="59"/>
      <c r="J98" s="59"/>
      <c r="K98" s="59"/>
      <c r="L98" s="59"/>
      <c r="M98" s="59"/>
      <c r="N98" s="59"/>
      <c r="O98" s="59"/>
      <c r="P98" s="59"/>
      <c r="Q98" s="59"/>
      <c r="R98" s="59"/>
      <c r="S98" s="59"/>
      <c r="T98" s="59"/>
      <c r="U98" s="59"/>
      <c r="V98" s="59"/>
      <c r="W98" s="59"/>
      <c r="X98" s="59"/>
      <c r="Y98" s="59"/>
      <c r="Z98" s="59"/>
      <c r="AA98" s="59"/>
      <c r="AB98" s="59"/>
      <c r="AC98" s="59"/>
      <c r="AD98" s="59"/>
    </row>
    <row r="99" ht="13.55" customHeight="1">
      <c r="A99" s="60"/>
      <c r="B99" s="57"/>
      <c r="C99" t="s" s="727">
        <v>1873</v>
      </c>
      <c r="D99" s="299">
        <v>0.016</v>
      </c>
      <c r="E99" s="59"/>
      <c r="F99" s="59"/>
      <c r="G99" s="125"/>
      <c r="H99" s="299">
        <v>7</v>
      </c>
      <c r="I99" s="299">
        <v>24</v>
      </c>
      <c r="J99" s="59"/>
      <c r="K99" s="59"/>
      <c r="L99" s="59"/>
      <c r="M99" s="59"/>
      <c r="N99" s="59"/>
      <c r="O99" s="59"/>
      <c r="P99" s="59"/>
      <c r="Q99" s="59"/>
      <c r="R99" s="59"/>
      <c r="S99" s="59"/>
      <c r="T99" s="59"/>
      <c r="U99" s="59"/>
      <c r="V99" s="59"/>
      <c r="W99" s="59"/>
      <c r="X99" s="59"/>
      <c r="Y99" s="59"/>
      <c r="Z99" s="59"/>
      <c r="AA99" s="59"/>
      <c r="AB99" s="59"/>
      <c r="AC99" s="59"/>
      <c r="AD99" s="59"/>
    </row>
    <row r="100" ht="13.55" customHeight="1">
      <c r="A100" s="60"/>
      <c r="B100" s="57"/>
      <c r="C100" t="s" s="727">
        <v>437</v>
      </c>
      <c r="D100" s="299">
        <v>0.229</v>
      </c>
      <c r="E100" s="59"/>
      <c r="F100" s="59"/>
      <c r="G100" s="125"/>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row>
    <row r="101" ht="13.55" customHeight="1">
      <c r="A101" s="61"/>
      <c r="B101" s="62"/>
      <c r="C101" s="63"/>
      <c r="D101" s="64"/>
      <c r="E101" s="64"/>
      <c r="F101" s="64"/>
      <c r="G101" s="310"/>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row>
    <row r="102" ht="34" customHeight="1">
      <c r="A102" s="84">
        <v>10</v>
      </c>
      <c r="B102" t="s" s="85">
        <v>28</v>
      </c>
      <c r="C102" t="s" s="86">
        <v>200</v>
      </c>
      <c r="D102" s="380">
        <v>0.8</v>
      </c>
      <c r="E102" s="381">
        <f t="shared" si="30" ref="E102:E104">10.5/31.89</f>
        <v>0.329256820319849</v>
      </c>
      <c r="F102" t="s" s="377">
        <v>442</v>
      </c>
      <c r="G102" s="382">
        <v>0.13</v>
      </c>
      <c r="H102" t="s" s="377">
        <v>1943</v>
      </c>
      <c r="I102" t="s" s="377">
        <v>1944</v>
      </c>
      <c r="J102" t="s" s="383">
        <v>1945</v>
      </c>
      <c r="K102" t="s" s="383">
        <v>1946</v>
      </c>
      <c r="L102" t="s" s="377">
        <v>1947</v>
      </c>
      <c r="M102" s="380">
        <v>0.05</v>
      </c>
      <c r="N102" s="375">
        <v>1</v>
      </c>
      <c r="O102" t="s" s="385">
        <v>1948</v>
      </c>
      <c r="P102" t="s" s="377">
        <v>1949</v>
      </c>
      <c r="Q102" s="375">
        <v>2</v>
      </c>
      <c r="R102" t="s" s="481">
        <v>1950</v>
      </c>
      <c r="S102" s="375">
        <v>2</v>
      </c>
      <c r="T102" s="384"/>
      <c r="U102" s="375">
        <v>2</v>
      </c>
      <c r="V102" s="384"/>
      <c r="W102" s="375">
        <v>2</v>
      </c>
      <c r="X102" s="384"/>
      <c r="Y102" s="375">
        <v>1</v>
      </c>
      <c r="Z102" t="s" s="385">
        <v>1951</v>
      </c>
      <c r="AA102" t="s" s="377">
        <v>200</v>
      </c>
      <c r="AB102" s="380">
        <v>0.66</v>
      </c>
      <c r="AC102" s="384"/>
      <c r="AD102" t="s" s="383">
        <v>1952</v>
      </c>
    </row>
    <row r="103" ht="15" customHeight="1">
      <c r="A103" s="88"/>
      <c r="B103" s="89"/>
      <c r="C103" t="s" s="734">
        <v>230</v>
      </c>
      <c r="D103" s="390">
        <v>0.15</v>
      </c>
      <c r="E103" s="391">
        <f t="shared" si="30"/>
        <v>0.329256820319849</v>
      </c>
      <c r="F103" t="s" s="389">
        <v>442</v>
      </c>
      <c r="G103" s="392">
        <v>0.13</v>
      </c>
      <c r="H103" t="s" s="389">
        <v>1943</v>
      </c>
      <c r="I103" t="s" s="389">
        <v>444</v>
      </c>
      <c r="J103" t="s" s="389">
        <v>1953</v>
      </c>
      <c r="K103" s="91"/>
      <c r="L103" s="91"/>
      <c r="M103" s="91"/>
      <c r="N103" s="91"/>
      <c r="O103" s="394"/>
      <c r="P103" s="91"/>
      <c r="Q103" s="91"/>
      <c r="R103" s="91"/>
      <c r="S103" s="91"/>
      <c r="T103" s="91"/>
      <c r="U103" s="91"/>
      <c r="V103" s="91"/>
      <c r="W103" s="91"/>
      <c r="X103" s="91"/>
      <c r="Y103" s="91"/>
      <c r="Z103" s="394"/>
      <c r="AA103" t="s" s="389">
        <v>229</v>
      </c>
      <c r="AB103" s="390">
        <v>0.15</v>
      </c>
      <c r="AC103" t="s" s="389">
        <v>1954</v>
      </c>
      <c r="AD103" s="91"/>
    </row>
    <row r="104" ht="15" customHeight="1">
      <c r="A104" s="88"/>
      <c r="B104" s="89"/>
      <c r="C104" t="s" s="734">
        <v>229</v>
      </c>
      <c r="D104" s="390">
        <v>0.04</v>
      </c>
      <c r="E104" s="391">
        <f t="shared" si="30"/>
        <v>0.329256820319849</v>
      </c>
      <c r="F104" t="s" s="389">
        <v>442</v>
      </c>
      <c r="G104" s="392">
        <v>0.13</v>
      </c>
      <c r="H104" t="s" s="389">
        <v>1943</v>
      </c>
      <c r="I104" t="s" s="389">
        <v>444</v>
      </c>
      <c r="J104" s="91"/>
      <c r="K104" s="91"/>
      <c r="L104" s="91"/>
      <c r="M104" s="91"/>
      <c r="N104" s="91"/>
      <c r="O104" s="91"/>
      <c r="P104" s="91"/>
      <c r="Q104" s="91"/>
      <c r="R104" s="91"/>
      <c r="S104" s="91"/>
      <c r="T104" s="91"/>
      <c r="U104" s="91"/>
      <c r="V104" s="91"/>
      <c r="W104" s="91"/>
      <c r="X104" s="91"/>
      <c r="Y104" s="91"/>
      <c r="Z104" s="91"/>
      <c r="AA104" t="s" s="389">
        <v>337</v>
      </c>
      <c r="AB104" s="390">
        <v>0.01</v>
      </c>
      <c r="AC104" s="91"/>
      <c r="AD104" s="91"/>
    </row>
    <row r="105" ht="15" customHeight="1">
      <c r="A105" s="88"/>
      <c r="B105" s="89"/>
      <c r="C105" t="s" s="734">
        <v>357</v>
      </c>
      <c r="D105" s="390">
        <v>0.01</v>
      </c>
      <c r="E105" s="398">
        <v>0</v>
      </c>
      <c r="F105" s="91"/>
      <c r="G105" s="392"/>
      <c r="H105" t="s" s="389">
        <v>1943</v>
      </c>
      <c r="I105" t="s" s="389">
        <v>444</v>
      </c>
      <c r="J105" s="91"/>
      <c r="K105" s="91"/>
      <c r="L105" s="91"/>
      <c r="M105" s="91"/>
      <c r="N105" s="91"/>
      <c r="O105" s="91"/>
      <c r="P105" s="91"/>
      <c r="Q105" s="91"/>
      <c r="R105" s="91"/>
      <c r="S105" s="91"/>
      <c r="T105" s="91"/>
      <c r="U105" s="91"/>
      <c r="V105" s="91"/>
      <c r="W105" s="91"/>
      <c r="X105" s="91"/>
      <c r="Y105" s="91"/>
      <c r="Z105" s="91"/>
      <c r="AA105" t="s" s="389">
        <v>1955</v>
      </c>
      <c r="AB105" s="390">
        <v>0.18</v>
      </c>
      <c r="AC105" s="91"/>
      <c r="AD105" s="91"/>
    </row>
    <row r="106" ht="15" customHeight="1">
      <c r="A106" s="92"/>
      <c r="B106" s="89"/>
      <c r="C106" s="90"/>
      <c r="D106" s="91"/>
      <c r="E106" s="91"/>
      <c r="F106" s="91"/>
      <c r="G106" s="392"/>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row>
    <row r="107" ht="15" customHeight="1">
      <c r="A107" s="92"/>
      <c r="B107" s="89"/>
      <c r="C107" s="90"/>
      <c r="D107" s="91"/>
      <c r="E107" s="91"/>
      <c r="F107" s="91"/>
      <c r="G107" s="392"/>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row>
    <row r="108" ht="15" customHeight="1">
      <c r="A108" s="92"/>
      <c r="B108" s="89"/>
      <c r="C108" s="90"/>
      <c r="D108" s="91"/>
      <c r="E108" s="91"/>
      <c r="F108" s="91"/>
      <c r="G108" s="392"/>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row>
    <row r="109" ht="15" customHeight="1">
      <c r="A109" s="93"/>
      <c r="B109" s="94"/>
      <c r="C109" s="95"/>
      <c r="D109" s="96"/>
      <c r="E109" s="96"/>
      <c r="F109" s="96"/>
      <c r="G109" s="403"/>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row>
    <row r="110" ht="20.25" customHeight="1">
      <c r="A110" s="15">
        <v>11</v>
      </c>
      <c r="B110" t="s" s="97">
        <v>30</v>
      </c>
      <c r="C110" t="s" s="98">
        <v>200</v>
      </c>
      <c r="D110" s="166">
        <v>16.5</v>
      </c>
      <c r="E110" s="735">
        <f t="shared" si="33" ref="E110:E111">34.35/32.08</f>
        <v>1.07076059850374</v>
      </c>
      <c r="F110" t="s" s="407">
        <v>215</v>
      </c>
      <c r="G110" s="736">
        <v>0.32</v>
      </c>
      <c r="H110" s="166">
        <v>2</v>
      </c>
      <c r="I110" t="s" s="407">
        <v>1956</v>
      </c>
      <c r="J110" t="s" s="407">
        <v>1957</v>
      </c>
      <c r="K110" t="s" s="407">
        <v>1958</v>
      </c>
      <c r="L110" t="s" s="408">
        <v>1959</v>
      </c>
      <c r="M110" t="s" s="408">
        <v>1960</v>
      </c>
      <c r="N110" s="645">
        <v>2</v>
      </c>
      <c r="O110" s="410"/>
      <c r="P110" s="410"/>
      <c r="Q110" s="665">
        <v>1</v>
      </c>
      <c r="R110" t="s" s="170">
        <v>1961</v>
      </c>
      <c r="S110" s="645">
        <v>1</v>
      </c>
      <c r="T110" t="s" s="170">
        <v>1962</v>
      </c>
      <c r="U110" s="645">
        <v>2</v>
      </c>
      <c r="V110" s="410"/>
      <c r="W110" s="645">
        <v>2</v>
      </c>
      <c r="X110" s="410"/>
      <c r="Y110" s="645">
        <v>2</v>
      </c>
      <c r="Z110" s="410"/>
      <c r="AA110" t="s" s="407">
        <v>200</v>
      </c>
      <c r="AB110" s="166">
        <v>30</v>
      </c>
      <c r="AC110" t="s" s="407">
        <v>1957</v>
      </c>
      <c r="AD110" t="s" s="407">
        <v>1963</v>
      </c>
    </row>
    <row r="111" ht="15" customHeight="1">
      <c r="A111" s="19"/>
      <c r="B111" s="100"/>
      <c r="C111" t="s" s="220">
        <v>230</v>
      </c>
      <c r="D111" s="208">
        <v>11</v>
      </c>
      <c r="E111" s="210">
        <f t="shared" si="33"/>
        <v>1.07076059850374</v>
      </c>
      <c r="F111" t="s" s="209">
        <v>215</v>
      </c>
      <c r="G111" s="188">
        <v>0.32</v>
      </c>
      <c r="H111" s="208">
        <v>2</v>
      </c>
      <c r="I111" t="s" s="209">
        <v>1956</v>
      </c>
      <c r="J111" s="22"/>
      <c r="K111" s="22"/>
      <c r="L111" s="22"/>
      <c r="M111" s="22"/>
      <c r="N111" s="22"/>
      <c r="O111" s="22"/>
      <c r="P111" s="22"/>
      <c r="Q111" s="211"/>
      <c r="R111" s="211"/>
      <c r="S111" s="22"/>
      <c r="T111" s="211"/>
      <c r="U111" s="22"/>
      <c r="V111" s="22"/>
      <c r="W111" s="22"/>
      <c r="X111" s="22"/>
      <c r="Y111" s="22"/>
      <c r="Z111" s="22"/>
      <c r="AA111" t="s" s="209">
        <v>230</v>
      </c>
      <c r="AB111" s="208">
        <v>1.5</v>
      </c>
      <c r="AC111" s="22"/>
      <c r="AD111" s="22"/>
    </row>
    <row r="112" ht="15" customHeight="1">
      <c r="A112" s="19"/>
      <c r="B112" s="100"/>
      <c r="C112" t="s" s="220">
        <v>229</v>
      </c>
      <c r="D112" s="208">
        <v>3</v>
      </c>
      <c r="E112" s="183">
        <v>0</v>
      </c>
      <c r="F112" t="s" s="182">
        <v>498</v>
      </c>
      <c r="G112" s="181"/>
      <c r="H112" s="183">
        <v>5</v>
      </c>
      <c r="I112" t="s" s="182">
        <v>407</v>
      </c>
      <c r="J112" s="22"/>
      <c r="K112" s="22"/>
      <c r="L112" s="22"/>
      <c r="M112" s="22"/>
      <c r="N112" s="22"/>
      <c r="O112" s="22"/>
      <c r="P112" s="22"/>
      <c r="Q112" s="22"/>
      <c r="R112" s="211"/>
      <c r="S112" s="22"/>
      <c r="T112" s="211"/>
      <c r="U112" s="22"/>
      <c r="V112" s="22"/>
      <c r="W112" s="22"/>
      <c r="X112" s="22"/>
      <c r="Y112" s="22"/>
      <c r="Z112" s="22"/>
      <c r="AA112" t="s" s="209">
        <v>229</v>
      </c>
      <c r="AB112" s="208">
        <v>30</v>
      </c>
      <c r="AC112" s="22"/>
      <c r="AD112" s="22"/>
    </row>
    <row r="113" ht="15" customHeight="1">
      <c r="A113" s="19"/>
      <c r="B113" s="100"/>
      <c r="C113" t="s" s="220">
        <v>357</v>
      </c>
      <c r="D113" s="208">
        <v>10</v>
      </c>
      <c r="E113" t="s" s="182">
        <v>197</v>
      </c>
      <c r="F113" s="34"/>
      <c r="G113" s="181"/>
      <c r="H113" s="208">
        <v>7</v>
      </c>
      <c r="I113" s="183">
        <v>24</v>
      </c>
      <c r="J113" s="22"/>
      <c r="K113" s="22"/>
      <c r="L113" s="22"/>
      <c r="M113" s="22"/>
      <c r="N113" s="22"/>
      <c r="O113" s="22"/>
      <c r="P113" s="22"/>
      <c r="Q113" s="22"/>
      <c r="R113" s="211"/>
      <c r="S113" s="22"/>
      <c r="T113" s="211"/>
      <c r="U113" s="22"/>
      <c r="V113" s="22"/>
      <c r="W113" s="22"/>
      <c r="X113" s="22"/>
      <c r="Y113" s="22"/>
      <c r="Z113" s="22"/>
      <c r="AA113" t="s" s="209">
        <v>288</v>
      </c>
      <c r="AB113" s="208">
        <v>38.5</v>
      </c>
      <c r="AC113" s="22"/>
      <c r="AD113" s="22"/>
    </row>
    <row r="114" ht="15" customHeight="1">
      <c r="A114" s="19"/>
      <c r="B114" s="100"/>
      <c r="C114" t="s" s="220">
        <v>265</v>
      </c>
      <c r="D114" s="208">
        <v>18</v>
      </c>
      <c r="E114" s="210">
        <f>(5*1000)/32.08</f>
        <v>155.860349127182</v>
      </c>
      <c r="F114" t="s" s="209">
        <v>508</v>
      </c>
      <c r="G114" s="188"/>
      <c r="H114" s="208">
        <v>7</v>
      </c>
      <c r="I114" s="208">
        <v>8</v>
      </c>
      <c r="J114" s="22"/>
      <c r="K114" s="22"/>
      <c r="L114" s="22"/>
      <c r="M114" s="22"/>
      <c r="N114" s="22"/>
      <c r="O114" s="22"/>
      <c r="P114" s="22"/>
      <c r="Q114" s="22"/>
      <c r="R114" s="22"/>
      <c r="S114" s="22"/>
      <c r="T114" s="211"/>
      <c r="U114" s="22"/>
      <c r="V114" s="22"/>
      <c r="W114" s="22"/>
      <c r="X114" s="22"/>
      <c r="Y114" s="22"/>
      <c r="Z114" s="22"/>
      <c r="AA114" s="211"/>
      <c r="AB114" s="22"/>
      <c r="AC114" s="22"/>
      <c r="AD114" s="22"/>
    </row>
    <row r="115" ht="15" customHeight="1">
      <c r="A115" s="19"/>
      <c r="B115" s="100"/>
      <c r="C115" t="s" s="220">
        <v>435</v>
      </c>
      <c r="D115" s="208">
        <v>14</v>
      </c>
      <c r="E115" s="210">
        <f t="shared" si="36" ref="E115:E116">1000/32.08</f>
        <v>31.1720698254364</v>
      </c>
      <c r="F115" t="s" s="209">
        <v>508</v>
      </c>
      <c r="G115" s="188">
        <v>9.42</v>
      </c>
      <c r="H115" t="s" s="209">
        <v>407</v>
      </c>
      <c r="I115" t="s" s="209">
        <v>1964</v>
      </c>
      <c r="J115" s="22"/>
      <c r="K115" s="22"/>
      <c r="L115" s="22"/>
      <c r="M115" s="22"/>
      <c r="N115" s="22"/>
      <c r="O115" s="22"/>
      <c r="P115" s="22"/>
      <c r="Q115" s="22"/>
      <c r="R115" s="22"/>
      <c r="S115" s="22"/>
      <c r="T115" s="211"/>
      <c r="U115" s="22"/>
      <c r="V115" s="22"/>
      <c r="W115" s="22"/>
      <c r="X115" s="22"/>
      <c r="Y115" s="22"/>
      <c r="Z115" s="22"/>
      <c r="AA115" s="211"/>
      <c r="AB115" s="22"/>
      <c r="AC115" s="22"/>
      <c r="AD115" s="22"/>
    </row>
    <row r="116" ht="15" customHeight="1">
      <c r="A116" s="19"/>
      <c r="B116" s="100"/>
      <c r="C116" t="s" s="220">
        <v>226</v>
      </c>
      <c r="D116" s="208">
        <v>25</v>
      </c>
      <c r="E116" s="210">
        <f t="shared" si="36"/>
        <v>31.1720698254364</v>
      </c>
      <c r="F116" t="s" s="209">
        <v>508</v>
      </c>
      <c r="G116" s="188">
        <v>9.42</v>
      </c>
      <c r="H116" t="s" s="209">
        <v>407</v>
      </c>
      <c r="I116" t="s" s="209">
        <v>1964</v>
      </c>
      <c r="J116" s="22"/>
      <c r="K116" s="22"/>
      <c r="L116" s="22"/>
      <c r="M116" s="22"/>
      <c r="N116" s="22"/>
      <c r="O116" s="22"/>
      <c r="P116" s="22"/>
      <c r="Q116" s="22"/>
      <c r="R116" s="22"/>
      <c r="S116" s="22"/>
      <c r="T116" s="211"/>
      <c r="U116" s="22"/>
      <c r="V116" s="22"/>
      <c r="W116" s="22"/>
      <c r="X116" s="22"/>
      <c r="Y116" s="22"/>
      <c r="Z116" s="22"/>
      <c r="AA116" s="211"/>
      <c r="AB116" s="22"/>
      <c r="AC116" s="22"/>
      <c r="AD116" s="22"/>
    </row>
    <row r="117" ht="15" customHeight="1">
      <c r="A117" s="19"/>
      <c r="B117" s="100"/>
      <c r="C117" t="s" s="220">
        <v>414</v>
      </c>
      <c r="D117" s="208">
        <v>1.6</v>
      </c>
      <c r="E117" s="210">
        <f>1500/32.08</f>
        <v>46.7581047381546</v>
      </c>
      <c r="F117" t="s" s="209">
        <v>508</v>
      </c>
      <c r="G117" s="188">
        <v>14.13</v>
      </c>
      <c r="H117" t="s" s="209">
        <v>407</v>
      </c>
      <c r="I117" t="s" s="209">
        <v>1964</v>
      </c>
      <c r="J117" s="22"/>
      <c r="K117" s="22"/>
      <c r="L117" s="22"/>
      <c r="M117" s="22"/>
      <c r="N117" s="22"/>
      <c r="O117" s="22"/>
      <c r="P117" s="22"/>
      <c r="Q117" s="22"/>
      <c r="R117" s="22"/>
      <c r="S117" s="22"/>
      <c r="T117" s="22"/>
      <c r="U117" s="22"/>
      <c r="V117" s="22"/>
      <c r="W117" s="22"/>
      <c r="X117" s="22"/>
      <c r="Y117" s="22"/>
      <c r="Z117" s="22"/>
      <c r="AA117" s="22"/>
      <c r="AB117" s="22"/>
      <c r="AC117" s="22"/>
      <c r="AD117" s="22"/>
    </row>
    <row r="118" ht="15" customHeight="1">
      <c r="A118" s="23"/>
      <c r="B118" s="101"/>
      <c r="C118" t="s" s="712">
        <v>1965</v>
      </c>
      <c r="D118" s="737">
        <v>0.5</v>
      </c>
      <c r="E118" s="738">
        <f>(2.5*1000)/32.08</f>
        <v>77.930174563591</v>
      </c>
      <c r="F118" t="s" s="624">
        <v>508</v>
      </c>
      <c r="G118" s="205"/>
      <c r="H118" t="s" s="624">
        <v>1964</v>
      </c>
      <c r="I118" t="s" s="624">
        <v>1964</v>
      </c>
      <c r="J118" s="26"/>
      <c r="K118" s="26"/>
      <c r="L118" s="26"/>
      <c r="M118" s="26"/>
      <c r="N118" s="26"/>
      <c r="O118" s="26"/>
      <c r="P118" s="26"/>
      <c r="Q118" s="26"/>
      <c r="R118" s="26"/>
      <c r="S118" s="26"/>
      <c r="T118" s="26"/>
      <c r="U118" s="26"/>
      <c r="V118" s="26"/>
      <c r="W118" s="26"/>
      <c r="X118" s="26"/>
      <c r="Y118" s="26"/>
      <c r="Z118" s="26"/>
      <c r="AA118" s="26"/>
      <c r="AB118" s="26"/>
      <c r="AC118" s="26"/>
      <c r="AD118" s="26"/>
    </row>
    <row r="119" ht="51" customHeight="1">
      <c r="A119" s="15">
        <v>12</v>
      </c>
      <c r="B119" t="s" s="102">
        <v>32</v>
      </c>
      <c r="C119" t="s" s="739">
        <v>200</v>
      </c>
      <c r="D119" s="740">
        <v>15</v>
      </c>
      <c r="E119" s="435">
        <f>2716/1185.8</f>
        <v>2.29043683589138</v>
      </c>
      <c r="F119" t="s" s="431">
        <v>215</v>
      </c>
      <c r="G119" s="436">
        <v>0.75</v>
      </c>
      <c r="H119" s="741">
        <v>7</v>
      </c>
      <c r="I119" s="740">
        <v>8</v>
      </c>
      <c r="J119" t="s" s="430">
        <v>1357</v>
      </c>
      <c r="K119" t="s" s="431">
        <v>1358</v>
      </c>
      <c r="L119" t="s" s="430">
        <v>1966</v>
      </c>
      <c r="M119" t="s" s="430">
        <v>1967</v>
      </c>
      <c r="N119" s="429">
        <v>2</v>
      </c>
      <c r="O119" t="s" s="430">
        <v>306</v>
      </c>
      <c r="P119" t="s" s="430">
        <v>306</v>
      </c>
      <c r="Q119" s="429">
        <v>2</v>
      </c>
      <c r="R119" t="s" s="431">
        <v>1968</v>
      </c>
      <c r="S119" s="429">
        <v>2</v>
      </c>
      <c r="T119" t="s" s="430">
        <v>197</v>
      </c>
      <c r="U119" s="429">
        <v>2</v>
      </c>
      <c r="V119" t="s" s="430">
        <v>197</v>
      </c>
      <c r="W119" s="429">
        <v>1</v>
      </c>
      <c r="X119" t="s" s="432">
        <v>1343</v>
      </c>
      <c r="Y119" s="429">
        <v>1</v>
      </c>
      <c r="Z119" t="s" s="430">
        <v>1969</v>
      </c>
      <c r="AA119" t="s" s="742">
        <v>200</v>
      </c>
      <c r="AB119" s="429">
        <v>80</v>
      </c>
      <c r="AC119" s="438"/>
      <c r="AD119" t="s" s="430">
        <v>1970</v>
      </c>
    </row>
    <row r="120" ht="15" customHeight="1">
      <c r="A120" s="19"/>
      <c r="B120" s="105"/>
      <c r="C120" t="s" s="743">
        <v>229</v>
      </c>
      <c r="D120" s="744">
        <v>70</v>
      </c>
      <c r="E120" s="452">
        <f>((200*50)/1185.8)</f>
        <v>8.433125316242201</v>
      </c>
      <c r="F120" t="s" s="462">
        <v>406</v>
      </c>
      <c r="G120" s="745">
        <v>2.75</v>
      </c>
      <c r="H120" s="746">
        <v>7</v>
      </c>
      <c r="I120" s="744">
        <v>8</v>
      </c>
      <c r="J120" s="107"/>
      <c r="K120" s="107"/>
      <c r="L120" s="107"/>
      <c r="M120" s="107"/>
      <c r="N120" s="107"/>
      <c r="O120" s="107"/>
      <c r="P120" s="107"/>
      <c r="Q120" s="107"/>
      <c r="R120" s="107"/>
      <c r="S120" s="107"/>
      <c r="T120" s="107"/>
      <c r="U120" s="107"/>
      <c r="V120" s="107"/>
      <c r="W120" s="107"/>
      <c r="X120" s="454"/>
      <c r="Y120" s="107"/>
      <c r="Z120" s="107"/>
      <c r="AA120" t="s" s="747">
        <v>518</v>
      </c>
      <c r="AB120" s="744">
        <v>20</v>
      </c>
      <c r="AC120" s="107"/>
      <c r="AD120" s="107"/>
    </row>
    <row r="121" ht="15" customHeight="1">
      <c r="A121" s="19"/>
      <c r="B121" s="105"/>
      <c r="C121" t="s" s="743">
        <v>262</v>
      </c>
      <c r="D121" s="744">
        <v>10</v>
      </c>
      <c r="E121" s="457">
        <v>0</v>
      </c>
      <c r="F121" s="748"/>
      <c r="G121" s="749"/>
      <c r="H121" s="750">
        <v>7</v>
      </c>
      <c r="I121" s="744">
        <v>24</v>
      </c>
      <c r="J121" s="107"/>
      <c r="K121" s="107"/>
      <c r="L121" s="107"/>
      <c r="M121" s="107"/>
      <c r="N121" s="107"/>
      <c r="O121" s="107"/>
      <c r="P121" s="107"/>
      <c r="Q121" s="107"/>
      <c r="R121" s="107"/>
      <c r="S121" s="107"/>
      <c r="T121" s="107"/>
      <c r="U121" s="107"/>
      <c r="V121" s="107"/>
      <c r="W121" s="107"/>
      <c r="X121" s="454"/>
      <c r="Y121" s="107"/>
      <c r="Z121" s="107"/>
      <c r="AA121" s="107"/>
      <c r="AB121" s="107"/>
      <c r="AC121" s="107"/>
      <c r="AD121" s="107"/>
    </row>
    <row r="122" ht="15" customHeight="1">
      <c r="A122" s="19"/>
      <c r="B122" s="105"/>
      <c r="C122" t="s" s="743">
        <v>227</v>
      </c>
      <c r="D122" t="s" s="531">
        <v>1971</v>
      </c>
      <c r="E122" s="457">
        <v>0</v>
      </c>
      <c r="F122" s="748"/>
      <c r="G122" s="749"/>
      <c r="H122" t="s" s="751">
        <v>374</v>
      </c>
      <c r="I122" t="s" s="747">
        <v>374</v>
      </c>
      <c r="J122" s="107"/>
      <c r="K122" s="107"/>
      <c r="L122" s="107"/>
      <c r="M122" s="107"/>
      <c r="N122" s="107"/>
      <c r="O122" s="107"/>
      <c r="P122" s="107"/>
      <c r="Q122" s="107"/>
      <c r="R122" s="107"/>
      <c r="S122" s="107"/>
      <c r="T122" s="107"/>
      <c r="U122" s="107"/>
      <c r="V122" s="107"/>
      <c r="W122" s="107"/>
      <c r="X122" s="454"/>
      <c r="Y122" s="107"/>
      <c r="Z122" s="107"/>
      <c r="AA122" s="107"/>
      <c r="AB122" s="107"/>
      <c r="AC122" s="107"/>
      <c r="AD122" s="107"/>
    </row>
    <row r="123" ht="15" customHeight="1">
      <c r="A123" s="19"/>
      <c r="B123" s="105"/>
      <c r="C123" s="106"/>
      <c r="D123" s="107"/>
      <c r="E123" s="107"/>
      <c r="F123" s="107"/>
      <c r="G123" s="463"/>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row>
    <row r="124" ht="15" customHeight="1">
      <c r="A124" s="19"/>
      <c r="B124" s="105"/>
      <c r="C124" s="106"/>
      <c r="D124" s="107"/>
      <c r="E124" s="107"/>
      <c r="F124" s="107"/>
      <c r="G124" s="463"/>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row>
    <row r="125" ht="15" customHeight="1">
      <c r="A125" s="23"/>
      <c r="B125" s="108"/>
      <c r="C125" s="109"/>
      <c r="D125" s="110"/>
      <c r="E125" s="110"/>
      <c r="F125" s="110"/>
      <c r="G125" s="471"/>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row>
    <row r="126" ht="48.75" customHeight="1">
      <c r="A126" s="15">
        <v>13</v>
      </c>
      <c r="B126" t="s" s="111">
        <v>34</v>
      </c>
      <c r="C126" t="s" s="54">
        <v>200</v>
      </c>
      <c r="D126" s="285">
        <v>11</v>
      </c>
      <c r="E126" t="s" s="479">
        <v>1972</v>
      </c>
      <c r="F126" t="s" s="479">
        <v>406</v>
      </c>
      <c r="G126" s="480">
        <v>0.16</v>
      </c>
      <c r="H126" t="s" s="483">
        <v>1973</v>
      </c>
      <c r="I126" t="s" s="483">
        <v>1973</v>
      </c>
      <c r="J126" t="s" s="83">
        <v>1974</v>
      </c>
      <c r="K126" s="123"/>
      <c r="L126" t="s" s="476">
        <v>1975</v>
      </c>
      <c r="M126" t="s" s="484">
        <v>1976</v>
      </c>
      <c r="N126" s="285">
        <v>2</v>
      </c>
      <c r="O126" s="123"/>
      <c r="P126" s="123"/>
      <c r="Q126" s="285">
        <v>2</v>
      </c>
      <c r="R126" t="s" s="483">
        <v>1977</v>
      </c>
      <c r="S126" s="285">
        <v>1</v>
      </c>
      <c r="T126" t="s" s="635">
        <v>1978</v>
      </c>
      <c r="U126" s="285">
        <v>2</v>
      </c>
      <c r="V126" s="123"/>
      <c r="W126" s="285">
        <v>1</v>
      </c>
      <c r="X126" s="123"/>
      <c r="Y126" s="285">
        <v>1</v>
      </c>
      <c r="Z126" s="123"/>
      <c r="AA126" t="s" s="82">
        <v>200</v>
      </c>
      <c r="AB126" s="285">
        <v>56</v>
      </c>
      <c r="AC126" t="s" s="112">
        <v>536</v>
      </c>
      <c r="AD126" s="123"/>
    </row>
    <row r="127" ht="38.25" customHeight="1">
      <c r="A127" s="19"/>
      <c r="B127" s="113"/>
      <c r="C127" t="s" s="727">
        <v>230</v>
      </c>
      <c r="D127" s="299">
        <v>4</v>
      </c>
      <c r="E127" t="s" s="389">
        <v>1979</v>
      </c>
      <c r="F127" s="59"/>
      <c r="G127" s="125"/>
      <c r="H127" t="s" s="514">
        <v>1973</v>
      </c>
      <c r="I127" t="s" s="514">
        <v>1973</v>
      </c>
      <c r="J127" s="59"/>
      <c r="K127" s="59"/>
      <c r="L127" s="59"/>
      <c r="M127" s="491"/>
      <c r="N127" s="59"/>
      <c r="O127" s="59"/>
      <c r="P127" s="59"/>
      <c r="Q127" s="59"/>
      <c r="R127" s="59"/>
      <c r="S127" s="59"/>
      <c r="T127" s="465"/>
      <c r="U127" s="59"/>
      <c r="V127" s="59"/>
      <c r="W127" s="59"/>
      <c r="X127" s="59"/>
      <c r="Y127" s="59"/>
      <c r="Z127" s="59"/>
      <c r="AA127" t="s" s="303">
        <v>230</v>
      </c>
      <c r="AB127" s="299">
        <v>21</v>
      </c>
      <c r="AC127" s="59"/>
      <c r="AD127" s="59"/>
    </row>
    <row r="128" ht="15" customHeight="1">
      <c r="A128" s="19"/>
      <c r="B128" s="113"/>
      <c r="C128" t="s" s="727">
        <v>229</v>
      </c>
      <c r="D128" s="299">
        <v>4</v>
      </c>
      <c r="E128" s="299">
        <v>0</v>
      </c>
      <c r="F128" s="59"/>
      <c r="G128" s="125"/>
      <c r="H128" s="299">
        <v>4</v>
      </c>
      <c r="I128" s="299">
        <v>6</v>
      </c>
      <c r="J128" s="59"/>
      <c r="K128" s="59"/>
      <c r="L128" s="59"/>
      <c r="M128" s="59"/>
      <c r="N128" s="59"/>
      <c r="O128" s="59"/>
      <c r="P128" s="59"/>
      <c r="Q128" s="59"/>
      <c r="R128" s="59"/>
      <c r="S128" s="59"/>
      <c r="T128" s="465"/>
      <c r="U128" s="59"/>
      <c r="V128" s="59"/>
      <c r="W128" s="59"/>
      <c r="X128" s="59"/>
      <c r="Y128" s="59"/>
      <c r="Z128" s="59"/>
      <c r="AA128" t="s" s="303">
        <v>229</v>
      </c>
      <c r="AB128" s="299">
        <v>7</v>
      </c>
      <c r="AC128" s="59"/>
      <c r="AD128" s="59"/>
    </row>
    <row r="129" ht="15" customHeight="1">
      <c r="A129" s="19"/>
      <c r="B129" s="113"/>
      <c r="C129" t="s" s="727">
        <v>357</v>
      </c>
      <c r="D129" s="299">
        <v>58</v>
      </c>
      <c r="E129" s="299">
        <v>0</v>
      </c>
      <c r="F129" s="59"/>
      <c r="G129" s="125"/>
      <c r="H129" s="299">
        <v>7</v>
      </c>
      <c r="I129" s="299">
        <v>6</v>
      </c>
      <c r="J129" s="59"/>
      <c r="K129" s="59"/>
      <c r="L129" s="59"/>
      <c r="M129" s="59"/>
      <c r="N129" s="59"/>
      <c r="O129" s="59"/>
      <c r="P129" s="59"/>
      <c r="Q129" s="59"/>
      <c r="R129" s="59"/>
      <c r="S129" s="59"/>
      <c r="T129" s="59"/>
      <c r="U129" s="59"/>
      <c r="V129" s="59"/>
      <c r="W129" s="59"/>
      <c r="X129" s="59"/>
      <c r="Y129" s="59"/>
      <c r="Z129" s="59"/>
      <c r="AA129" t="s" s="303">
        <v>337</v>
      </c>
      <c r="AB129" s="299">
        <v>13</v>
      </c>
      <c r="AC129" s="59"/>
      <c r="AD129" s="59"/>
    </row>
    <row r="130" ht="15" customHeight="1">
      <c r="A130" s="19"/>
      <c r="B130" s="113"/>
      <c r="C130" t="s" s="727">
        <v>337</v>
      </c>
      <c r="D130" s="299">
        <v>6</v>
      </c>
      <c r="E130" s="299">
        <v>0</v>
      </c>
      <c r="F130" s="59"/>
      <c r="G130" s="125"/>
      <c r="H130" s="299">
        <v>7</v>
      </c>
      <c r="I130" s="299">
        <v>24</v>
      </c>
      <c r="J130" s="59"/>
      <c r="K130" s="59"/>
      <c r="L130" s="59"/>
      <c r="M130" s="59"/>
      <c r="N130" s="59"/>
      <c r="O130" s="59"/>
      <c r="P130" s="59"/>
      <c r="Q130" s="59"/>
      <c r="R130" s="59"/>
      <c r="S130" s="59"/>
      <c r="T130" s="59"/>
      <c r="U130" s="59"/>
      <c r="V130" s="59"/>
      <c r="W130" s="59"/>
      <c r="X130" s="59"/>
      <c r="Y130" s="59"/>
      <c r="Z130" s="59"/>
      <c r="AA130" t="s" s="303">
        <v>288</v>
      </c>
      <c r="AB130" s="299">
        <v>3</v>
      </c>
      <c r="AC130" s="59"/>
      <c r="AD130" s="59"/>
    </row>
    <row r="131" ht="15" customHeight="1">
      <c r="A131" s="19"/>
      <c r="B131" s="113"/>
      <c r="C131" t="s" s="727">
        <v>210</v>
      </c>
      <c r="D131" s="299">
        <v>3</v>
      </c>
      <c r="E131" s="299">
        <v>0</v>
      </c>
      <c r="F131" s="59"/>
      <c r="G131" s="125"/>
      <c r="H131" s="299">
        <v>7</v>
      </c>
      <c r="I131" s="299">
        <v>24</v>
      </c>
      <c r="J131" s="59"/>
      <c r="K131" s="59"/>
      <c r="L131" s="59"/>
      <c r="M131" s="59"/>
      <c r="N131" s="59"/>
      <c r="O131" s="59"/>
      <c r="P131" s="59"/>
      <c r="Q131" s="59"/>
      <c r="R131" s="59"/>
      <c r="S131" s="59"/>
      <c r="T131" s="59"/>
      <c r="U131" s="59"/>
      <c r="V131" s="59"/>
      <c r="W131" s="59"/>
      <c r="X131" s="59"/>
      <c r="Y131" s="59"/>
      <c r="Z131" s="59"/>
      <c r="AA131" s="59"/>
      <c r="AB131" s="59"/>
      <c r="AC131" s="59"/>
      <c r="AD131" s="59"/>
    </row>
    <row r="132" ht="15" customHeight="1">
      <c r="A132" s="19"/>
      <c r="B132" s="113"/>
      <c r="C132" t="s" s="727">
        <v>1980</v>
      </c>
      <c r="D132" s="752">
        <v>1</v>
      </c>
      <c r="E132" s="753">
        <f>(70)/123.66</f>
        <v>0.566068251657771</v>
      </c>
      <c r="F132" t="s" s="462">
        <v>226</v>
      </c>
      <c r="G132" s="745">
        <v>0.21</v>
      </c>
      <c r="H132" s="299">
        <v>7</v>
      </c>
      <c r="I132" s="299">
        <v>12</v>
      </c>
      <c r="J132" s="59"/>
      <c r="K132" s="59"/>
      <c r="L132" s="59"/>
      <c r="M132" s="59"/>
      <c r="N132" s="59"/>
      <c r="O132" s="59"/>
      <c r="P132" s="59"/>
      <c r="Q132" s="59"/>
      <c r="R132" s="59"/>
      <c r="S132" s="59"/>
      <c r="T132" s="59"/>
      <c r="U132" s="59"/>
      <c r="V132" s="59"/>
      <c r="W132" s="59"/>
      <c r="X132" s="59"/>
      <c r="Y132" s="59"/>
      <c r="Z132" s="59"/>
      <c r="AA132" s="59"/>
      <c r="AB132" s="59"/>
      <c r="AC132" s="59"/>
      <c r="AD132" s="59"/>
    </row>
    <row r="133" ht="15" customHeight="1">
      <c r="A133" s="19"/>
      <c r="B133" s="113"/>
      <c r="C133" t="s" s="727">
        <v>1981</v>
      </c>
      <c r="D133" s="297"/>
      <c r="E133" s="298">
        <f>(20)/123.66</f>
        <v>0.161733786187935</v>
      </c>
      <c r="F133" t="s" s="303">
        <v>226</v>
      </c>
      <c r="G133" s="125"/>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row>
    <row r="134" ht="15" customHeight="1">
      <c r="A134" s="19"/>
      <c r="B134" s="113"/>
      <c r="C134" t="s" s="727">
        <v>226</v>
      </c>
      <c r="D134" s="299">
        <v>2</v>
      </c>
      <c r="E134" s="298">
        <f>(0.73*1000)/123.66</f>
        <v>5.90328319585962</v>
      </c>
      <c r="F134" t="s" s="303">
        <v>406</v>
      </c>
      <c r="G134" s="345">
        <v>2.17</v>
      </c>
      <c r="H134" s="299">
        <v>6</v>
      </c>
      <c r="I134" s="299">
        <v>8</v>
      </c>
      <c r="J134" s="59"/>
      <c r="K134" s="59"/>
      <c r="L134" s="59"/>
      <c r="M134" s="59"/>
      <c r="N134" s="59"/>
      <c r="O134" s="59"/>
      <c r="P134" s="59"/>
      <c r="Q134" s="59"/>
      <c r="R134" s="59"/>
      <c r="S134" s="59"/>
      <c r="T134" s="59"/>
      <c r="U134" s="59"/>
      <c r="V134" s="59"/>
      <c r="W134" s="59"/>
      <c r="X134" s="59"/>
      <c r="Y134" s="59"/>
      <c r="Z134" s="59"/>
      <c r="AA134" s="59"/>
      <c r="AB134" s="59"/>
      <c r="AC134" s="59"/>
      <c r="AD134" s="59"/>
    </row>
    <row r="135" ht="15" customHeight="1">
      <c r="A135" s="19"/>
      <c r="B135" s="113"/>
      <c r="C135" t="s" s="727">
        <v>414</v>
      </c>
      <c r="D135" s="299">
        <v>9</v>
      </c>
      <c r="E135" s="489">
        <f>(2*1000)/123.66</f>
        <v>16.1733786187935</v>
      </c>
      <c r="F135" t="s" s="247">
        <v>406</v>
      </c>
      <c r="G135" s="754">
        <v>6</v>
      </c>
      <c r="H135" s="299">
        <v>6</v>
      </c>
      <c r="I135" s="299">
        <v>6</v>
      </c>
      <c r="J135" s="59"/>
      <c r="K135" s="59"/>
      <c r="L135" s="59"/>
      <c r="M135" s="59"/>
      <c r="N135" s="59"/>
      <c r="O135" s="59"/>
      <c r="P135" s="59"/>
      <c r="Q135" s="59"/>
      <c r="R135" s="59"/>
      <c r="S135" s="59"/>
      <c r="T135" s="59"/>
      <c r="U135" s="59"/>
      <c r="V135" s="59"/>
      <c r="W135" s="59"/>
      <c r="X135" s="59"/>
      <c r="Y135" s="59"/>
      <c r="Z135" s="59"/>
      <c r="AA135" s="59"/>
      <c r="AB135" s="59"/>
      <c r="AC135" s="59"/>
      <c r="AD135" s="59"/>
    </row>
    <row r="136" ht="15" customHeight="1">
      <c r="A136" s="23"/>
      <c r="B136" s="114"/>
      <c r="C136" t="s" s="755">
        <v>1982</v>
      </c>
      <c r="D136" s="756">
        <v>2</v>
      </c>
      <c r="E136" s="757">
        <v>0</v>
      </c>
      <c r="F136" s="64"/>
      <c r="G136" s="3"/>
      <c r="H136" t="s" s="758">
        <v>374</v>
      </c>
      <c r="I136" t="s" s="758">
        <v>374</v>
      </c>
      <c r="J136" s="64"/>
      <c r="K136" s="64"/>
      <c r="L136" s="64"/>
      <c r="M136" s="64"/>
      <c r="N136" s="64"/>
      <c r="O136" s="64"/>
      <c r="P136" s="64"/>
      <c r="Q136" s="64"/>
      <c r="R136" s="64"/>
      <c r="S136" s="64"/>
      <c r="T136" s="64"/>
      <c r="U136" s="64"/>
      <c r="V136" s="64"/>
      <c r="W136" s="64"/>
      <c r="X136" s="64"/>
      <c r="Y136" s="64"/>
      <c r="Z136" s="64"/>
      <c r="AA136" s="64"/>
      <c r="AB136" s="64"/>
      <c r="AC136" s="64"/>
      <c r="AD136" s="64"/>
    </row>
    <row r="137" ht="15" customHeight="1">
      <c r="A137" s="15">
        <v>14</v>
      </c>
      <c r="B137" t="s" s="115">
        <v>38</v>
      </c>
      <c r="C137" t="s" s="17">
        <v>200</v>
      </c>
      <c r="D137" s="166">
        <v>29</v>
      </c>
      <c r="E137" s="199">
        <f>39.8/19.83</f>
        <v>2.00706001008573</v>
      </c>
      <c r="F137" t="s" s="18">
        <v>215</v>
      </c>
      <c r="G137" s="312">
        <v>0.66</v>
      </c>
      <c r="H137" s="166">
        <v>7</v>
      </c>
      <c r="I137" s="166">
        <v>10</v>
      </c>
      <c r="J137" t="s" s="18">
        <v>1983</v>
      </c>
      <c r="K137" t="s" s="18">
        <v>1984</v>
      </c>
      <c r="L137" t="s" s="18">
        <v>1985</v>
      </c>
      <c r="M137" s="559">
        <v>0.03</v>
      </c>
      <c r="N137" s="166">
        <v>2</v>
      </c>
      <c r="O137" s="169"/>
      <c r="P137" s="169"/>
      <c r="Q137" s="166">
        <v>2</v>
      </c>
      <c r="R137" t="s" s="170">
        <v>1986</v>
      </c>
      <c r="S137" s="166">
        <v>2</v>
      </c>
      <c r="T137" s="169"/>
      <c r="U137" s="166">
        <v>2</v>
      </c>
      <c r="V137" s="169"/>
      <c r="W137" s="166">
        <v>1</v>
      </c>
      <c r="X137" t="s" s="170">
        <v>1420</v>
      </c>
      <c r="Y137" s="166">
        <v>1</v>
      </c>
      <c r="Z137" t="s" s="170">
        <v>1421</v>
      </c>
      <c r="AA137" t="s" s="18">
        <v>200</v>
      </c>
      <c r="AB137" s="166">
        <v>75</v>
      </c>
      <c r="AC137" t="s" s="18">
        <v>1670</v>
      </c>
      <c r="AD137" t="s" s="18">
        <v>1987</v>
      </c>
    </row>
    <row r="138" ht="15" customHeight="1">
      <c r="A138" s="19"/>
      <c r="B138" s="116"/>
      <c r="C138" t="s" s="220">
        <v>230</v>
      </c>
      <c r="D138" s="208">
        <v>29</v>
      </c>
      <c r="E138" s="210">
        <f>27.4/19.83</f>
        <v>1.38174483106404</v>
      </c>
      <c r="F138" t="s" s="209">
        <v>215</v>
      </c>
      <c r="G138" s="188">
        <v>0.43</v>
      </c>
      <c r="H138" s="22"/>
      <c r="I138" s="22"/>
      <c r="J138" s="22"/>
      <c r="K138" s="22"/>
      <c r="L138" s="22"/>
      <c r="M138" s="22"/>
      <c r="N138" s="22"/>
      <c r="O138" s="22"/>
      <c r="P138" s="22"/>
      <c r="Q138" s="22"/>
      <c r="R138" s="211"/>
      <c r="S138" s="22"/>
      <c r="T138" s="22"/>
      <c r="U138" s="22"/>
      <c r="V138" s="22"/>
      <c r="W138" s="22"/>
      <c r="X138" s="211"/>
      <c r="Y138" s="22"/>
      <c r="Z138" s="211"/>
      <c r="AA138" t="s" s="209">
        <v>230</v>
      </c>
      <c r="AB138" s="208">
        <v>5</v>
      </c>
      <c r="AC138" s="22"/>
      <c r="AD138" s="22"/>
    </row>
    <row r="139" ht="15" customHeight="1">
      <c r="A139" s="19"/>
      <c r="B139" s="116"/>
      <c r="C139" t="s" s="220">
        <v>357</v>
      </c>
      <c r="D139" s="208">
        <v>30</v>
      </c>
      <c r="E139" s="210">
        <f>40/19.83</f>
        <v>2.01714573877963</v>
      </c>
      <c r="F139" t="s" s="209">
        <v>215</v>
      </c>
      <c r="G139" s="188">
        <v>0.62</v>
      </c>
      <c r="H139" s="208">
        <v>7</v>
      </c>
      <c r="I139" t="s" s="209">
        <v>1988</v>
      </c>
      <c r="J139" s="22"/>
      <c r="K139" s="22"/>
      <c r="L139" s="22"/>
      <c r="M139" s="22"/>
      <c r="N139" s="22"/>
      <c r="O139" s="22"/>
      <c r="P139" s="22"/>
      <c r="Q139" s="22"/>
      <c r="R139" s="22"/>
      <c r="S139" s="22"/>
      <c r="T139" s="22"/>
      <c r="U139" s="22"/>
      <c r="V139" s="22"/>
      <c r="W139" s="22"/>
      <c r="X139" s="211"/>
      <c r="Y139" s="22"/>
      <c r="Z139" s="22"/>
      <c r="AA139" t="s" s="209">
        <v>229</v>
      </c>
      <c r="AB139" s="208">
        <v>5</v>
      </c>
      <c r="AC139" s="22"/>
      <c r="AD139" s="22"/>
    </row>
    <row r="140" ht="15" customHeight="1">
      <c r="A140" s="19"/>
      <c r="B140" s="116"/>
      <c r="C140" t="s" s="220">
        <v>265</v>
      </c>
      <c r="D140" s="208">
        <v>2</v>
      </c>
      <c r="E140" s="210">
        <f>(20)/19.83</f>
        <v>1.00857286938981</v>
      </c>
      <c r="F140" t="s" s="209">
        <v>226</v>
      </c>
      <c r="G140" s="188">
        <v>0.31</v>
      </c>
      <c r="H140" s="208">
        <v>7</v>
      </c>
      <c r="I140" s="208">
        <v>24</v>
      </c>
      <c r="J140" s="22"/>
      <c r="K140" s="22"/>
      <c r="L140" s="22"/>
      <c r="M140" s="22"/>
      <c r="N140" s="22"/>
      <c r="O140" s="22"/>
      <c r="P140" s="22"/>
      <c r="Q140" s="22"/>
      <c r="R140" s="22"/>
      <c r="S140" s="22"/>
      <c r="T140" s="22"/>
      <c r="U140" s="22"/>
      <c r="V140" s="22"/>
      <c r="W140" s="22"/>
      <c r="X140" s="22"/>
      <c r="Y140" s="22"/>
      <c r="Z140" s="22"/>
      <c r="AA140" t="s" s="209">
        <v>337</v>
      </c>
      <c r="AB140" s="208">
        <v>5</v>
      </c>
      <c r="AC140" s="22"/>
      <c r="AD140" s="22"/>
    </row>
    <row r="141" ht="15" customHeight="1">
      <c r="A141" s="19"/>
      <c r="B141" s="116"/>
      <c r="C141" t="s" s="220">
        <v>226</v>
      </c>
      <c r="D141" s="208">
        <v>10</v>
      </c>
      <c r="E141" s="210">
        <f>50/19.83</f>
        <v>2.52143217347453</v>
      </c>
      <c r="F141" t="s" s="209">
        <v>215</v>
      </c>
      <c r="G141" s="188">
        <v>0.84</v>
      </c>
      <c r="H141" s="208">
        <v>7</v>
      </c>
      <c r="I141" s="208">
        <v>10</v>
      </c>
      <c r="J141" s="22"/>
      <c r="K141" s="22"/>
      <c r="L141" s="22"/>
      <c r="M141" s="22"/>
      <c r="N141" s="22"/>
      <c r="O141" s="22"/>
      <c r="P141" s="22"/>
      <c r="Q141" s="22"/>
      <c r="R141" s="22"/>
      <c r="S141" s="22"/>
      <c r="T141" s="22"/>
      <c r="U141" s="22"/>
      <c r="V141" s="22"/>
      <c r="W141" s="22"/>
      <c r="X141" s="22"/>
      <c r="Y141" s="22"/>
      <c r="Z141" s="22"/>
      <c r="AA141" t="s" s="209">
        <v>1989</v>
      </c>
      <c r="AB141" s="208">
        <v>10</v>
      </c>
      <c r="AC141" s="22"/>
      <c r="AD141" s="22"/>
    </row>
    <row r="142" ht="15" customHeight="1">
      <c r="A142" s="23"/>
      <c r="B142" s="117"/>
      <c r="C142" s="25"/>
      <c r="D142" s="26"/>
      <c r="E142" s="26"/>
      <c r="F142" s="26"/>
      <c r="G142" s="205"/>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row>
    <row r="143" ht="63.75" customHeight="1">
      <c r="A143" s="52">
        <v>15</v>
      </c>
      <c r="B143" t="s" s="111">
        <v>40</v>
      </c>
      <c r="C143" t="s" s="54">
        <v>200</v>
      </c>
      <c r="D143" s="759">
        <v>60.32</v>
      </c>
      <c r="E143" s="760">
        <f>750/172.42</f>
        <v>4.3498434056374</v>
      </c>
      <c r="F143" t="s" s="82">
        <v>215</v>
      </c>
      <c r="G143" s="122"/>
      <c r="H143" s="285">
        <v>7</v>
      </c>
      <c r="I143" s="285">
        <v>20</v>
      </c>
      <c r="J143" t="s" s="112">
        <v>1990</v>
      </c>
      <c r="K143" t="s" s="112">
        <v>1991</v>
      </c>
      <c r="L143" t="s" s="112">
        <v>1992</v>
      </c>
      <c r="M143" s="477">
        <v>0.37</v>
      </c>
      <c r="N143" s="285">
        <v>1</v>
      </c>
      <c r="O143" t="s" s="506">
        <v>1993</v>
      </c>
      <c r="P143" t="s" s="479">
        <v>1994</v>
      </c>
      <c r="Q143" s="285">
        <v>1</v>
      </c>
      <c r="R143" t="s" s="701">
        <v>1995</v>
      </c>
      <c r="S143" s="285">
        <v>1</v>
      </c>
      <c r="T143" t="s" s="482">
        <v>1996</v>
      </c>
      <c r="U143" s="285">
        <v>1</v>
      </c>
      <c r="V143" t="s" s="701">
        <v>1997</v>
      </c>
      <c r="W143" s="285">
        <v>1</v>
      </c>
      <c r="X143" t="s" s="701">
        <v>1998</v>
      </c>
      <c r="Y143" s="285">
        <v>2</v>
      </c>
      <c r="Z143" s="123"/>
      <c r="AA143" t="s" s="82">
        <v>200</v>
      </c>
      <c r="AB143" s="284">
        <v>7</v>
      </c>
      <c r="AC143" t="s" s="83">
        <v>1999</v>
      </c>
      <c r="AD143" t="s" s="82">
        <v>374</v>
      </c>
    </row>
    <row r="144" ht="26.1" customHeight="1">
      <c r="A144" s="56"/>
      <c r="B144" s="113"/>
      <c r="C144" t="s" s="727">
        <v>230</v>
      </c>
      <c r="D144" s="761">
        <v>7</v>
      </c>
      <c r="E144" s="489">
        <f>550/172.42</f>
        <v>3.18988516413409</v>
      </c>
      <c r="F144" t="s" s="303">
        <v>215</v>
      </c>
      <c r="G144" s="345">
        <v>0.75</v>
      </c>
      <c r="H144" s="299">
        <v>7</v>
      </c>
      <c r="I144" s="299">
        <v>20</v>
      </c>
      <c r="J144" s="59"/>
      <c r="K144" s="59"/>
      <c r="L144" s="59"/>
      <c r="M144" s="59"/>
      <c r="N144" s="59"/>
      <c r="O144" s="510"/>
      <c r="P144" s="59"/>
      <c r="Q144" s="59"/>
      <c r="R144" s="702"/>
      <c r="S144" s="59"/>
      <c r="T144" s="488"/>
      <c r="U144" s="59"/>
      <c r="V144" s="702"/>
      <c r="W144" s="59"/>
      <c r="X144" s="302"/>
      <c r="Y144" s="59"/>
      <c r="Z144" s="59"/>
      <c r="AA144" t="s" s="303">
        <v>230</v>
      </c>
      <c r="AB144" s="762">
        <v>5</v>
      </c>
      <c r="AC144" s="59"/>
      <c r="AD144" s="59"/>
    </row>
    <row r="145" ht="26.1" customHeight="1">
      <c r="A145" s="56"/>
      <c r="B145" s="113"/>
      <c r="C145" t="s" s="727">
        <v>229</v>
      </c>
      <c r="D145" s="761">
        <v>27.68</v>
      </c>
      <c r="E145" s="489">
        <f>400/172.42</f>
        <v>2.31991648300661</v>
      </c>
      <c r="F145" t="s" s="303">
        <v>215</v>
      </c>
      <c r="G145" s="345">
        <v>0.55</v>
      </c>
      <c r="H145" s="299">
        <v>7</v>
      </c>
      <c r="I145" s="299">
        <v>20</v>
      </c>
      <c r="J145" s="59"/>
      <c r="K145" s="59"/>
      <c r="L145" s="59"/>
      <c r="M145" s="59"/>
      <c r="N145" s="59"/>
      <c r="O145" s="59"/>
      <c r="P145" s="59"/>
      <c r="Q145" s="59"/>
      <c r="R145" s="702"/>
      <c r="S145" s="59"/>
      <c r="T145" s="488"/>
      <c r="U145" s="59"/>
      <c r="V145" s="702"/>
      <c r="W145" s="59"/>
      <c r="X145" s="302"/>
      <c r="Y145" s="59"/>
      <c r="Z145" s="59"/>
      <c r="AA145" t="s" s="303">
        <v>337</v>
      </c>
      <c r="AB145" s="762">
        <v>3</v>
      </c>
      <c r="AC145" s="59"/>
      <c r="AD145" s="59"/>
    </row>
    <row r="146" ht="26.1" customHeight="1">
      <c r="A146" s="56"/>
      <c r="B146" s="113"/>
      <c r="C146" t="s" s="727">
        <v>2000</v>
      </c>
      <c r="D146" s="761">
        <v>5</v>
      </c>
      <c r="E146" s="59"/>
      <c r="F146" s="59"/>
      <c r="G146" s="125"/>
      <c r="H146" s="59"/>
      <c r="I146" s="59"/>
      <c r="J146" s="59"/>
      <c r="K146" s="59"/>
      <c r="L146" s="59"/>
      <c r="M146" s="59"/>
      <c r="N146" s="59"/>
      <c r="O146" s="59"/>
      <c r="P146" s="59"/>
      <c r="Q146" s="59"/>
      <c r="R146" s="702"/>
      <c r="S146" s="59"/>
      <c r="T146" s="488"/>
      <c r="U146" s="59"/>
      <c r="V146" s="702"/>
      <c r="W146" s="59"/>
      <c r="X146" s="302"/>
      <c r="Y146" s="59"/>
      <c r="Z146" s="59"/>
      <c r="AA146" t="s" s="303">
        <v>288</v>
      </c>
      <c r="AB146" s="762">
        <v>85</v>
      </c>
      <c r="AC146" s="59"/>
      <c r="AD146" s="59"/>
    </row>
    <row r="147" ht="26.1" customHeight="1">
      <c r="A147" s="56"/>
      <c r="B147" s="113"/>
      <c r="C147" s="58"/>
      <c r="D147" s="59"/>
      <c r="E147" s="59"/>
      <c r="F147" s="59"/>
      <c r="G147" s="125"/>
      <c r="H147" s="59"/>
      <c r="I147" s="59"/>
      <c r="J147" s="59"/>
      <c r="K147" s="59"/>
      <c r="L147" s="59"/>
      <c r="M147" s="59"/>
      <c r="N147" s="59"/>
      <c r="O147" s="59"/>
      <c r="P147" s="59"/>
      <c r="Q147" s="59"/>
      <c r="R147" s="702"/>
      <c r="S147" s="59"/>
      <c r="T147" s="488"/>
      <c r="U147" s="59"/>
      <c r="V147" s="702"/>
      <c r="W147" s="59"/>
      <c r="X147" s="302"/>
      <c r="Y147" s="59"/>
      <c r="Z147" s="59"/>
      <c r="AA147" s="59"/>
      <c r="AB147" s="59"/>
      <c r="AC147" s="59"/>
      <c r="AD147" s="59"/>
    </row>
    <row r="148" ht="26.1" customHeight="1">
      <c r="A148" s="56"/>
      <c r="B148" s="113"/>
      <c r="C148" s="58"/>
      <c r="D148" s="59"/>
      <c r="E148" s="59"/>
      <c r="F148" s="59"/>
      <c r="G148" s="125"/>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row>
    <row r="149" ht="26.1" customHeight="1">
      <c r="A149" s="119"/>
      <c r="B149" s="114"/>
      <c r="C149" s="63"/>
      <c r="D149" s="64"/>
      <c r="E149" s="64"/>
      <c r="F149" s="64"/>
      <c r="G149" s="310"/>
      <c r="H149" s="64"/>
      <c r="I149" s="64"/>
      <c r="J149" s="64"/>
      <c r="K149" s="64"/>
      <c r="L149" s="64"/>
      <c r="M149" s="64"/>
      <c r="N149" s="64"/>
      <c r="O149" s="64"/>
      <c r="P149" s="64"/>
      <c r="Q149" s="64"/>
      <c r="R149" s="64"/>
      <c r="S149" s="64"/>
      <c r="T149" s="64"/>
      <c r="U149" s="64"/>
      <c r="V149" s="64"/>
      <c r="W149" s="64"/>
      <c r="X149" s="64"/>
      <c r="Y149" s="64"/>
      <c r="Z149" s="64"/>
      <c r="AA149" s="763"/>
      <c r="AB149" s="764"/>
      <c r="AC149" s="764"/>
      <c r="AD149" s="764"/>
    </row>
    <row r="150" ht="15" customHeight="1">
      <c r="A150" s="15">
        <v>16</v>
      </c>
      <c r="B150" t="s" s="115">
        <v>43</v>
      </c>
      <c r="C150" t="s" s="17">
        <v>200</v>
      </c>
      <c r="D150" s="166">
        <v>23.4</v>
      </c>
      <c r="E150" s="172">
        <f>53/46.49</f>
        <v>1.14003011400301</v>
      </c>
      <c r="F150" t="s" s="171">
        <v>215</v>
      </c>
      <c r="G150" s="197">
        <v>0.5</v>
      </c>
      <c r="H150" s="167">
        <v>5</v>
      </c>
      <c r="I150" s="167">
        <v>18</v>
      </c>
      <c r="J150" t="s" s="171">
        <v>2001</v>
      </c>
      <c r="K150" t="s" s="18">
        <v>2002</v>
      </c>
      <c r="L150" t="s" s="18">
        <v>2003</v>
      </c>
      <c r="M150" s="559">
        <v>0.04</v>
      </c>
      <c r="N150" s="166">
        <v>2</v>
      </c>
      <c r="O150" s="169"/>
      <c r="P150" s="169"/>
      <c r="Q150" s="166">
        <v>2</v>
      </c>
      <c r="R150" t="s" s="170">
        <v>2004</v>
      </c>
      <c r="S150" s="166">
        <v>1</v>
      </c>
      <c r="T150" t="s" s="170">
        <v>2005</v>
      </c>
      <c r="U150" s="166">
        <v>1</v>
      </c>
      <c r="V150" t="s" s="170">
        <v>2006</v>
      </c>
      <c r="W150" s="166">
        <v>1</v>
      </c>
      <c r="X150" t="s" s="170">
        <v>2007</v>
      </c>
      <c r="Y150" s="166">
        <v>2</v>
      </c>
      <c r="Z150" s="169"/>
      <c r="AA150" t="s" s="18">
        <v>200</v>
      </c>
      <c r="AB150" s="166">
        <v>34.42</v>
      </c>
      <c r="AC150" t="s" s="171">
        <v>2008</v>
      </c>
      <c r="AD150" s="169"/>
    </row>
    <row r="151" ht="15" customHeight="1">
      <c r="A151" s="19"/>
      <c r="B151" s="120"/>
      <c r="C151" t="s" s="220">
        <v>230</v>
      </c>
      <c r="D151" s="208">
        <v>26</v>
      </c>
      <c r="E151" s="22"/>
      <c r="F151" s="22"/>
      <c r="G151" s="188"/>
      <c r="H151" s="183">
        <v>5</v>
      </c>
      <c r="I151" s="183">
        <v>18</v>
      </c>
      <c r="J151" s="22"/>
      <c r="K151" s="22"/>
      <c r="L151" s="22"/>
      <c r="M151" s="22"/>
      <c r="N151" s="22"/>
      <c r="O151" s="22"/>
      <c r="P151" s="22"/>
      <c r="Q151" s="22"/>
      <c r="R151" s="211"/>
      <c r="S151" s="22"/>
      <c r="T151" s="211"/>
      <c r="U151" s="22"/>
      <c r="V151" s="211"/>
      <c r="W151" s="22"/>
      <c r="X151" s="211"/>
      <c r="Y151" s="22"/>
      <c r="Z151" s="22"/>
      <c r="AA151" t="s" s="209">
        <v>230</v>
      </c>
      <c r="AB151" s="208">
        <v>20.87</v>
      </c>
      <c r="AC151" s="22"/>
      <c r="AD151" s="22"/>
    </row>
    <row r="152" ht="15" customHeight="1">
      <c r="A152" s="19"/>
      <c r="B152" s="120"/>
      <c r="C152" t="s" s="220">
        <v>229</v>
      </c>
      <c r="D152" s="208">
        <v>26</v>
      </c>
      <c r="E152" s="210">
        <f>20/46.49</f>
        <v>0.430200043020004</v>
      </c>
      <c r="F152" s="22"/>
      <c r="G152" s="188">
        <v>0.19</v>
      </c>
      <c r="H152" s="22"/>
      <c r="I152" s="22"/>
      <c r="J152" s="22"/>
      <c r="K152" s="22"/>
      <c r="L152" s="22"/>
      <c r="M152" s="22"/>
      <c r="N152" s="22"/>
      <c r="O152" s="22"/>
      <c r="P152" s="22"/>
      <c r="Q152" s="22"/>
      <c r="R152" s="22"/>
      <c r="S152" s="22"/>
      <c r="T152" s="211"/>
      <c r="U152" s="22"/>
      <c r="V152" s="211"/>
      <c r="W152" s="22"/>
      <c r="X152" s="211"/>
      <c r="Y152" s="22"/>
      <c r="Z152" s="22"/>
      <c r="AA152" t="s" s="209">
        <v>229</v>
      </c>
      <c r="AB152" s="208">
        <v>0.06</v>
      </c>
      <c r="AC152" s="22"/>
      <c r="AD152" s="22"/>
    </row>
    <row r="153" ht="15" customHeight="1">
      <c r="A153" s="19"/>
      <c r="B153" s="120"/>
      <c r="C153" t="s" s="220">
        <v>357</v>
      </c>
      <c r="D153" s="208">
        <v>1.5</v>
      </c>
      <c r="E153" s="210">
        <f t="shared" si="56" ref="E153:E159">(10*50)/46.49</f>
        <v>10.7550010755001</v>
      </c>
      <c r="F153" t="s" s="209">
        <v>406</v>
      </c>
      <c r="G153" s="188">
        <v>4.73</v>
      </c>
      <c r="H153" s="208">
        <v>7</v>
      </c>
      <c r="I153" s="183">
        <v>15</v>
      </c>
      <c r="J153" s="22"/>
      <c r="K153" s="22"/>
      <c r="L153" s="22"/>
      <c r="M153" s="22"/>
      <c r="N153" s="22"/>
      <c r="O153" s="22"/>
      <c r="P153" s="22"/>
      <c r="Q153" s="22"/>
      <c r="R153" s="22"/>
      <c r="S153" s="22"/>
      <c r="T153" s="211"/>
      <c r="U153" s="22"/>
      <c r="V153" s="211"/>
      <c r="W153" s="22"/>
      <c r="X153" s="211"/>
      <c r="Y153" s="22"/>
      <c r="Z153" s="22"/>
      <c r="AA153" t="s" s="209">
        <v>357</v>
      </c>
      <c r="AB153" s="208">
        <v>0.12</v>
      </c>
      <c r="AC153" s="22"/>
      <c r="AD153" s="22"/>
    </row>
    <row r="154" ht="15" customHeight="1">
      <c r="A154" s="19"/>
      <c r="B154" s="120"/>
      <c r="C154" t="s" s="220">
        <v>337</v>
      </c>
      <c r="D154" s="208">
        <v>1.5</v>
      </c>
      <c r="E154" s="210">
        <f t="shared" si="56"/>
        <v>10.7550010755001</v>
      </c>
      <c r="F154" t="s" s="209">
        <v>406</v>
      </c>
      <c r="G154" s="188">
        <v>4.73</v>
      </c>
      <c r="H154" s="208">
        <v>7</v>
      </c>
      <c r="I154" s="208">
        <v>15</v>
      </c>
      <c r="J154" s="22"/>
      <c r="K154" s="22"/>
      <c r="L154" s="22"/>
      <c r="M154" s="22"/>
      <c r="N154" s="22"/>
      <c r="O154" s="22"/>
      <c r="P154" s="22"/>
      <c r="Q154" s="22"/>
      <c r="R154" s="22"/>
      <c r="S154" s="22"/>
      <c r="T154" s="211"/>
      <c r="U154" s="22"/>
      <c r="V154" s="211"/>
      <c r="W154" s="22"/>
      <c r="X154" s="211"/>
      <c r="Y154" s="22"/>
      <c r="Z154" s="22"/>
      <c r="AA154" t="s" s="209">
        <v>337</v>
      </c>
      <c r="AB154" s="208">
        <v>0.08</v>
      </c>
      <c r="AC154" s="22"/>
      <c r="AD154" s="22"/>
    </row>
    <row r="155" ht="15" customHeight="1">
      <c r="A155" s="19"/>
      <c r="B155" s="120"/>
      <c r="C155" t="s" s="220">
        <v>210</v>
      </c>
      <c r="D155" s="208">
        <v>1.5</v>
      </c>
      <c r="E155" s="210">
        <f t="shared" si="56"/>
        <v>10.7550010755001</v>
      </c>
      <c r="F155" t="s" s="209">
        <v>406</v>
      </c>
      <c r="G155" s="188">
        <v>4.73</v>
      </c>
      <c r="H155" s="208">
        <v>7</v>
      </c>
      <c r="I155" s="208">
        <v>24</v>
      </c>
      <c r="J155" s="22"/>
      <c r="K155" s="22"/>
      <c r="L155" s="22"/>
      <c r="M155" s="22"/>
      <c r="N155" s="22"/>
      <c r="O155" s="22"/>
      <c r="P155" s="22"/>
      <c r="Q155" s="22"/>
      <c r="R155" s="22"/>
      <c r="S155" s="22"/>
      <c r="T155" s="211"/>
      <c r="U155" s="22"/>
      <c r="V155" s="211"/>
      <c r="W155" s="22"/>
      <c r="X155" s="211"/>
      <c r="Y155" s="22"/>
      <c r="Z155" s="22"/>
      <c r="AA155" t="s" s="209">
        <v>2009</v>
      </c>
      <c r="AB155" s="208">
        <v>3.77</v>
      </c>
      <c r="AC155" s="22"/>
      <c r="AD155" s="22"/>
    </row>
    <row r="156" ht="13.75" customHeight="1">
      <c r="A156" s="19"/>
      <c r="B156" s="120"/>
      <c r="C156" t="s" s="220">
        <v>462</v>
      </c>
      <c r="D156" s="208">
        <v>1.5</v>
      </c>
      <c r="E156" s="210">
        <f t="shared" si="56"/>
        <v>10.7550010755001</v>
      </c>
      <c r="F156" t="s" s="209">
        <v>406</v>
      </c>
      <c r="G156" s="188">
        <v>4.73</v>
      </c>
      <c r="H156" s="208">
        <v>7</v>
      </c>
      <c r="I156" s="208">
        <v>15</v>
      </c>
      <c r="J156" s="211"/>
      <c r="K156" s="22"/>
      <c r="L156" s="22"/>
      <c r="M156" s="22"/>
      <c r="N156" s="22"/>
      <c r="O156" s="22"/>
      <c r="P156" s="22"/>
      <c r="Q156" s="22"/>
      <c r="R156" s="22"/>
      <c r="S156" s="22"/>
      <c r="T156" s="22"/>
      <c r="U156" s="22"/>
      <c r="V156" s="22"/>
      <c r="W156" s="22"/>
      <c r="X156" s="211"/>
      <c r="Y156" s="22"/>
      <c r="Z156" s="22"/>
      <c r="AA156" t="s" s="209">
        <v>2010</v>
      </c>
      <c r="AB156" s="208">
        <v>40.7</v>
      </c>
      <c r="AC156" s="22"/>
      <c r="AD156" s="22"/>
    </row>
    <row r="157" ht="13.75" customHeight="1">
      <c r="A157" s="19"/>
      <c r="B157" s="120"/>
      <c r="C157" t="s" s="220">
        <v>262</v>
      </c>
      <c r="D157" s="208">
        <v>1.5</v>
      </c>
      <c r="E157" s="210">
        <f t="shared" si="56"/>
        <v>10.7550010755001</v>
      </c>
      <c r="F157" t="s" s="209">
        <v>406</v>
      </c>
      <c r="G157" s="188">
        <v>4.73</v>
      </c>
      <c r="H157" s="208">
        <v>7</v>
      </c>
      <c r="I157" s="717">
        <v>24</v>
      </c>
      <c r="J157" s="22"/>
      <c r="K157" s="22"/>
      <c r="L157" s="22"/>
      <c r="M157" s="22"/>
      <c r="N157" s="22"/>
      <c r="O157" s="22"/>
      <c r="P157" s="22"/>
      <c r="Q157" s="22"/>
      <c r="R157" s="22"/>
      <c r="S157" s="22"/>
      <c r="T157" s="22"/>
      <c r="U157" s="22"/>
      <c r="V157" s="22"/>
      <c r="W157" s="22"/>
      <c r="X157" s="211"/>
      <c r="Y157" s="22"/>
      <c r="Z157" s="22"/>
      <c r="AA157" s="22"/>
      <c r="AB157" s="22"/>
      <c r="AC157" s="22"/>
      <c r="AD157" s="22"/>
    </row>
    <row r="158" ht="13.75" customHeight="1">
      <c r="A158" s="19"/>
      <c r="B158" s="120"/>
      <c r="C158" t="s" s="220">
        <v>227</v>
      </c>
      <c r="D158" s="208">
        <v>0.2</v>
      </c>
      <c r="E158" s="210">
        <v>0</v>
      </c>
      <c r="F158" s="22"/>
      <c r="G158" s="188"/>
      <c r="H158" s="22"/>
      <c r="I158" s="765"/>
      <c r="J158" s="211"/>
      <c r="K158" s="22"/>
      <c r="L158" s="22"/>
      <c r="M158" s="22"/>
      <c r="N158" s="22"/>
      <c r="O158" s="22"/>
      <c r="P158" s="22"/>
      <c r="Q158" s="22"/>
      <c r="R158" s="22"/>
      <c r="S158" s="22"/>
      <c r="T158" s="22"/>
      <c r="U158" s="22"/>
      <c r="V158" s="22"/>
      <c r="W158" s="22"/>
      <c r="X158" s="211"/>
      <c r="Y158" s="22"/>
      <c r="Z158" s="22"/>
      <c r="AA158" s="22"/>
      <c r="AB158" s="22"/>
      <c r="AC158" s="22"/>
      <c r="AD158" s="22"/>
    </row>
    <row r="159" ht="56.6" customHeight="1">
      <c r="A159" s="19"/>
      <c r="B159" s="120"/>
      <c r="C159" t="s" s="220">
        <v>2011</v>
      </c>
      <c r="D159" s="208">
        <v>16.5</v>
      </c>
      <c r="E159" s="210">
        <f t="shared" si="56"/>
        <v>10.7550010755001</v>
      </c>
      <c r="F159" s="22"/>
      <c r="G159" s="188">
        <v>4.73</v>
      </c>
      <c r="H159" s="208">
        <v>7</v>
      </c>
      <c r="I159" s="717">
        <v>16</v>
      </c>
      <c r="J159" s="211"/>
      <c r="K159" s="22"/>
      <c r="L159" s="22"/>
      <c r="M159" s="22"/>
      <c r="N159" s="22"/>
      <c r="O159" s="22"/>
      <c r="P159" s="22"/>
      <c r="Q159" s="22"/>
      <c r="R159" s="22"/>
      <c r="S159" s="22"/>
      <c r="T159" s="22"/>
      <c r="U159" s="22"/>
      <c r="V159" s="22"/>
      <c r="W159" s="22"/>
      <c r="X159" s="211"/>
      <c r="Y159" s="22"/>
      <c r="Z159" s="22"/>
      <c r="AA159" s="22"/>
      <c r="AB159" s="22"/>
      <c r="AC159" s="22"/>
      <c r="AD159" s="22"/>
    </row>
    <row r="160" ht="13.75" customHeight="1">
      <c r="A160" s="19"/>
      <c r="B160" s="120"/>
      <c r="C160" t="s" s="220">
        <v>1873</v>
      </c>
      <c r="D160" s="208">
        <v>0.4</v>
      </c>
      <c r="E160" s="210">
        <v>0</v>
      </c>
      <c r="F160" s="22"/>
      <c r="G160" s="188"/>
      <c r="H160" s="208">
        <v>7</v>
      </c>
      <c r="I160" s="717">
        <v>24</v>
      </c>
      <c r="J160" s="211"/>
      <c r="K160" s="22"/>
      <c r="L160" s="22"/>
      <c r="M160" s="22"/>
      <c r="N160" s="22"/>
      <c r="O160" s="22"/>
      <c r="P160" s="22"/>
      <c r="Q160" s="22"/>
      <c r="R160" s="22"/>
      <c r="S160" s="22"/>
      <c r="T160" s="22"/>
      <c r="U160" s="22"/>
      <c r="V160" s="22"/>
      <c r="W160" s="22"/>
      <c r="X160" s="22"/>
      <c r="Y160" s="22"/>
      <c r="Z160" s="22"/>
      <c r="AA160" s="22"/>
      <c r="AB160" s="22"/>
      <c r="AC160" s="22"/>
      <c r="AD160" s="22"/>
    </row>
    <row r="161" ht="13.55" customHeight="1">
      <c r="A161" s="23"/>
      <c r="B161" s="114"/>
      <c r="C161" s="63"/>
      <c r="D161" s="64"/>
      <c r="E161" s="64"/>
      <c r="F161" s="64"/>
      <c r="G161" s="310"/>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row>
    <row r="162" ht="13.55" customHeight="1">
      <c r="A162" s="121"/>
      <c r="B162" s="122"/>
      <c r="C162" s="123"/>
      <c r="D162" s="123"/>
      <c r="E162" s="123"/>
      <c r="F162" s="123"/>
      <c r="G162" s="122"/>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row>
    <row r="163" ht="13.55" customHeight="1">
      <c r="A163" s="124"/>
      <c r="B163" s="125"/>
      <c r="C163" s="59"/>
      <c r="D163" s="59"/>
      <c r="E163" s="59"/>
      <c r="F163" s="59"/>
      <c r="G163" s="125"/>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row>
    <row r="164" ht="13.55" customHeight="1">
      <c r="A164" s="124"/>
      <c r="B164" s="125"/>
      <c r="C164" s="59"/>
      <c r="D164" s="59"/>
      <c r="E164" s="59"/>
      <c r="F164" s="59"/>
      <c r="G164" s="125"/>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row>
    <row r="165" ht="13.55" customHeight="1">
      <c r="A165" s="124"/>
      <c r="B165" s="125"/>
      <c r="C165" s="59"/>
      <c r="D165" s="59"/>
      <c r="E165" s="59"/>
      <c r="F165" s="59"/>
      <c r="G165" s="125"/>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row>
    <row r="166" ht="13.55" customHeight="1">
      <c r="A166" s="124"/>
      <c r="B166" s="125"/>
      <c r="C166" s="59"/>
      <c r="D166" s="59"/>
      <c r="E166" s="59"/>
      <c r="F166" s="59"/>
      <c r="G166" s="125"/>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row>
    <row r="167" ht="13.55" customHeight="1">
      <c r="A167" s="124"/>
      <c r="B167" s="125"/>
      <c r="C167" s="59"/>
      <c r="D167" s="59"/>
      <c r="E167" s="59"/>
      <c r="F167" s="59"/>
      <c r="G167" s="125"/>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row>
    <row r="168" ht="13.55" customHeight="1">
      <c r="A168" s="124"/>
      <c r="B168" s="125"/>
      <c r="C168" s="59"/>
      <c r="D168" s="59"/>
      <c r="E168" s="59"/>
      <c r="F168" s="59"/>
      <c r="G168" s="125"/>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row>
    <row r="169" ht="13.55" customHeight="1">
      <c r="A169" s="124"/>
      <c r="B169" s="125"/>
      <c r="C169" s="59"/>
      <c r="D169" s="59"/>
      <c r="E169" s="59"/>
      <c r="F169" s="59"/>
      <c r="G169" s="125"/>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row>
    <row r="170" ht="13.55" customHeight="1">
      <c r="A170" s="124"/>
      <c r="B170" s="125"/>
      <c r="C170" s="59"/>
      <c r="D170" s="59"/>
      <c r="E170" s="59"/>
      <c r="F170" s="59"/>
      <c r="G170" s="125"/>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row>
    <row r="171" ht="13.55" customHeight="1">
      <c r="A171" s="124"/>
      <c r="B171" s="125"/>
      <c r="C171" s="59"/>
      <c r="D171" s="59"/>
      <c r="E171" s="59"/>
      <c r="F171" s="59"/>
      <c r="G171" s="125"/>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row>
    <row r="172" ht="13.55" customHeight="1">
      <c r="A172" s="124"/>
      <c r="B172" s="125"/>
      <c r="C172" s="59"/>
      <c r="D172" s="59"/>
      <c r="E172" s="59"/>
      <c r="F172" s="59"/>
      <c r="G172" s="125"/>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row>
    <row r="173" ht="13.55" customHeight="1">
      <c r="A173" s="124"/>
      <c r="B173" s="125"/>
      <c r="C173" s="59"/>
      <c r="D173" s="59"/>
      <c r="E173" s="59"/>
      <c r="F173" s="59"/>
      <c r="G173" s="125"/>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row>
    <row r="174" ht="13.55" customHeight="1">
      <c r="A174" s="124"/>
      <c r="B174" s="125"/>
      <c r="C174" s="59"/>
      <c r="D174" s="59"/>
      <c r="E174" s="59"/>
      <c r="F174" s="59"/>
      <c r="G174" s="125"/>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row>
    <row r="175" ht="13.55" customHeight="1">
      <c r="A175" s="124"/>
      <c r="B175" s="125"/>
      <c r="C175" s="59"/>
      <c r="D175" s="59"/>
      <c r="E175" s="59"/>
      <c r="F175" s="59"/>
      <c r="G175" s="125"/>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row>
    <row r="176" ht="13.55" customHeight="1">
      <c r="A176" s="124"/>
      <c r="B176" s="125"/>
      <c r="C176" s="59"/>
      <c r="D176" s="59"/>
      <c r="E176" s="59"/>
      <c r="F176" s="59"/>
      <c r="G176" s="125"/>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row>
    <row r="177" ht="13.55" customHeight="1">
      <c r="A177" s="124"/>
      <c r="B177" s="125"/>
      <c r="C177" s="59"/>
      <c r="D177" s="59"/>
      <c r="E177" s="59"/>
      <c r="F177" s="59"/>
      <c r="G177" s="125"/>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row>
    <row r="178" ht="13.55" customHeight="1">
      <c r="A178" s="124"/>
      <c r="B178" s="125"/>
      <c r="C178" s="59"/>
      <c r="D178" s="59"/>
      <c r="E178" s="59"/>
      <c r="F178" s="59"/>
      <c r="G178" s="125"/>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row>
  </sheetData>
  <mergeCells count="91">
    <mergeCell ref="B119:B125"/>
    <mergeCell ref="A126:A136"/>
    <mergeCell ref="A137:A142"/>
    <mergeCell ref="A19:A42"/>
    <mergeCell ref="A150:A155"/>
    <mergeCell ref="A56:A58"/>
    <mergeCell ref="A70:A80"/>
    <mergeCell ref="A81:A82"/>
    <mergeCell ref="A90:A92"/>
    <mergeCell ref="A110:A118"/>
    <mergeCell ref="A119:A125"/>
    <mergeCell ref="A43:A47"/>
    <mergeCell ref="A48:A55"/>
    <mergeCell ref="G3:G4"/>
    <mergeCell ref="O13:O17"/>
    <mergeCell ref="C2:I2"/>
    <mergeCell ref="J2:K2"/>
    <mergeCell ref="C3:C4"/>
    <mergeCell ref="D3:D4"/>
    <mergeCell ref="E3:E4"/>
    <mergeCell ref="H3:H4"/>
    <mergeCell ref="I3:I4"/>
    <mergeCell ref="J3:J4"/>
    <mergeCell ref="A5:A12"/>
    <mergeCell ref="A13:A18"/>
    <mergeCell ref="B2:B4"/>
    <mergeCell ref="AA2:AB2"/>
    <mergeCell ref="AC2:AD2"/>
    <mergeCell ref="N3:N4"/>
    <mergeCell ref="L2:P2"/>
    <mergeCell ref="Q2:R2"/>
    <mergeCell ref="S2:V2"/>
    <mergeCell ref="W2:Z2"/>
    <mergeCell ref="AC3:AC4"/>
    <mergeCell ref="AD3:AD4"/>
    <mergeCell ref="Y3:Y4"/>
    <mergeCell ref="Z3:Z4"/>
    <mergeCell ref="AA3:AA4"/>
    <mergeCell ref="AB3:AB4"/>
    <mergeCell ref="T5:T6"/>
    <mergeCell ref="X5:X6"/>
    <mergeCell ref="U3:U4"/>
    <mergeCell ref="V3:V4"/>
    <mergeCell ref="W3:W4"/>
    <mergeCell ref="X3:X4"/>
    <mergeCell ref="T3:T4"/>
    <mergeCell ref="T70:T71"/>
    <mergeCell ref="V70:V72"/>
    <mergeCell ref="X70:X72"/>
    <mergeCell ref="Z70:Z71"/>
    <mergeCell ref="C90:C91"/>
    <mergeCell ref="X90:X97"/>
    <mergeCell ref="Z90:Z95"/>
    <mergeCell ref="R81:R82"/>
    <mergeCell ref="T81:T82"/>
    <mergeCell ref="X81:X82"/>
    <mergeCell ref="X19:X26"/>
    <mergeCell ref="X43:X44"/>
    <mergeCell ref="C48:C53"/>
    <mergeCell ref="Z56:Z57"/>
    <mergeCell ref="V19:V24"/>
    <mergeCell ref="M19:M20"/>
    <mergeCell ref="R19:R20"/>
    <mergeCell ref="T19:T26"/>
    <mergeCell ref="Z102:Z103"/>
    <mergeCell ref="T110:T116"/>
    <mergeCell ref="X119:X122"/>
    <mergeCell ref="M126:M127"/>
    <mergeCell ref="T126:T128"/>
    <mergeCell ref="R110:R113"/>
    <mergeCell ref="D132:D133"/>
    <mergeCell ref="R137:R138"/>
    <mergeCell ref="X137:X139"/>
    <mergeCell ref="Z137:Z138"/>
    <mergeCell ref="R143:R145"/>
    <mergeCell ref="T143:T145"/>
    <mergeCell ref="V143:V147"/>
    <mergeCell ref="R150:R151"/>
    <mergeCell ref="T150:T155"/>
    <mergeCell ref="V150:V155"/>
    <mergeCell ref="X150:X159"/>
    <mergeCell ref="O102:O103"/>
    <mergeCell ref="R13:R16"/>
    <mergeCell ref="Q3:Q4"/>
    <mergeCell ref="R3:R4"/>
    <mergeCell ref="S3:S4"/>
    <mergeCell ref="K3:K4"/>
    <mergeCell ref="L3:L4"/>
    <mergeCell ref="M3:M4"/>
    <mergeCell ref="O3:O4"/>
    <mergeCell ref="P3:P4"/>
  </mergeCells>
  <hyperlinks>
    <hyperlink ref="J81" r:id="rId1" location="" tooltip="" display="www.punecorporation.org"/>
    <hyperlink ref="J119" r:id="rId2" location="" tooltip="" display="https://www.nwsc.co.ug/files/corprateplan/NWSC_CORPORATE_PLAN_2015-2018_APPROVED_FINAL.pdf NWSC, 2016/2017 NWSC Corporate Strategy 2017 "/>
    <hyperlink ref="K143" r:id="rId3" location="" tooltip="" display="Catherine Mwafulirwa, Ag Projects planning manager, mbewe08@gmail.com, Tamala Nyirenda, water Loss Reduction Engineer , temanyirenda@gmail.com"/>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4"/>
  <legacyDrawing r:id="rId5"/>
</worksheet>
</file>

<file path=xl/worksheets/sheet7.xml><?xml version="1.0" encoding="utf-8"?>
<worksheet xmlns:r="http://schemas.openxmlformats.org/officeDocument/2006/relationships" xmlns="http://schemas.openxmlformats.org/spreadsheetml/2006/main">
  <dimension ref="A1:BA181"/>
  <sheetViews>
    <sheetView workbookViewId="0" showGridLines="0" defaultGridColor="1"/>
  </sheetViews>
  <sheetFormatPr defaultColWidth="8.83333" defaultRowHeight="28.5" customHeight="1" outlineLevelRow="0" outlineLevelCol="0"/>
  <cols>
    <col min="1" max="1" width="6.35156" style="766" customWidth="1"/>
    <col min="2" max="2" width="13.5" style="766" customWidth="1"/>
    <col min="3" max="3" width="13.8516" style="766" customWidth="1"/>
    <col min="4" max="4" width="8.85156" style="766" customWidth="1"/>
    <col min="5" max="5" width="9.85156" style="766" customWidth="1"/>
    <col min="6" max="6" width="10.8516" style="766" customWidth="1"/>
    <col min="7" max="7" width="8.85156" style="766" customWidth="1"/>
    <col min="8" max="8" width="25.1719" style="766" customWidth="1"/>
    <col min="9" max="9" width="20.6719" style="766" customWidth="1"/>
    <col min="10" max="11" width="8.85156" style="766" customWidth="1"/>
    <col min="12" max="13" width="12.5" style="766" customWidth="1"/>
    <col min="14" max="14" width="17.5" style="766" customWidth="1"/>
    <col min="15" max="15" width="14.3516" style="766" customWidth="1"/>
    <col min="16" max="16" width="13.6719" style="766" customWidth="1"/>
    <col min="17" max="17" width="8.85156" style="766" customWidth="1"/>
    <col min="18" max="18" width="42.3516" style="766" customWidth="1"/>
    <col min="19" max="19" width="12.1719" style="766" customWidth="1"/>
    <col min="20" max="21" width="8.85156" style="766" customWidth="1"/>
    <col min="22" max="22" width="12.3516" style="766" customWidth="1"/>
    <col min="23" max="23" width="8.85156" style="766" customWidth="1"/>
    <col min="24" max="24" width="12" style="766" customWidth="1"/>
    <col min="25" max="25" width="8.85156" style="766" customWidth="1"/>
    <col min="26" max="26" width="29.5" style="766" customWidth="1"/>
    <col min="27" max="27" width="8.85156" style="766" customWidth="1"/>
    <col min="28" max="28" width="12.5" style="766" customWidth="1"/>
    <col min="29" max="29" width="10.5" style="766" customWidth="1"/>
    <col min="30" max="30" width="16.1719" style="766" customWidth="1"/>
    <col min="31" max="31" width="15" style="766" customWidth="1"/>
    <col min="32" max="32" width="9.5" style="766" customWidth="1"/>
    <col min="33" max="35" width="8.85156" style="766" customWidth="1"/>
    <col min="36" max="36" width="27" style="766" customWidth="1"/>
    <col min="37" max="38" width="8.85156" style="766" customWidth="1"/>
    <col min="39" max="39" width="16.3516" style="766" customWidth="1"/>
    <col min="40" max="43" width="8.85156" style="766" customWidth="1"/>
    <col min="44" max="44" width="24.1719" style="766" customWidth="1"/>
    <col min="45" max="45" width="12" style="766" customWidth="1"/>
    <col min="46" max="46" width="11.3516" style="766" customWidth="1"/>
    <col min="47" max="53" width="8.85156" style="766" customWidth="1"/>
    <col min="54" max="16384" width="8.85156" style="766" customWidth="1"/>
  </cols>
  <sheetData>
    <row r="1" ht="27" customHeight="1">
      <c r="A1" s="2"/>
      <c r="B1" s="3"/>
      <c r="C1" t="s" s="520">
        <v>2012</v>
      </c>
      <c r="D1" t="s" s="520">
        <v>2013</v>
      </c>
      <c r="E1" t="s" s="520">
        <v>2014</v>
      </c>
      <c r="F1" t="s" s="520">
        <v>2015</v>
      </c>
      <c r="G1" t="s" s="520">
        <v>2016</v>
      </c>
      <c r="H1" t="s" s="520">
        <v>2017</v>
      </c>
      <c r="I1" t="s" s="520">
        <v>2018</v>
      </c>
      <c r="J1" t="s" s="520">
        <v>2019</v>
      </c>
      <c r="K1" t="s" s="520">
        <v>2020</v>
      </c>
      <c r="L1" t="s" s="520">
        <v>2021</v>
      </c>
      <c r="M1" s="767"/>
      <c r="N1" t="s" s="520">
        <v>2022</v>
      </c>
      <c r="O1" s="767"/>
      <c r="P1" t="s" s="520">
        <v>2023</v>
      </c>
      <c r="Q1" t="s" s="520">
        <v>2024</v>
      </c>
      <c r="R1" t="s" s="520">
        <v>2025</v>
      </c>
      <c r="S1" t="s" s="520">
        <v>2026</v>
      </c>
      <c r="T1" t="s" s="520">
        <v>2027</v>
      </c>
      <c r="U1" t="s" s="520">
        <v>2028</v>
      </c>
      <c r="V1" t="s" s="520">
        <v>2029</v>
      </c>
      <c r="W1" t="s" s="520">
        <v>2030</v>
      </c>
      <c r="X1" t="s" s="520">
        <v>2031</v>
      </c>
      <c r="Y1" t="s" s="520">
        <v>2032</v>
      </c>
      <c r="Z1" t="s" s="520">
        <v>2033</v>
      </c>
      <c r="AA1" t="s" s="520">
        <v>2034</v>
      </c>
      <c r="AB1" t="s" s="520">
        <v>2035</v>
      </c>
      <c r="AC1" t="s" s="520">
        <v>2036</v>
      </c>
      <c r="AD1" t="s" s="520">
        <v>2037</v>
      </c>
      <c r="AE1" t="s" s="520">
        <v>2038</v>
      </c>
      <c r="AF1" t="s" s="520">
        <v>2039</v>
      </c>
      <c r="AG1" t="s" s="520">
        <v>2040</v>
      </c>
      <c r="AH1" t="s" s="520">
        <v>2041</v>
      </c>
      <c r="AI1" t="s" s="520">
        <v>2042</v>
      </c>
      <c r="AJ1" t="s" s="520">
        <v>2043</v>
      </c>
      <c r="AK1" t="s" s="520">
        <v>2044</v>
      </c>
      <c r="AL1" t="s" s="520">
        <v>2045</v>
      </c>
      <c r="AM1" t="s" s="520">
        <v>2046</v>
      </c>
      <c r="AN1" t="s" s="520">
        <v>2047</v>
      </c>
      <c r="AO1" t="s" s="520">
        <v>2048</v>
      </c>
      <c r="AP1" t="s" s="520">
        <v>2049</v>
      </c>
      <c r="AQ1" t="s" s="520">
        <v>2050</v>
      </c>
      <c r="AR1" t="s" s="520">
        <v>2051</v>
      </c>
      <c r="AS1" s="133"/>
      <c r="AT1" s="133"/>
      <c r="AU1" s="59"/>
      <c r="AV1" s="59"/>
      <c r="AW1" s="59"/>
      <c r="AX1" s="59"/>
      <c r="AY1" s="59"/>
      <c r="AZ1" s="59"/>
      <c r="BA1" s="59"/>
    </row>
    <row r="2" ht="27" customHeight="1">
      <c r="A2" s="6"/>
      <c r="B2" t="s" s="7">
        <v>2</v>
      </c>
      <c r="C2" t="s" s="147">
        <v>2052</v>
      </c>
      <c r="D2" s="148"/>
      <c r="E2" s="149"/>
      <c r="F2" t="s" s="145">
        <v>2053</v>
      </c>
      <c r="G2" s="146"/>
      <c r="H2" t="s" s="145">
        <v>125</v>
      </c>
      <c r="I2" s="146"/>
      <c r="J2" t="s" s="768">
        <v>2054</v>
      </c>
      <c r="K2" s="769"/>
      <c r="L2" s="769"/>
      <c r="M2" s="769"/>
      <c r="N2" s="769"/>
      <c r="O2" s="769"/>
      <c r="P2" s="769"/>
      <c r="Q2" s="769"/>
      <c r="R2" s="769"/>
      <c r="S2" s="770"/>
      <c r="T2" t="s" s="145">
        <v>2055</v>
      </c>
      <c r="U2" s="146"/>
      <c r="V2" t="s" s="771">
        <v>2056</v>
      </c>
      <c r="W2" t="s" s="150">
        <v>2057</v>
      </c>
      <c r="X2" t="s" s="145">
        <v>2058</v>
      </c>
      <c r="Y2" s="146"/>
      <c r="Z2" s="146"/>
      <c r="AA2" s="146"/>
      <c r="AB2" s="146"/>
      <c r="AC2" s="146"/>
      <c r="AD2" s="146"/>
      <c r="AE2" s="146"/>
      <c r="AF2" t="s" s="145">
        <v>2059</v>
      </c>
      <c r="AG2" s="146"/>
      <c r="AH2" s="146"/>
      <c r="AI2" s="146"/>
      <c r="AJ2" s="146"/>
      <c r="AK2" s="146"/>
      <c r="AL2" s="146"/>
      <c r="AM2" t="s" s="145">
        <v>2060</v>
      </c>
      <c r="AN2" s="146"/>
      <c r="AO2" t="s" s="772">
        <v>2061</v>
      </c>
      <c r="AP2" s="773"/>
      <c r="AQ2" s="773"/>
      <c r="AR2" s="773"/>
      <c r="AS2" s="773"/>
      <c r="AT2" s="774"/>
      <c r="AU2" s="775"/>
      <c r="AV2" s="59"/>
      <c r="AW2" s="59"/>
      <c r="AX2" s="59"/>
      <c r="AY2" s="59"/>
      <c r="AZ2" s="59"/>
      <c r="BA2" s="59"/>
    </row>
    <row r="3" ht="27.4" customHeight="1">
      <c r="A3" s="6"/>
      <c r="B3" s="10"/>
      <c r="C3" t="s" s="525">
        <v>2062</v>
      </c>
      <c r="D3" t="s" s="525">
        <v>2063</v>
      </c>
      <c r="E3" t="s" s="156">
        <v>2064</v>
      </c>
      <c r="F3" t="s" s="150">
        <v>148</v>
      </c>
      <c r="G3" t="s" s="150">
        <v>995</v>
      </c>
      <c r="H3" t="s" s="150">
        <v>2065</v>
      </c>
      <c r="I3" t="s" s="150">
        <v>2066</v>
      </c>
      <c r="J3" t="s" s="150">
        <v>2067</v>
      </c>
      <c r="K3" t="s" s="525">
        <v>2063</v>
      </c>
      <c r="L3" t="s" s="156">
        <v>2068</v>
      </c>
      <c r="M3" t="s" s="156">
        <v>174</v>
      </c>
      <c r="N3" t="s" s="156">
        <v>2069</v>
      </c>
      <c r="O3" t="s" s="156">
        <v>174</v>
      </c>
      <c r="P3" t="s" s="525">
        <v>2070</v>
      </c>
      <c r="Q3" t="s" s="525">
        <v>2071</v>
      </c>
      <c r="R3" t="s" s="525">
        <v>2072</v>
      </c>
      <c r="S3" t="s" s="525">
        <v>2073</v>
      </c>
      <c r="T3" t="s" s="150">
        <v>148</v>
      </c>
      <c r="U3" t="s" s="150">
        <v>995</v>
      </c>
      <c r="V3" t="s" s="150">
        <v>2074</v>
      </c>
      <c r="W3" t="s" s="150">
        <v>2075</v>
      </c>
      <c r="X3" t="s" s="150">
        <v>2076</v>
      </c>
      <c r="Y3" t="s" s="150">
        <v>2077</v>
      </c>
      <c r="Z3" t="s" s="150">
        <v>2078</v>
      </c>
      <c r="AA3" t="s" s="150">
        <v>2079</v>
      </c>
      <c r="AB3" t="s" s="150">
        <v>2080</v>
      </c>
      <c r="AC3" t="s" s="150">
        <v>2081</v>
      </c>
      <c r="AD3" t="s" s="158">
        <v>2082</v>
      </c>
      <c r="AE3" t="s" s="158">
        <v>2083</v>
      </c>
      <c r="AF3" t="s" s="150">
        <v>2084</v>
      </c>
      <c r="AG3" t="s" s="150">
        <v>989</v>
      </c>
      <c r="AH3" t="s" s="150">
        <v>2085</v>
      </c>
      <c r="AI3" t="s" s="158">
        <v>2086</v>
      </c>
      <c r="AJ3" t="s" s="150">
        <v>2087</v>
      </c>
      <c r="AK3" t="s" s="158">
        <v>2088</v>
      </c>
      <c r="AL3" t="s" s="158">
        <v>2089</v>
      </c>
      <c r="AM3" t="s" s="150">
        <v>148</v>
      </c>
      <c r="AN3" t="s" s="150">
        <v>995</v>
      </c>
      <c r="AO3" t="s" s="525">
        <v>2090</v>
      </c>
      <c r="AP3" t="s" s="147">
        <v>2091</v>
      </c>
      <c r="AQ3" s="148"/>
      <c r="AR3" s="148"/>
      <c r="AS3" s="148"/>
      <c r="AT3" s="149"/>
      <c r="AU3" s="775"/>
      <c r="AV3" s="59"/>
      <c r="AW3" s="59"/>
      <c r="AX3" s="59"/>
      <c r="AY3" s="59"/>
      <c r="AZ3" s="59"/>
      <c r="BA3" s="59"/>
    </row>
    <row r="4" ht="48" customHeight="1">
      <c r="A4" s="13"/>
      <c r="B4" s="10"/>
      <c r="C4" s="776"/>
      <c r="D4" s="776"/>
      <c r="E4" s="161"/>
      <c r="F4" s="151"/>
      <c r="G4" s="151"/>
      <c r="H4" s="151"/>
      <c r="I4" s="151"/>
      <c r="J4" s="151"/>
      <c r="K4" s="776"/>
      <c r="L4" s="161"/>
      <c r="M4" s="164"/>
      <c r="N4" s="161"/>
      <c r="O4" s="164"/>
      <c r="P4" s="776"/>
      <c r="Q4" s="776"/>
      <c r="R4" s="776"/>
      <c r="S4" s="776"/>
      <c r="T4" s="151"/>
      <c r="U4" s="151"/>
      <c r="V4" s="151"/>
      <c r="W4" s="151"/>
      <c r="X4" s="151"/>
      <c r="Y4" s="151"/>
      <c r="Z4" s="151"/>
      <c r="AA4" s="151"/>
      <c r="AB4" s="151"/>
      <c r="AC4" s="151"/>
      <c r="AD4" s="163"/>
      <c r="AE4" s="163"/>
      <c r="AF4" s="151"/>
      <c r="AG4" s="151"/>
      <c r="AH4" s="151"/>
      <c r="AI4" s="163"/>
      <c r="AJ4" s="151"/>
      <c r="AK4" s="163"/>
      <c r="AL4" s="163"/>
      <c r="AM4" s="151"/>
      <c r="AN4" s="151"/>
      <c r="AO4" s="776"/>
      <c r="AP4" t="s" s="777">
        <v>2092</v>
      </c>
      <c r="AQ4" t="s" s="777">
        <v>2093</v>
      </c>
      <c r="AR4" t="s" s="150">
        <v>2094</v>
      </c>
      <c r="AS4" t="s" s="150">
        <v>2095</v>
      </c>
      <c r="AT4" t="s" s="150">
        <v>2096</v>
      </c>
      <c r="AU4" s="775"/>
      <c r="AV4" s="59"/>
      <c r="AW4" s="59"/>
      <c r="AX4" s="59"/>
      <c r="AY4" s="59"/>
      <c r="AZ4" s="59"/>
      <c r="BA4" s="59"/>
    </row>
    <row r="5" ht="24" customHeight="1">
      <c r="A5" s="15">
        <v>1</v>
      </c>
      <c r="B5" t="s" s="16">
        <v>6</v>
      </c>
      <c r="C5" t="s" s="17">
        <v>200</v>
      </c>
      <c r="D5" t="s" s="171">
        <v>2097</v>
      </c>
      <c r="E5" s="169"/>
      <c r="F5" t="s" s="18">
        <v>2098</v>
      </c>
      <c r="G5" s="169"/>
      <c r="H5" t="s" s="18">
        <v>197</v>
      </c>
      <c r="I5" t="s" s="18">
        <v>197</v>
      </c>
      <c r="J5" t="s" s="18">
        <v>200</v>
      </c>
      <c r="K5" s="166">
        <v>97</v>
      </c>
      <c r="L5" t="s" s="18">
        <v>2099</v>
      </c>
      <c r="M5" s="315"/>
      <c r="N5" s="166">
        <v>0</v>
      </c>
      <c r="O5" s="315"/>
      <c r="P5" t="s" s="18">
        <v>197</v>
      </c>
      <c r="Q5" s="166">
        <v>2</v>
      </c>
      <c r="R5" s="169"/>
      <c r="S5" s="166">
        <v>1</v>
      </c>
      <c r="T5" t="s" s="170">
        <v>2100</v>
      </c>
      <c r="U5" s="420"/>
      <c r="V5" s="169"/>
      <c r="W5" s="169"/>
      <c r="X5" s="238">
        <v>0.84</v>
      </c>
      <c r="Y5" s="166">
        <v>2</v>
      </c>
      <c r="Z5" s="169"/>
      <c r="AA5" s="166">
        <v>2</v>
      </c>
      <c r="AB5" s="166">
        <v>0</v>
      </c>
      <c r="AC5" s="166">
        <v>0</v>
      </c>
      <c r="AD5" t="s" s="18">
        <v>2101</v>
      </c>
      <c r="AE5" t="s" s="18">
        <v>2101</v>
      </c>
      <c r="AF5" s="169"/>
      <c r="AG5" s="169"/>
      <c r="AH5" s="169"/>
      <c r="AI5" s="169"/>
      <c r="AJ5" s="169"/>
      <c r="AK5" s="169"/>
      <c r="AL5" s="169"/>
      <c r="AM5" s="169"/>
      <c r="AN5" s="778"/>
      <c r="AO5" t="s" s="779">
        <v>2102</v>
      </c>
      <c r="AP5" t="s" s="780">
        <v>2103</v>
      </c>
      <c r="AQ5" s="781"/>
      <c r="AR5" s="169"/>
      <c r="AS5" s="169"/>
      <c r="AT5" s="169"/>
      <c r="AU5" s="59"/>
      <c r="AV5" s="59"/>
      <c r="AW5" s="59"/>
      <c r="AX5" s="59"/>
      <c r="AY5" s="59"/>
      <c r="AZ5" s="59"/>
      <c r="BA5" s="59"/>
    </row>
    <row r="6" ht="24" customHeight="1">
      <c r="A6" s="19"/>
      <c r="B6" s="20"/>
      <c r="C6" t="s" s="220">
        <v>2104</v>
      </c>
      <c r="D6" s="208">
        <v>0.3</v>
      </c>
      <c r="E6" t="s" s="209">
        <v>197</v>
      </c>
      <c r="F6" s="22"/>
      <c r="G6" s="22"/>
      <c r="H6" s="22"/>
      <c r="I6" s="22"/>
      <c r="J6" t="s" s="209">
        <v>230</v>
      </c>
      <c r="K6" s="208">
        <v>1.9</v>
      </c>
      <c r="L6" t="s" s="782">
        <v>2105</v>
      </c>
      <c r="M6" s="783"/>
      <c r="N6" t="s" s="209">
        <v>2106</v>
      </c>
      <c r="O6" s="212"/>
      <c r="P6" t="s" s="209">
        <v>2107</v>
      </c>
      <c r="Q6" s="208">
        <v>2</v>
      </c>
      <c r="R6" s="22"/>
      <c r="S6" s="208">
        <v>1</v>
      </c>
      <c r="T6" s="22"/>
      <c r="U6" s="22"/>
      <c r="V6" s="22"/>
      <c r="W6" s="22"/>
      <c r="X6" s="22"/>
      <c r="Y6" s="22"/>
      <c r="Z6" s="22"/>
      <c r="AA6" s="22"/>
      <c r="AB6" s="22"/>
      <c r="AC6" s="22"/>
      <c r="AD6" s="22"/>
      <c r="AE6" s="22"/>
      <c r="AF6" s="22"/>
      <c r="AG6" s="22"/>
      <c r="AH6" s="22"/>
      <c r="AI6" s="22"/>
      <c r="AJ6" s="22"/>
      <c r="AK6" s="22"/>
      <c r="AL6" s="22"/>
      <c r="AM6" s="22"/>
      <c r="AN6" s="22"/>
      <c r="AO6" s="784"/>
      <c r="AP6" t="s" s="185">
        <v>2108</v>
      </c>
      <c r="AQ6" s="21"/>
      <c r="AR6" s="22"/>
      <c r="AS6" s="22"/>
      <c r="AT6" s="22"/>
      <c r="AU6" s="59"/>
      <c r="AV6" s="59"/>
      <c r="AW6" s="59"/>
      <c r="AX6" s="59"/>
      <c r="AY6" s="59"/>
      <c r="AZ6" s="59"/>
      <c r="BA6" s="59"/>
    </row>
    <row r="7" ht="36" customHeight="1">
      <c r="A7" s="19"/>
      <c r="B7" s="20"/>
      <c r="C7" s="21"/>
      <c r="D7" s="209"/>
      <c r="E7" s="22"/>
      <c r="F7" s="22"/>
      <c r="G7" s="22"/>
      <c r="H7" s="22"/>
      <c r="I7" s="22"/>
      <c r="J7" t="s" s="209">
        <v>357</v>
      </c>
      <c r="K7" s="208">
        <v>0.05</v>
      </c>
      <c r="L7" t="s" s="209">
        <v>197</v>
      </c>
      <c r="M7" s="212"/>
      <c r="N7" t="s" s="209">
        <v>197</v>
      </c>
      <c r="O7" s="212"/>
      <c r="P7" s="208">
        <v>1</v>
      </c>
      <c r="Q7" s="208">
        <v>2</v>
      </c>
      <c r="R7" s="22"/>
      <c r="S7" s="208">
        <v>1</v>
      </c>
      <c r="T7" s="22"/>
      <c r="U7" s="22"/>
      <c r="V7" s="22"/>
      <c r="W7" s="22"/>
      <c r="X7" s="22"/>
      <c r="Y7" s="22"/>
      <c r="Z7" s="22"/>
      <c r="AA7" s="22"/>
      <c r="AB7" s="22"/>
      <c r="AC7" s="22"/>
      <c r="AD7" s="22"/>
      <c r="AE7" s="22"/>
      <c r="AF7" s="22"/>
      <c r="AG7" s="22"/>
      <c r="AH7" s="22"/>
      <c r="AI7" s="22"/>
      <c r="AJ7" s="22"/>
      <c r="AK7" s="22"/>
      <c r="AL7" s="22"/>
      <c r="AM7" s="22"/>
      <c r="AN7" s="22"/>
      <c r="AO7" s="785"/>
      <c r="AP7" t="s" s="185">
        <v>2109</v>
      </c>
      <c r="AQ7" s="21"/>
      <c r="AR7" s="22"/>
      <c r="AS7" s="22"/>
      <c r="AT7" s="22"/>
      <c r="AU7" s="59"/>
      <c r="AV7" s="59"/>
      <c r="AW7" s="59"/>
      <c r="AX7" s="59"/>
      <c r="AY7" s="59"/>
      <c r="AZ7" s="59"/>
      <c r="BA7" s="59"/>
    </row>
    <row r="8" ht="15" customHeight="1">
      <c r="A8" s="19"/>
      <c r="B8" s="20"/>
      <c r="C8" s="21"/>
      <c r="D8" s="22"/>
      <c r="E8" s="22"/>
      <c r="F8" s="22"/>
      <c r="G8" s="22"/>
      <c r="H8" s="22"/>
      <c r="I8" s="22"/>
      <c r="J8" t="s" s="786">
        <v>265</v>
      </c>
      <c r="K8" s="213">
        <v>0.3</v>
      </c>
      <c r="L8" t="s" s="209">
        <v>197</v>
      </c>
      <c r="M8" s="212"/>
      <c r="N8" t="s" s="209">
        <v>197</v>
      </c>
      <c r="O8" s="212"/>
      <c r="P8" t="s" s="209">
        <v>197</v>
      </c>
      <c r="Q8" s="22"/>
      <c r="R8" s="22"/>
      <c r="S8" s="22"/>
      <c r="T8" s="22"/>
      <c r="U8" s="22"/>
      <c r="V8" s="22"/>
      <c r="W8" s="22"/>
      <c r="X8" s="22"/>
      <c r="Y8" s="22"/>
      <c r="Z8" s="22"/>
      <c r="AA8" s="22"/>
      <c r="AB8" s="22"/>
      <c r="AC8" s="22"/>
      <c r="AD8" s="22"/>
      <c r="AE8" s="22"/>
      <c r="AF8" s="22"/>
      <c r="AG8" s="22"/>
      <c r="AH8" s="22"/>
      <c r="AI8" s="22"/>
      <c r="AJ8" s="22"/>
      <c r="AK8" s="22"/>
      <c r="AL8" s="22"/>
      <c r="AM8" s="22"/>
      <c r="AN8" s="22"/>
      <c r="AO8" s="22"/>
      <c r="AP8" s="787"/>
      <c r="AQ8" s="22"/>
      <c r="AR8" s="22"/>
      <c r="AS8" s="22"/>
      <c r="AT8" s="22"/>
      <c r="AU8" s="59"/>
      <c r="AV8" s="59"/>
      <c r="AW8" s="59"/>
      <c r="AX8" s="59"/>
      <c r="AY8" s="59"/>
      <c r="AZ8" s="59"/>
      <c r="BA8" s="59"/>
    </row>
    <row r="9" ht="15" customHeight="1">
      <c r="A9" s="19"/>
      <c r="B9" s="20"/>
      <c r="C9" s="21"/>
      <c r="D9" s="22"/>
      <c r="E9" s="22"/>
      <c r="F9" s="22"/>
      <c r="G9" s="22"/>
      <c r="H9" s="22"/>
      <c r="I9" s="785"/>
      <c r="J9" t="s" s="497">
        <v>2110</v>
      </c>
      <c r="K9" s="498">
        <v>0.4</v>
      </c>
      <c r="L9" t="s" s="220">
        <v>197</v>
      </c>
      <c r="M9" s="212"/>
      <c r="N9" t="s" s="209">
        <v>197</v>
      </c>
      <c r="O9" s="212"/>
      <c r="P9" t="s" s="209">
        <v>2111</v>
      </c>
      <c r="Q9" s="208">
        <v>2</v>
      </c>
      <c r="R9" s="22"/>
      <c r="S9" s="208">
        <v>1</v>
      </c>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59"/>
      <c r="AV9" s="59"/>
      <c r="AW9" s="59"/>
      <c r="AX9" s="59"/>
      <c r="AY9" s="59"/>
      <c r="AZ9" s="59"/>
      <c r="BA9" s="59"/>
    </row>
    <row r="10" ht="15" customHeight="1">
      <c r="A10" s="19"/>
      <c r="B10" s="20"/>
      <c r="C10" s="21"/>
      <c r="D10" s="22"/>
      <c r="E10" s="22"/>
      <c r="F10" s="22"/>
      <c r="G10" s="22"/>
      <c r="H10" s="22"/>
      <c r="I10" s="22"/>
      <c r="J10" t="s" s="788">
        <v>2112</v>
      </c>
      <c r="K10" s="789">
        <v>0.35</v>
      </c>
      <c r="L10" s="22"/>
      <c r="M10" s="212"/>
      <c r="N10" s="22"/>
      <c r="O10" s="21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59"/>
      <c r="AV10" s="59"/>
      <c r="AW10" s="59"/>
      <c r="AX10" s="59"/>
      <c r="AY10" s="59"/>
      <c r="AZ10" s="59"/>
      <c r="BA10" s="59"/>
    </row>
    <row r="11" ht="15" customHeight="1">
      <c r="A11" s="19"/>
      <c r="B11" s="20"/>
      <c r="C11" s="21"/>
      <c r="D11" s="22"/>
      <c r="E11" s="22"/>
      <c r="F11" s="22"/>
      <c r="G11" s="22"/>
      <c r="H11" s="22"/>
      <c r="I11" s="22"/>
      <c r="J11" s="22"/>
      <c r="K11" s="22"/>
      <c r="L11" s="22"/>
      <c r="M11" s="212"/>
      <c r="N11" s="22"/>
      <c r="O11" s="21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59"/>
      <c r="AV11" s="59"/>
      <c r="AW11" s="59"/>
      <c r="AX11" s="59"/>
      <c r="AY11" s="59"/>
      <c r="AZ11" s="59"/>
      <c r="BA11" s="59"/>
    </row>
    <row r="12" ht="15" customHeight="1">
      <c r="A12" s="23"/>
      <c r="B12" s="24"/>
      <c r="C12" s="25"/>
      <c r="D12" s="26"/>
      <c r="E12" s="26"/>
      <c r="F12" s="26"/>
      <c r="G12" s="26"/>
      <c r="H12" s="26"/>
      <c r="I12" s="26"/>
      <c r="J12" s="26"/>
      <c r="K12" s="26"/>
      <c r="L12" s="26"/>
      <c r="M12" s="206"/>
      <c r="N12" s="26"/>
      <c r="O12" s="20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59"/>
      <c r="AV12" s="59"/>
      <c r="AW12" s="59"/>
      <c r="AX12" s="59"/>
      <c r="AY12" s="59"/>
      <c r="AZ12" s="59"/>
      <c r="BA12" s="59"/>
    </row>
    <row r="13" ht="120" customHeight="1">
      <c r="A13" s="27">
        <v>2</v>
      </c>
      <c r="B13" t="s" s="28">
        <v>10</v>
      </c>
      <c r="C13" t="s" s="29">
        <v>200</v>
      </c>
      <c r="D13" s="167">
        <v>100</v>
      </c>
      <c r="E13" s="172">
        <v>0</v>
      </c>
      <c r="F13" s="168"/>
      <c r="G13" t="s" s="18">
        <v>2113</v>
      </c>
      <c r="H13" t="s" s="171">
        <v>218</v>
      </c>
      <c r="I13" t="s" s="171">
        <v>218</v>
      </c>
      <c r="J13" t="s" s="171">
        <v>200</v>
      </c>
      <c r="K13" s="167">
        <v>80</v>
      </c>
      <c r="L13" s="172">
        <f>2100/3.44</f>
        <v>610.465116279070</v>
      </c>
      <c r="M13" s="176">
        <v>294</v>
      </c>
      <c r="N13" s="172">
        <f t="shared" si="1" ref="N13:N14">1800/3.44</f>
        <v>523.255813953488</v>
      </c>
      <c r="O13" s="176">
        <v>252</v>
      </c>
      <c r="P13" t="s" s="171">
        <v>223</v>
      </c>
      <c r="Q13" s="167">
        <v>1</v>
      </c>
      <c r="R13" t="s" s="171">
        <v>2114</v>
      </c>
      <c r="S13" s="167">
        <v>1</v>
      </c>
      <c r="T13" s="168"/>
      <c r="U13" t="s" s="18">
        <v>2113</v>
      </c>
      <c r="V13" t="s" s="171">
        <v>223</v>
      </c>
      <c r="W13" s="167">
        <v>2</v>
      </c>
      <c r="X13" s="167">
        <v>80</v>
      </c>
      <c r="Y13" s="167">
        <v>1</v>
      </c>
      <c r="Z13" t="s" s="170">
        <v>2115</v>
      </c>
      <c r="AA13" s="167">
        <v>1</v>
      </c>
      <c r="AB13" s="167">
        <v>1</v>
      </c>
      <c r="AC13" s="167">
        <v>1</v>
      </c>
      <c r="AD13" t="s" s="171">
        <v>2116</v>
      </c>
      <c r="AE13" t="s" s="171">
        <v>2117</v>
      </c>
      <c r="AF13" t="s" s="171">
        <v>2118</v>
      </c>
      <c r="AG13" s="167">
        <v>60</v>
      </c>
      <c r="AH13" s="167">
        <v>1986</v>
      </c>
      <c r="AI13" t="s" s="171">
        <v>197</v>
      </c>
      <c r="AJ13" t="s" s="171">
        <v>197</v>
      </c>
      <c r="AK13" t="s" s="171">
        <v>2119</v>
      </c>
      <c r="AL13" t="s" s="171">
        <v>2120</v>
      </c>
      <c r="AM13" t="s" s="18">
        <v>2121</v>
      </c>
      <c r="AN13" t="s" s="790">
        <v>1879</v>
      </c>
      <c r="AO13" t="s" s="779">
        <v>2122</v>
      </c>
      <c r="AP13" t="s" s="779">
        <v>2123</v>
      </c>
      <c r="AQ13" t="s" s="779">
        <v>2124</v>
      </c>
      <c r="AR13" t="s" s="791">
        <v>2125</v>
      </c>
      <c r="AS13" t="s" s="779">
        <v>2126</v>
      </c>
      <c r="AT13" t="s" s="779">
        <v>2126</v>
      </c>
      <c r="AU13" s="58"/>
      <c r="AV13" s="59"/>
      <c r="AW13" s="59"/>
      <c r="AX13" s="59"/>
      <c r="AY13" s="59"/>
      <c r="AZ13" s="59"/>
      <c r="BA13" s="59"/>
    </row>
    <row r="14" ht="48" customHeight="1">
      <c r="A14" s="31"/>
      <c r="B14" s="32"/>
      <c r="C14" s="33"/>
      <c r="D14" s="34"/>
      <c r="E14" s="34"/>
      <c r="F14" s="34"/>
      <c r="G14" s="34"/>
      <c r="H14" s="34"/>
      <c r="I14" s="34"/>
      <c r="J14" t="s" s="182">
        <v>230</v>
      </c>
      <c r="K14" s="183">
        <v>20</v>
      </c>
      <c r="L14" s="202">
        <f>1500/3.44</f>
        <v>436.046511627907</v>
      </c>
      <c r="M14" s="187">
        <v>210</v>
      </c>
      <c r="N14" s="202">
        <f t="shared" si="1"/>
        <v>523.255813953488</v>
      </c>
      <c r="O14" s="187">
        <v>252</v>
      </c>
      <c r="P14" s="183">
        <v>2</v>
      </c>
      <c r="Q14" s="183">
        <v>1</v>
      </c>
      <c r="R14" t="s" s="182">
        <v>2127</v>
      </c>
      <c r="S14" t="s" s="182">
        <v>223</v>
      </c>
      <c r="T14" s="34"/>
      <c r="U14" s="34"/>
      <c r="V14" s="34"/>
      <c r="W14" s="34"/>
      <c r="X14" s="34"/>
      <c r="Y14" s="34"/>
      <c r="Z14" s="211"/>
      <c r="AA14" s="34"/>
      <c r="AB14" s="34"/>
      <c r="AC14" s="34"/>
      <c r="AD14" s="34"/>
      <c r="AE14" s="34"/>
      <c r="AF14" s="34"/>
      <c r="AG14" s="34"/>
      <c r="AH14" s="34"/>
      <c r="AI14" s="34"/>
      <c r="AJ14" s="34"/>
      <c r="AK14" s="34"/>
      <c r="AL14" s="34"/>
      <c r="AM14" s="34"/>
      <c r="AN14" s="34"/>
      <c r="AO14" s="792"/>
      <c r="AP14" s="426"/>
      <c r="AQ14" s="426"/>
      <c r="AR14" s="793"/>
      <c r="AS14" s="426"/>
      <c r="AT14" s="426"/>
      <c r="AU14" s="58"/>
      <c r="AV14" s="59"/>
      <c r="AW14" s="59"/>
      <c r="AX14" s="59"/>
      <c r="AY14" s="59"/>
      <c r="AZ14" s="59"/>
      <c r="BA14" s="59"/>
    </row>
    <row r="15" ht="15" customHeight="1">
      <c r="A15" s="31"/>
      <c r="B15" s="32"/>
      <c r="C15" s="33"/>
      <c r="D15" s="34"/>
      <c r="E15" s="34"/>
      <c r="F15" s="34"/>
      <c r="G15" s="34"/>
      <c r="H15" s="34"/>
      <c r="I15" s="34"/>
      <c r="J15" s="34"/>
      <c r="K15" s="34"/>
      <c r="L15" s="34"/>
      <c r="M15" s="187"/>
      <c r="N15" s="34"/>
      <c r="O15" s="187"/>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189"/>
      <c r="AQ15" s="189"/>
      <c r="AR15" s="189"/>
      <c r="AS15" s="189"/>
      <c r="AT15" s="189"/>
      <c r="AU15" s="59"/>
      <c r="AV15" s="59"/>
      <c r="AW15" s="59"/>
      <c r="AX15" s="59"/>
      <c r="AY15" s="59"/>
      <c r="AZ15" s="59"/>
      <c r="BA15" s="59"/>
    </row>
    <row r="16" ht="15" customHeight="1">
      <c r="A16" s="31"/>
      <c r="B16" s="32"/>
      <c r="C16" s="33"/>
      <c r="D16" s="34"/>
      <c r="E16" s="34"/>
      <c r="F16" s="34"/>
      <c r="G16" s="34"/>
      <c r="H16" s="34"/>
      <c r="I16" s="34"/>
      <c r="J16" s="34"/>
      <c r="K16" s="34"/>
      <c r="L16" s="34"/>
      <c r="M16" s="187"/>
      <c r="N16" s="34"/>
      <c r="O16" s="187"/>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59"/>
      <c r="AV16" s="59"/>
      <c r="AW16" s="59"/>
      <c r="AX16" s="59"/>
      <c r="AY16" s="59"/>
      <c r="AZ16" s="59"/>
      <c r="BA16" s="59"/>
    </row>
    <row r="17" ht="15" customHeight="1">
      <c r="A17" s="31"/>
      <c r="B17" s="32"/>
      <c r="C17" s="33"/>
      <c r="D17" s="34"/>
      <c r="E17" s="34"/>
      <c r="F17" s="34"/>
      <c r="G17" s="34"/>
      <c r="H17" s="34"/>
      <c r="I17" s="34"/>
      <c r="J17" s="34"/>
      <c r="K17" s="34"/>
      <c r="L17" s="34"/>
      <c r="M17" s="187"/>
      <c r="N17" s="34"/>
      <c r="O17" s="187"/>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59"/>
      <c r="AV17" s="59"/>
      <c r="AW17" s="59"/>
      <c r="AX17" s="59"/>
      <c r="AY17" s="59"/>
      <c r="AZ17" s="59"/>
      <c r="BA17" s="59"/>
    </row>
    <row r="18" ht="15" customHeight="1">
      <c r="A18" s="35"/>
      <c r="B18" s="24"/>
      <c r="C18" s="25"/>
      <c r="D18" s="26"/>
      <c r="E18" s="26"/>
      <c r="F18" s="26"/>
      <c r="G18" s="26"/>
      <c r="H18" s="26"/>
      <c r="I18" s="26"/>
      <c r="J18" s="26"/>
      <c r="K18" s="26"/>
      <c r="L18" s="26"/>
      <c r="M18" s="206"/>
      <c r="N18" s="26"/>
      <c r="O18" s="20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59"/>
      <c r="AV18" s="59"/>
      <c r="AW18" s="59"/>
      <c r="AX18" s="59"/>
      <c r="AY18" s="59"/>
      <c r="AZ18" s="59"/>
      <c r="BA18" s="59"/>
    </row>
    <row r="19" ht="48" customHeight="1">
      <c r="A19" s="15">
        <v>3</v>
      </c>
      <c r="B19" t="s" s="16">
        <v>12</v>
      </c>
      <c r="C19" t="s" s="17">
        <v>200</v>
      </c>
      <c r="D19" s="166">
        <v>94.93000000000001</v>
      </c>
      <c r="E19" s="169"/>
      <c r="F19" t="s" s="18">
        <v>2128</v>
      </c>
      <c r="G19" t="s" s="18">
        <v>2129</v>
      </c>
      <c r="H19" t="s" s="171">
        <v>2130</v>
      </c>
      <c r="I19" t="s" s="171">
        <v>2131</v>
      </c>
      <c r="J19" t="s" s="18">
        <v>200</v>
      </c>
      <c r="K19" s="166">
        <v>53.21</v>
      </c>
      <c r="L19" s="794">
        <f t="shared" si="4" ref="L19:L23">1958.75/2.19</f>
        <v>894.406392694064</v>
      </c>
      <c r="M19" s="315">
        <v>612</v>
      </c>
      <c r="N19" s="794">
        <f>386.85/2.19</f>
        <v>176.643835616438</v>
      </c>
      <c r="O19" s="315">
        <v>121</v>
      </c>
      <c r="P19" t="s" s="18">
        <v>197</v>
      </c>
      <c r="Q19" s="166">
        <v>1</v>
      </c>
      <c r="R19" t="s" s="18">
        <v>2132</v>
      </c>
      <c r="S19" t="s" s="18">
        <v>2133</v>
      </c>
      <c r="T19" t="s" s="18">
        <v>2134</v>
      </c>
      <c r="U19" t="s" s="18">
        <v>2135</v>
      </c>
      <c r="V19" s="166">
        <v>4</v>
      </c>
      <c r="W19" s="166">
        <v>1</v>
      </c>
      <c r="X19" s="166">
        <v>65.17</v>
      </c>
      <c r="Y19" s="166">
        <v>1</v>
      </c>
      <c r="Z19" t="s" s="170">
        <v>2136</v>
      </c>
      <c r="AA19" s="166">
        <v>1</v>
      </c>
      <c r="AB19" s="254">
        <v>26</v>
      </c>
      <c r="AC19" s="254">
        <v>26</v>
      </c>
      <c r="AD19" t="s" s="171">
        <v>2137</v>
      </c>
      <c r="AE19" t="s" s="18">
        <v>197</v>
      </c>
      <c r="AF19" t="s" s="18">
        <v>2138</v>
      </c>
      <c r="AG19" s="560">
        <v>0.1025</v>
      </c>
      <c r="AH19" t="s" s="18">
        <v>2139</v>
      </c>
      <c r="AI19" t="s" s="18">
        <v>197</v>
      </c>
      <c r="AJ19" t="s" s="18">
        <v>2140</v>
      </c>
      <c r="AK19" t="s" s="18">
        <v>2141</v>
      </c>
      <c r="AL19" t="s" s="18">
        <v>2142</v>
      </c>
      <c r="AM19" t="s" s="18">
        <v>2143</v>
      </c>
      <c r="AN19" t="s" s="790">
        <v>2144</v>
      </c>
      <c r="AO19" t="s" s="780">
        <v>2145</v>
      </c>
      <c r="AP19" t="s" s="779">
        <v>2146</v>
      </c>
      <c r="AQ19" t="s" s="779">
        <v>2147</v>
      </c>
      <c r="AR19" t="s" s="795">
        <v>2148</v>
      </c>
      <c r="AS19" t="s" s="779">
        <v>2149</v>
      </c>
      <c r="AT19" t="s" s="779">
        <v>2149</v>
      </c>
      <c r="AU19" s="58"/>
      <c r="AV19" s="59"/>
      <c r="AW19" s="59"/>
      <c r="AX19" s="59"/>
      <c r="AY19" s="59"/>
      <c r="AZ19" s="59"/>
      <c r="BA19" s="59"/>
    </row>
    <row r="20" ht="15" customHeight="1">
      <c r="A20" s="19"/>
      <c r="B20" s="32"/>
      <c r="C20" t="s" s="220">
        <v>2150</v>
      </c>
      <c r="D20" s="208">
        <v>5</v>
      </c>
      <c r="E20" s="22"/>
      <c r="F20" s="22"/>
      <c r="G20" s="22"/>
      <c r="H20" s="22"/>
      <c r="I20" s="22"/>
      <c r="J20" t="s" s="209">
        <v>230</v>
      </c>
      <c r="K20" s="208">
        <v>15.58</v>
      </c>
      <c r="L20" s="796">
        <f>2343.77/2.19</f>
        <v>1070.214611872150</v>
      </c>
      <c r="M20" s="212">
        <v>733</v>
      </c>
      <c r="N20" s="796">
        <f>450/2.19</f>
        <v>205.479452054795</v>
      </c>
      <c r="O20" s="212">
        <v>141</v>
      </c>
      <c r="P20" s="208">
        <v>2</v>
      </c>
      <c r="Q20" s="208">
        <v>1</v>
      </c>
      <c r="R20" t="s" s="182">
        <v>2132</v>
      </c>
      <c r="S20" t="s" s="209">
        <v>2133</v>
      </c>
      <c r="T20" s="22"/>
      <c r="U20" s="22"/>
      <c r="V20" s="22"/>
      <c r="W20" s="22"/>
      <c r="X20" s="22"/>
      <c r="Y20" s="22"/>
      <c r="Z20" s="211"/>
      <c r="AA20" s="22"/>
      <c r="AB20" s="211"/>
      <c r="AC20" s="22"/>
      <c r="AD20" s="22"/>
      <c r="AE20" s="22"/>
      <c r="AF20" t="s" s="209">
        <v>2151</v>
      </c>
      <c r="AG20" s="797">
        <v>0.2373</v>
      </c>
      <c r="AH20" t="s" s="209">
        <v>2152</v>
      </c>
      <c r="AI20" t="s" s="209">
        <v>197</v>
      </c>
      <c r="AJ20" t="s" s="209">
        <v>2153</v>
      </c>
      <c r="AK20" t="s" s="209">
        <v>2154</v>
      </c>
      <c r="AL20" t="s" s="209">
        <v>2154</v>
      </c>
      <c r="AM20" s="22"/>
      <c r="AN20" s="22"/>
      <c r="AO20" s="787"/>
      <c r="AP20" s="787"/>
      <c r="AQ20" s="784"/>
      <c r="AR20" s="798"/>
      <c r="AS20" s="799"/>
      <c r="AT20" s="787"/>
      <c r="AU20" s="59"/>
      <c r="AV20" s="59"/>
      <c r="AW20" s="59"/>
      <c r="AX20" s="59"/>
      <c r="AY20" s="59"/>
      <c r="AZ20" s="59"/>
      <c r="BA20" s="59"/>
    </row>
    <row r="21" ht="15" customHeight="1">
      <c r="A21" s="19"/>
      <c r="B21" s="32"/>
      <c r="C21" t="s" s="220">
        <v>210</v>
      </c>
      <c r="D21" s="208">
        <v>0.07000000000000001</v>
      </c>
      <c r="E21" s="22"/>
      <c r="F21" s="22"/>
      <c r="G21" s="22"/>
      <c r="H21" s="22"/>
      <c r="I21" s="22"/>
      <c r="J21" t="s" s="209">
        <v>210</v>
      </c>
      <c r="K21" s="208">
        <v>1.26</v>
      </c>
      <c r="L21" t="s" s="209">
        <v>2155</v>
      </c>
      <c r="M21" s="212"/>
      <c r="N21" s="208">
        <v>0</v>
      </c>
      <c r="O21" s="212"/>
      <c r="P21" s="208">
        <v>5</v>
      </c>
      <c r="Q21" s="208">
        <v>2</v>
      </c>
      <c r="R21" s="22"/>
      <c r="S21" s="208">
        <v>3</v>
      </c>
      <c r="T21" s="22"/>
      <c r="U21" s="22"/>
      <c r="V21" s="22"/>
      <c r="W21" s="22"/>
      <c r="X21" s="22"/>
      <c r="Y21" s="22"/>
      <c r="Z21" s="211"/>
      <c r="AA21" s="22"/>
      <c r="AB21" s="22"/>
      <c r="AC21" s="22"/>
      <c r="AD21" s="22"/>
      <c r="AE21" s="22"/>
      <c r="AF21" t="s" s="209">
        <v>2156</v>
      </c>
      <c r="AG21" s="718">
        <v>0.4747</v>
      </c>
      <c r="AH21" t="s" s="209">
        <v>2157</v>
      </c>
      <c r="AI21" t="s" s="209">
        <v>197</v>
      </c>
      <c r="AJ21" t="s" s="209">
        <v>2158</v>
      </c>
      <c r="AK21" t="s" s="209">
        <v>197</v>
      </c>
      <c r="AL21" t="s" s="209">
        <v>197</v>
      </c>
      <c r="AM21" s="22"/>
      <c r="AN21" s="22"/>
      <c r="AO21" s="22"/>
      <c r="AP21" s="22"/>
      <c r="AQ21" s="785"/>
      <c r="AR21" s="798"/>
      <c r="AS21" s="21"/>
      <c r="AT21" s="22"/>
      <c r="AU21" s="59"/>
      <c r="AV21" s="59"/>
      <c r="AW21" s="59"/>
      <c r="AX21" s="59"/>
      <c r="AY21" s="59"/>
      <c r="AZ21" s="59"/>
      <c r="BA21" s="59"/>
    </row>
    <row r="22" ht="15" customHeight="1">
      <c r="A22" s="19"/>
      <c r="B22" s="32"/>
      <c r="C22" s="21"/>
      <c r="D22" s="22"/>
      <c r="E22" s="22"/>
      <c r="F22" s="22"/>
      <c r="G22" s="22"/>
      <c r="H22" s="22"/>
      <c r="I22" s="22"/>
      <c r="J22" t="s" s="209">
        <v>265</v>
      </c>
      <c r="K22" s="208">
        <v>4.85</v>
      </c>
      <c r="L22" s="208">
        <v>0</v>
      </c>
      <c r="M22" s="212"/>
      <c r="N22" s="208">
        <v>0</v>
      </c>
      <c r="O22" s="212"/>
      <c r="P22" t="s" s="209">
        <v>197</v>
      </c>
      <c r="Q22" s="22"/>
      <c r="R22" s="22"/>
      <c r="S22" s="22"/>
      <c r="T22" s="22"/>
      <c r="U22" s="22"/>
      <c r="V22" s="22"/>
      <c r="W22" s="22"/>
      <c r="X22" s="22"/>
      <c r="Y22" s="22"/>
      <c r="Z22" s="211"/>
      <c r="AA22" s="22"/>
      <c r="AB22" s="22"/>
      <c r="AC22" s="22"/>
      <c r="AD22" s="22"/>
      <c r="AE22" s="22"/>
      <c r="AF22" t="s" s="209">
        <v>2159</v>
      </c>
      <c r="AG22" t="s" s="209">
        <v>197</v>
      </c>
      <c r="AH22" t="s" s="209">
        <v>197</v>
      </c>
      <c r="AI22" t="s" s="209">
        <v>197</v>
      </c>
      <c r="AJ22" t="s" s="209">
        <v>197</v>
      </c>
      <c r="AK22" t="s" s="209">
        <v>197</v>
      </c>
      <c r="AL22" t="s" s="209">
        <v>197</v>
      </c>
      <c r="AM22" s="22"/>
      <c r="AN22" s="22"/>
      <c r="AO22" s="22"/>
      <c r="AP22" s="22"/>
      <c r="AQ22" s="785"/>
      <c r="AR22" s="798"/>
      <c r="AS22" s="21"/>
      <c r="AT22" s="22"/>
      <c r="AU22" s="59"/>
      <c r="AV22" s="59"/>
      <c r="AW22" s="59"/>
      <c r="AX22" s="59"/>
      <c r="AY22" s="59"/>
      <c r="AZ22" s="59"/>
      <c r="BA22" s="59"/>
    </row>
    <row r="23" ht="36" customHeight="1">
      <c r="A23" s="19"/>
      <c r="B23" s="32"/>
      <c r="C23" s="21"/>
      <c r="D23" s="22"/>
      <c r="E23" s="22"/>
      <c r="F23" s="22"/>
      <c r="G23" s="22"/>
      <c r="H23" s="22"/>
      <c r="I23" s="22"/>
      <c r="J23" t="s" s="209">
        <v>2160</v>
      </c>
      <c r="K23" s="208">
        <v>25.1</v>
      </c>
      <c r="L23" s="796">
        <f t="shared" si="4"/>
        <v>894.406392694064</v>
      </c>
      <c r="M23" s="212">
        <v>612</v>
      </c>
      <c r="N23" s="208">
        <v>0</v>
      </c>
      <c r="O23" s="212"/>
      <c r="P23" t="s" s="182">
        <v>2161</v>
      </c>
      <c r="Q23" s="208">
        <v>2</v>
      </c>
      <c r="R23" s="22"/>
      <c r="S23" t="s" s="209">
        <v>2162</v>
      </c>
      <c r="T23" s="22"/>
      <c r="U23" s="22"/>
      <c r="V23" s="22"/>
      <c r="W23" s="22"/>
      <c r="X23" s="22"/>
      <c r="Y23" s="22"/>
      <c r="Z23" s="211"/>
      <c r="AA23" s="22"/>
      <c r="AB23" s="22"/>
      <c r="AC23" s="22"/>
      <c r="AD23" s="22"/>
      <c r="AE23" s="22"/>
      <c r="AF23" t="s" s="209">
        <v>2163</v>
      </c>
      <c r="AG23" t="s" s="209">
        <v>2164</v>
      </c>
      <c r="AH23" t="s" s="209">
        <v>2165</v>
      </c>
      <c r="AI23" s="22"/>
      <c r="AJ23" t="s" s="209">
        <v>2158</v>
      </c>
      <c r="AK23" t="s" s="209">
        <v>2154</v>
      </c>
      <c r="AL23" t="s" s="209">
        <v>2154</v>
      </c>
      <c r="AM23" s="22"/>
      <c r="AN23" s="22"/>
      <c r="AO23" s="22"/>
      <c r="AP23" s="22"/>
      <c r="AQ23" s="785"/>
      <c r="AR23" s="798"/>
      <c r="AS23" s="21"/>
      <c r="AT23" s="22"/>
      <c r="AU23" s="59"/>
      <c r="AV23" s="59"/>
      <c r="AW23" s="59"/>
      <c r="AX23" s="59"/>
      <c r="AY23" s="59"/>
      <c r="AZ23" s="59"/>
      <c r="BA23" s="59"/>
    </row>
    <row r="24" ht="15" customHeight="1">
      <c r="A24" s="19"/>
      <c r="B24" s="32"/>
      <c r="C24" s="21"/>
      <c r="D24" s="22"/>
      <c r="E24" s="22"/>
      <c r="F24" s="22"/>
      <c r="G24" s="22"/>
      <c r="H24" s="22"/>
      <c r="I24" s="22"/>
      <c r="J24" s="22"/>
      <c r="K24" s="22"/>
      <c r="L24" s="796">
        <f>2810.91/2.19</f>
        <v>1283.520547945210</v>
      </c>
      <c r="M24" s="212">
        <v>879</v>
      </c>
      <c r="N24" s="22"/>
      <c r="O24" s="212"/>
      <c r="P24" s="22"/>
      <c r="Q24" s="22"/>
      <c r="R24" s="22"/>
      <c r="S24" s="22"/>
      <c r="T24" s="22"/>
      <c r="U24" s="22"/>
      <c r="V24" s="22"/>
      <c r="W24" s="22"/>
      <c r="X24" s="22"/>
      <c r="Y24" s="22"/>
      <c r="Z24" s="211"/>
      <c r="AA24" s="22"/>
      <c r="AB24" s="22"/>
      <c r="AC24" s="22"/>
      <c r="AD24" s="22"/>
      <c r="AE24" s="22"/>
      <c r="AF24" t="s" s="209">
        <v>2166</v>
      </c>
      <c r="AG24" s="718">
        <v>0.047</v>
      </c>
      <c r="AH24" s="208">
        <v>1980</v>
      </c>
      <c r="AI24" s="22"/>
      <c r="AJ24" t="s" s="209">
        <v>2158</v>
      </c>
      <c r="AK24" t="s" s="209">
        <v>2154</v>
      </c>
      <c r="AL24" t="s" s="209">
        <v>2167</v>
      </c>
      <c r="AM24" s="22"/>
      <c r="AN24" s="22"/>
      <c r="AO24" s="22"/>
      <c r="AP24" s="22"/>
      <c r="AQ24" s="785"/>
      <c r="AR24" s="798"/>
      <c r="AS24" s="21"/>
      <c r="AT24" s="22"/>
      <c r="AU24" s="59"/>
      <c r="AV24" s="59"/>
      <c r="AW24" s="59"/>
      <c r="AX24" s="59"/>
      <c r="AY24" s="59"/>
      <c r="AZ24" s="59"/>
      <c r="BA24" s="59"/>
    </row>
    <row r="25" ht="15" customHeight="1">
      <c r="A25" s="19"/>
      <c r="B25" s="32"/>
      <c r="C25" s="21"/>
      <c r="D25" s="22"/>
      <c r="E25" s="22"/>
      <c r="F25" s="22"/>
      <c r="G25" s="22"/>
      <c r="H25" s="22"/>
      <c r="I25" s="22"/>
      <c r="J25" s="22"/>
      <c r="K25" s="22"/>
      <c r="L25" s="22"/>
      <c r="M25" s="212"/>
      <c r="N25" s="22"/>
      <c r="O25" s="212"/>
      <c r="P25" s="22"/>
      <c r="Q25" s="22"/>
      <c r="R25" s="22"/>
      <c r="S25" s="22"/>
      <c r="T25" s="22"/>
      <c r="U25" s="22"/>
      <c r="V25" s="22"/>
      <c r="W25" s="22"/>
      <c r="X25" s="22"/>
      <c r="Y25" s="22"/>
      <c r="Z25" s="22"/>
      <c r="AA25" s="22"/>
      <c r="AB25" s="22"/>
      <c r="AC25" s="22"/>
      <c r="AD25" s="22"/>
      <c r="AE25" s="22"/>
      <c r="AF25" t="s" s="209">
        <v>2168</v>
      </c>
      <c r="AG25" s="718">
        <v>0.021</v>
      </c>
      <c r="AH25" t="s" s="209">
        <v>2169</v>
      </c>
      <c r="AI25" s="22"/>
      <c r="AJ25" t="s" s="209">
        <v>2140</v>
      </c>
      <c r="AK25" t="s" s="209">
        <v>2141</v>
      </c>
      <c r="AL25" t="s" s="209">
        <v>2141</v>
      </c>
      <c r="AM25" s="22"/>
      <c r="AN25" s="22"/>
      <c r="AO25" s="22"/>
      <c r="AP25" s="22"/>
      <c r="AQ25" s="785"/>
      <c r="AR25" s="798"/>
      <c r="AS25" s="21"/>
      <c r="AT25" s="22"/>
      <c r="AU25" s="59"/>
      <c r="AV25" s="59"/>
      <c r="AW25" s="59"/>
      <c r="AX25" s="59"/>
      <c r="AY25" s="59"/>
      <c r="AZ25" s="59"/>
      <c r="BA25" s="59"/>
    </row>
    <row r="26" ht="15" customHeight="1">
      <c r="A26" s="19"/>
      <c r="B26" s="32"/>
      <c r="C26" s="21"/>
      <c r="D26" s="22"/>
      <c r="E26" s="22"/>
      <c r="F26" s="22"/>
      <c r="G26" s="22"/>
      <c r="H26" s="22"/>
      <c r="I26" s="22"/>
      <c r="J26" s="22"/>
      <c r="K26" s="22"/>
      <c r="L26" s="22"/>
      <c r="M26" s="212"/>
      <c r="N26" s="22"/>
      <c r="O26" s="212"/>
      <c r="P26" s="22"/>
      <c r="Q26" s="22"/>
      <c r="R26" s="22"/>
      <c r="S26" s="22"/>
      <c r="T26" s="22"/>
      <c r="U26" s="22"/>
      <c r="V26" s="22"/>
      <c r="W26" s="22"/>
      <c r="X26" s="22"/>
      <c r="Y26" s="22"/>
      <c r="Z26" s="22"/>
      <c r="AA26" s="22"/>
      <c r="AB26" s="22"/>
      <c r="AC26" s="22"/>
      <c r="AD26" s="22"/>
      <c r="AE26" s="22"/>
      <c r="AF26" t="s" s="209">
        <v>2170</v>
      </c>
      <c r="AG26" s="718">
        <v>0.068</v>
      </c>
      <c r="AH26" s="22"/>
      <c r="AI26" s="22"/>
      <c r="AJ26" s="22"/>
      <c r="AK26" s="22"/>
      <c r="AL26" s="22"/>
      <c r="AM26" s="22"/>
      <c r="AN26" s="22"/>
      <c r="AO26" s="22"/>
      <c r="AP26" s="22"/>
      <c r="AQ26" s="785"/>
      <c r="AR26" s="798"/>
      <c r="AS26" s="21"/>
      <c r="AT26" s="22"/>
      <c r="AU26" s="59"/>
      <c r="AV26" s="59"/>
      <c r="AW26" s="59"/>
      <c r="AX26" s="59"/>
      <c r="AY26" s="59"/>
      <c r="AZ26" s="59"/>
      <c r="BA26" s="59"/>
    </row>
    <row r="27" ht="15" customHeight="1">
      <c r="A27" s="19"/>
      <c r="B27" s="32"/>
      <c r="C27" s="21"/>
      <c r="D27" s="22"/>
      <c r="E27" s="22"/>
      <c r="F27" s="22"/>
      <c r="G27" s="22"/>
      <c r="H27" s="22"/>
      <c r="I27" s="22"/>
      <c r="J27" s="22"/>
      <c r="K27" s="22"/>
      <c r="L27" s="22"/>
      <c r="M27" s="212"/>
      <c r="N27" s="22"/>
      <c r="O27" s="212"/>
      <c r="P27" s="22"/>
      <c r="Q27" s="22"/>
      <c r="R27" s="22"/>
      <c r="S27" s="22"/>
      <c r="T27" s="22"/>
      <c r="U27" s="22"/>
      <c r="V27" s="22"/>
      <c r="W27" s="22"/>
      <c r="X27" s="22"/>
      <c r="Y27" s="22"/>
      <c r="Z27" s="22"/>
      <c r="AA27" s="22"/>
      <c r="AB27" s="22"/>
      <c r="AC27" s="22"/>
      <c r="AD27" s="22"/>
      <c r="AE27" s="22"/>
      <c r="AF27" t="s" s="209">
        <v>2171</v>
      </c>
      <c r="AG27" s="718">
        <v>0.0004</v>
      </c>
      <c r="AH27" s="22"/>
      <c r="AI27" s="22"/>
      <c r="AJ27" s="22"/>
      <c r="AK27" s="22"/>
      <c r="AL27" s="22"/>
      <c r="AM27" s="22"/>
      <c r="AN27" s="22"/>
      <c r="AO27" s="22"/>
      <c r="AP27" s="22"/>
      <c r="AQ27" s="785"/>
      <c r="AR27" s="798"/>
      <c r="AS27" s="21"/>
      <c r="AT27" s="22"/>
      <c r="AU27" s="59"/>
      <c r="AV27" s="59"/>
      <c r="AW27" s="59"/>
      <c r="AX27" s="59"/>
      <c r="AY27" s="59"/>
      <c r="AZ27" s="59"/>
      <c r="BA27" s="59"/>
    </row>
    <row r="28" ht="15" customHeight="1">
      <c r="A28" s="19"/>
      <c r="B28" s="32"/>
      <c r="C28" s="21"/>
      <c r="D28" s="22"/>
      <c r="E28" s="22"/>
      <c r="F28" s="22"/>
      <c r="G28" s="22"/>
      <c r="H28" s="22"/>
      <c r="I28" s="22"/>
      <c r="J28" s="22"/>
      <c r="K28" s="22"/>
      <c r="L28" s="22"/>
      <c r="M28" s="212"/>
      <c r="N28" s="22"/>
      <c r="O28" s="212"/>
      <c r="P28" s="22"/>
      <c r="Q28" s="22"/>
      <c r="R28" s="22"/>
      <c r="S28" s="22"/>
      <c r="T28" s="22"/>
      <c r="U28" s="22"/>
      <c r="V28" s="22"/>
      <c r="W28" s="22"/>
      <c r="X28" s="22"/>
      <c r="Y28" s="22"/>
      <c r="Z28" s="22"/>
      <c r="AA28" s="22"/>
      <c r="AB28" s="22"/>
      <c r="AC28" s="22"/>
      <c r="AD28" s="22"/>
      <c r="AE28" s="22"/>
      <c r="AF28" t="s" s="209">
        <v>2172</v>
      </c>
      <c r="AG28" s="718">
        <v>0.0004</v>
      </c>
      <c r="AH28" s="22"/>
      <c r="AI28" s="22"/>
      <c r="AJ28" s="22"/>
      <c r="AK28" s="22"/>
      <c r="AL28" s="22"/>
      <c r="AM28" s="22"/>
      <c r="AN28" s="22"/>
      <c r="AO28" s="22"/>
      <c r="AP28" s="22"/>
      <c r="AQ28" s="22"/>
      <c r="AR28" s="787"/>
      <c r="AS28" s="22"/>
      <c r="AT28" s="22"/>
      <c r="AU28" s="59"/>
      <c r="AV28" s="59"/>
      <c r="AW28" s="59"/>
      <c r="AX28" s="59"/>
      <c r="AY28" s="59"/>
      <c r="AZ28" s="59"/>
      <c r="BA28" s="59"/>
    </row>
    <row r="29" ht="15" customHeight="1">
      <c r="A29" s="19"/>
      <c r="B29" s="32"/>
      <c r="C29" s="21"/>
      <c r="D29" s="22"/>
      <c r="E29" s="22"/>
      <c r="F29" s="22"/>
      <c r="G29" s="22"/>
      <c r="H29" s="22"/>
      <c r="I29" s="22"/>
      <c r="J29" s="22"/>
      <c r="K29" s="22"/>
      <c r="L29" s="22"/>
      <c r="M29" s="212"/>
      <c r="N29" s="22"/>
      <c r="O29" s="212"/>
      <c r="P29" s="22"/>
      <c r="Q29" s="22"/>
      <c r="R29" s="22"/>
      <c r="S29" s="22"/>
      <c r="T29" s="22"/>
      <c r="U29" s="22"/>
      <c r="V29" s="22"/>
      <c r="W29" s="22"/>
      <c r="X29" s="22"/>
      <c r="Y29" s="22"/>
      <c r="Z29" s="22"/>
      <c r="AA29" s="22"/>
      <c r="AB29" s="22"/>
      <c r="AC29" s="22"/>
      <c r="AD29" s="22"/>
      <c r="AE29" s="22"/>
      <c r="AF29" t="s" s="209">
        <v>2173</v>
      </c>
      <c r="AG29" s="718">
        <v>0.0006400000000000001</v>
      </c>
      <c r="AH29" s="22"/>
      <c r="AI29" s="22"/>
      <c r="AJ29" s="22"/>
      <c r="AK29" s="22"/>
      <c r="AL29" s="22"/>
      <c r="AM29" s="22"/>
      <c r="AN29" s="22"/>
      <c r="AO29" s="22"/>
      <c r="AP29" s="22"/>
      <c r="AQ29" s="22"/>
      <c r="AR29" s="22"/>
      <c r="AS29" s="22"/>
      <c r="AT29" s="22"/>
      <c r="AU29" s="59"/>
      <c r="AV29" s="59"/>
      <c r="AW29" s="59"/>
      <c r="AX29" s="59"/>
      <c r="AY29" s="59"/>
      <c r="AZ29" s="59"/>
      <c r="BA29" s="59"/>
    </row>
    <row r="30" ht="15" customHeight="1">
      <c r="A30" s="19"/>
      <c r="B30" s="32"/>
      <c r="C30" s="21"/>
      <c r="D30" s="22"/>
      <c r="E30" s="22"/>
      <c r="F30" s="22"/>
      <c r="G30" s="22"/>
      <c r="H30" s="22"/>
      <c r="I30" s="22"/>
      <c r="J30" s="22"/>
      <c r="K30" s="22"/>
      <c r="L30" s="22"/>
      <c r="M30" s="212"/>
      <c r="N30" s="22"/>
      <c r="O30" s="212"/>
      <c r="P30" s="22"/>
      <c r="Q30" s="22"/>
      <c r="R30" s="22"/>
      <c r="S30" s="22"/>
      <c r="T30" s="22"/>
      <c r="U30" s="22"/>
      <c r="V30" s="22"/>
      <c r="W30" s="22"/>
      <c r="X30" s="22"/>
      <c r="Y30" s="22"/>
      <c r="Z30" s="22"/>
      <c r="AA30" s="22"/>
      <c r="AB30" s="22"/>
      <c r="AC30" s="22"/>
      <c r="AD30" s="22"/>
      <c r="AE30" s="22"/>
      <c r="AF30" t="s" s="209">
        <v>2174</v>
      </c>
      <c r="AG30" s="718">
        <v>0.0021</v>
      </c>
      <c r="AH30" s="22"/>
      <c r="AI30" s="22"/>
      <c r="AJ30" s="22"/>
      <c r="AK30" s="22"/>
      <c r="AL30" s="22"/>
      <c r="AM30" s="22"/>
      <c r="AN30" s="22"/>
      <c r="AO30" s="22"/>
      <c r="AP30" s="22"/>
      <c r="AQ30" s="22"/>
      <c r="AR30" s="22"/>
      <c r="AS30" s="22"/>
      <c r="AT30" s="22"/>
      <c r="AU30" s="59"/>
      <c r="AV30" s="59"/>
      <c r="AW30" s="59"/>
      <c r="AX30" s="59"/>
      <c r="AY30" s="59"/>
      <c r="AZ30" s="59"/>
      <c r="BA30" s="59"/>
    </row>
    <row r="31" ht="15" customHeight="1">
      <c r="A31" s="19"/>
      <c r="B31" s="32"/>
      <c r="C31" s="21"/>
      <c r="D31" s="22"/>
      <c r="E31" s="22"/>
      <c r="F31" s="22"/>
      <c r="G31" s="22"/>
      <c r="H31" s="22"/>
      <c r="I31" s="22"/>
      <c r="J31" s="22"/>
      <c r="K31" s="22"/>
      <c r="L31" s="22"/>
      <c r="M31" s="212"/>
      <c r="N31" s="22"/>
      <c r="O31" s="212"/>
      <c r="P31" s="22"/>
      <c r="Q31" s="22"/>
      <c r="R31" s="22"/>
      <c r="S31" s="22"/>
      <c r="T31" s="22"/>
      <c r="U31" s="22"/>
      <c r="V31" s="22"/>
      <c r="W31" s="22"/>
      <c r="X31" s="22"/>
      <c r="Y31" s="22"/>
      <c r="Z31" s="22"/>
      <c r="AA31" s="22"/>
      <c r="AB31" s="22"/>
      <c r="AC31" s="22"/>
      <c r="AD31" s="22"/>
      <c r="AE31" s="22"/>
      <c r="AF31" t="s" s="209">
        <v>2175</v>
      </c>
      <c r="AG31" s="718">
        <v>0.0008</v>
      </c>
      <c r="AH31" s="22"/>
      <c r="AI31" s="22"/>
      <c r="AJ31" s="22"/>
      <c r="AK31" s="22"/>
      <c r="AL31" s="22"/>
      <c r="AM31" s="22"/>
      <c r="AN31" s="22"/>
      <c r="AO31" s="22"/>
      <c r="AP31" s="22"/>
      <c r="AQ31" s="22"/>
      <c r="AR31" s="22"/>
      <c r="AS31" s="22"/>
      <c r="AT31" s="22"/>
      <c r="AU31" s="59"/>
      <c r="AV31" s="59"/>
      <c r="AW31" s="59"/>
      <c r="AX31" s="59"/>
      <c r="AY31" s="59"/>
      <c r="AZ31" s="59"/>
      <c r="BA31" s="59"/>
    </row>
    <row r="32" ht="15" customHeight="1">
      <c r="A32" s="19"/>
      <c r="B32" s="32"/>
      <c r="C32" s="21"/>
      <c r="D32" s="22"/>
      <c r="E32" s="22"/>
      <c r="F32" s="22"/>
      <c r="G32" s="22"/>
      <c r="H32" s="22"/>
      <c r="I32" s="22"/>
      <c r="J32" s="22"/>
      <c r="K32" s="22"/>
      <c r="L32" s="22"/>
      <c r="M32" s="212"/>
      <c r="N32" s="22"/>
      <c r="O32" s="212"/>
      <c r="P32" s="22"/>
      <c r="Q32" s="22"/>
      <c r="R32" s="22"/>
      <c r="S32" s="22"/>
      <c r="T32" s="22"/>
      <c r="U32" s="22"/>
      <c r="V32" s="22"/>
      <c r="W32" s="22"/>
      <c r="X32" s="22"/>
      <c r="Y32" s="22"/>
      <c r="Z32" s="22"/>
      <c r="AA32" s="22"/>
      <c r="AB32" s="22"/>
      <c r="AC32" s="22"/>
      <c r="AD32" s="22"/>
      <c r="AE32" s="22"/>
      <c r="AF32" t="s" s="209">
        <v>2176</v>
      </c>
      <c r="AG32" s="718">
        <v>0.0005</v>
      </c>
      <c r="AH32" s="22"/>
      <c r="AI32" s="22"/>
      <c r="AJ32" s="22"/>
      <c r="AK32" s="22"/>
      <c r="AL32" s="22"/>
      <c r="AM32" s="22"/>
      <c r="AN32" s="22"/>
      <c r="AO32" s="22"/>
      <c r="AP32" s="22"/>
      <c r="AQ32" s="22"/>
      <c r="AR32" s="22"/>
      <c r="AS32" s="22"/>
      <c r="AT32" s="22"/>
      <c r="AU32" s="59"/>
      <c r="AV32" s="59"/>
      <c r="AW32" s="59"/>
      <c r="AX32" s="59"/>
      <c r="AY32" s="59"/>
      <c r="AZ32" s="59"/>
      <c r="BA32" s="59"/>
    </row>
    <row r="33" ht="15" customHeight="1">
      <c r="A33" s="19"/>
      <c r="B33" s="32"/>
      <c r="C33" s="21"/>
      <c r="D33" s="22"/>
      <c r="E33" s="22"/>
      <c r="F33" s="22"/>
      <c r="G33" s="22"/>
      <c r="H33" s="22"/>
      <c r="I33" s="22"/>
      <c r="J33" s="22"/>
      <c r="K33" s="22"/>
      <c r="L33" s="22"/>
      <c r="M33" s="212"/>
      <c r="N33" s="22"/>
      <c r="O33" s="212"/>
      <c r="P33" s="22"/>
      <c r="Q33" s="22"/>
      <c r="R33" s="22"/>
      <c r="S33" s="22"/>
      <c r="T33" s="22"/>
      <c r="U33" s="22"/>
      <c r="V33" s="22"/>
      <c r="W33" s="22"/>
      <c r="X33" s="22"/>
      <c r="Y33" s="22"/>
      <c r="Z33" s="22"/>
      <c r="AA33" s="22"/>
      <c r="AB33" s="22"/>
      <c r="AC33" s="22"/>
      <c r="AD33" s="22"/>
      <c r="AE33" s="22"/>
      <c r="AF33" t="s" s="209">
        <v>2177</v>
      </c>
      <c r="AG33" s="718">
        <v>0.0003</v>
      </c>
      <c r="AH33" s="22"/>
      <c r="AI33" s="22"/>
      <c r="AJ33" s="22"/>
      <c r="AK33" s="22"/>
      <c r="AL33" s="22"/>
      <c r="AM33" s="22"/>
      <c r="AN33" s="22"/>
      <c r="AO33" s="22"/>
      <c r="AP33" s="22"/>
      <c r="AQ33" s="22"/>
      <c r="AR33" s="22"/>
      <c r="AS33" s="22"/>
      <c r="AT33" s="22"/>
      <c r="AU33" s="59"/>
      <c r="AV33" s="59"/>
      <c r="AW33" s="59"/>
      <c r="AX33" s="59"/>
      <c r="AY33" s="59"/>
      <c r="AZ33" s="59"/>
      <c r="BA33" s="59"/>
    </row>
    <row r="34" ht="15" customHeight="1">
      <c r="A34" s="19"/>
      <c r="B34" s="32"/>
      <c r="C34" s="21"/>
      <c r="D34" s="22"/>
      <c r="E34" s="22"/>
      <c r="F34" s="22"/>
      <c r="G34" s="22"/>
      <c r="H34" s="22"/>
      <c r="I34" s="22"/>
      <c r="J34" s="22"/>
      <c r="K34" s="22"/>
      <c r="L34" s="22"/>
      <c r="M34" s="212"/>
      <c r="N34" s="22"/>
      <c r="O34" s="212"/>
      <c r="P34" s="22"/>
      <c r="Q34" s="22"/>
      <c r="R34" s="22"/>
      <c r="S34" s="22"/>
      <c r="T34" s="22"/>
      <c r="U34" s="22"/>
      <c r="V34" s="22"/>
      <c r="W34" s="22"/>
      <c r="X34" s="22"/>
      <c r="Y34" s="22"/>
      <c r="Z34" s="22"/>
      <c r="AA34" s="22"/>
      <c r="AB34" s="22"/>
      <c r="AC34" s="22"/>
      <c r="AD34" s="22"/>
      <c r="AE34" s="22"/>
      <c r="AF34" t="s" s="209">
        <v>2178</v>
      </c>
      <c r="AG34" s="718">
        <f>2163/6320446</f>
        <v>0.000342222684918121</v>
      </c>
      <c r="AH34" s="22"/>
      <c r="AI34" s="22"/>
      <c r="AJ34" s="22"/>
      <c r="AK34" s="22"/>
      <c r="AL34" s="22"/>
      <c r="AM34" s="22"/>
      <c r="AN34" s="22"/>
      <c r="AO34" s="22"/>
      <c r="AP34" s="22"/>
      <c r="AQ34" s="22"/>
      <c r="AR34" s="22"/>
      <c r="AS34" s="22"/>
      <c r="AT34" s="22"/>
      <c r="AU34" s="59"/>
      <c r="AV34" s="59"/>
      <c r="AW34" s="59"/>
      <c r="AX34" s="59"/>
      <c r="AY34" s="59"/>
      <c r="AZ34" s="59"/>
      <c r="BA34" s="59"/>
    </row>
    <row r="35" ht="15" customHeight="1">
      <c r="A35" s="19"/>
      <c r="B35" s="37"/>
      <c r="C35" s="538"/>
      <c r="D35" s="227"/>
      <c r="E35" s="227"/>
      <c r="F35" s="227"/>
      <c r="G35" s="227"/>
      <c r="H35" s="227"/>
      <c r="I35" s="227"/>
      <c r="J35" s="227"/>
      <c r="K35" s="227"/>
      <c r="L35" s="227"/>
      <c r="M35" s="229"/>
      <c r="N35" s="227"/>
      <c r="O35" s="229"/>
      <c r="P35" s="227"/>
      <c r="Q35" s="227"/>
      <c r="R35" s="227"/>
      <c r="S35" s="227"/>
      <c r="T35" s="227"/>
      <c r="U35" s="227"/>
      <c r="V35" s="227"/>
      <c r="W35" s="227"/>
      <c r="X35" s="227"/>
      <c r="Y35" s="227"/>
      <c r="Z35" s="227"/>
      <c r="AA35" s="227"/>
      <c r="AB35" s="227"/>
      <c r="AC35" s="227"/>
      <c r="AD35" s="227"/>
      <c r="AE35" s="227"/>
      <c r="AF35" t="s" s="209">
        <v>2179</v>
      </c>
      <c r="AG35" s="718">
        <f>35800/6320446</f>
        <v>0.00566415724459951</v>
      </c>
      <c r="AH35" s="22"/>
      <c r="AI35" s="227"/>
      <c r="AJ35" s="227"/>
      <c r="AK35" s="227"/>
      <c r="AL35" s="227"/>
      <c r="AM35" s="227"/>
      <c r="AN35" s="227"/>
      <c r="AO35" s="227"/>
      <c r="AP35" s="227"/>
      <c r="AQ35" s="227"/>
      <c r="AR35" s="227"/>
      <c r="AS35" s="227"/>
      <c r="AT35" s="227"/>
      <c r="AU35" s="59"/>
      <c r="AV35" s="59"/>
      <c r="AW35" s="59"/>
      <c r="AX35" s="59"/>
      <c r="AY35" s="59"/>
      <c r="AZ35" s="59"/>
      <c r="BA35" s="59"/>
    </row>
    <row r="36" ht="15" customHeight="1">
      <c r="A36" s="19"/>
      <c r="B36" s="37"/>
      <c r="C36" s="538"/>
      <c r="D36" s="227"/>
      <c r="E36" s="227"/>
      <c r="F36" s="227"/>
      <c r="G36" s="227"/>
      <c r="H36" s="227"/>
      <c r="I36" s="227"/>
      <c r="J36" s="227"/>
      <c r="K36" s="227"/>
      <c r="L36" s="227"/>
      <c r="M36" s="229"/>
      <c r="N36" s="227"/>
      <c r="O36" s="229"/>
      <c r="P36" s="227"/>
      <c r="Q36" s="227"/>
      <c r="R36" s="227"/>
      <c r="S36" s="227"/>
      <c r="T36" s="227"/>
      <c r="U36" s="227"/>
      <c r="V36" s="227"/>
      <c r="W36" s="227"/>
      <c r="X36" s="227"/>
      <c r="Y36" s="227"/>
      <c r="Z36" s="227"/>
      <c r="AA36" s="227"/>
      <c r="AB36" s="227"/>
      <c r="AC36" s="227"/>
      <c r="AD36" s="227"/>
      <c r="AE36" s="227"/>
      <c r="AF36" t="s" s="209">
        <v>2180</v>
      </c>
      <c r="AG36" s="718">
        <f>10000/6320446</f>
        <v>0.00158216682810042</v>
      </c>
      <c r="AH36" s="22"/>
      <c r="AI36" s="227"/>
      <c r="AJ36" s="227"/>
      <c r="AK36" s="227"/>
      <c r="AL36" s="227"/>
      <c r="AM36" s="227"/>
      <c r="AN36" s="227"/>
      <c r="AO36" s="227"/>
      <c r="AP36" s="227"/>
      <c r="AQ36" s="227"/>
      <c r="AR36" s="227"/>
      <c r="AS36" s="227"/>
      <c r="AT36" s="227"/>
      <c r="AU36" s="59"/>
      <c r="AV36" s="59"/>
      <c r="AW36" s="59"/>
      <c r="AX36" s="59"/>
      <c r="AY36" s="59"/>
      <c r="AZ36" s="59"/>
      <c r="BA36" s="59"/>
    </row>
    <row r="37" ht="15" customHeight="1">
      <c r="A37" s="19"/>
      <c r="B37" s="37"/>
      <c r="C37" s="538"/>
      <c r="D37" s="227"/>
      <c r="E37" s="227"/>
      <c r="F37" s="227"/>
      <c r="G37" s="227"/>
      <c r="H37" s="227"/>
      <c r="I37" s="227"/>
      <c r="J37" s="227"/>
      <c r="K37" s="227"/>
      <c r="L37" s="227"/>
      <c r="M37" s="229"/>
      <c r="N37" s="227"/>
      <c r="O37" s="229"/>
      <c r="P37" s="227"/>
      <c r="Q37" s="227"/>
      <c r="R37" s="227"/>
      <c r="S37" s="227"/>
      <c r="T37" s="227"/>
      <c r="U37" s="227"/>
      <c r="V37" s="227"/>
      <c r="W37" s="227"/>
      <c r="X37" s="227"/>
      <c r="Y37" s="227"/>
      <c r="Z37" s="227"/>
      <c r="AA37" s="227"/>
      <c r="AB37" s="227"/>
      <c r="AC37" s="227"/>
      <c r="AD37" s="227"/>
      <c r="AE37" s="227"/>
      <c r="AF37" t="s" s="209">
        <v>2181</v>
      </c>
      <c r="AG37" s="718">
        <f>5000/6320446</f>
        <v>0.000791083414050211</v>
      </c>
      <c r="AH37" s="22"/>
      <c r="AI37" s="227"/>
      <c r="AJ37" s="227"/>
      <c r="AK37" s="227"/>
      <c r="AL37" s="227"/>
      <c r="AM37" s="227"/>
      <c r="AN37" s="227"/>
      <c r="AO37" s="227"/>
      <c r="AP37" s="227"/>
      <c r="AQ37" s="227"/>
      <c r="AR37" s="227"/>
      <c r="AS37" s="227"/>
      <c r="AT37" s="227"/>
      <c r="AU37" s="59"/>
      <c r="AV37" s="59"/>
      <c r="AW37" s="59"/>
      <c r="AX37" s="59"/>
      <c r="AY37" s="59"/>
      <c r="AZ37" s="59"/>
      <c r="BA37" s="59"/>
    </row>
    <row r="38" ht="15" customHeight="1">
      <c r="A38" s="19"/>
      <c r="B38" s="37"/>
      <c r="C38" s="538"/>
      <c r="D38" s="227"/>
      <c r="E38" s="227"/>
      <c r="F38" s="227"/>
      <c r="G38" s="227"/>
      <c r="H38" s="227"/>
      <c r="I38" s="227"/>
      <c r="J38" s="227"/>
      <c r="K38" s="227"/>
      <c r="L38" s="227"/>
      <c r="M38" s="229"/>
      <c r="N38" s="227"/>
      <c r="O38" s="229"/>
      <c r="P38" s="227"/>
      <c r="Q38" s="227"/>
      <c r="R38" s="227"/>
      <c r="S38" s="227"/>
      <c r="T38" s="227"/>
      <c r="U38" s="227"/>
      <c r="V38" s="227"/>
      <c r="W38" s="227"/>
      <c r="X38" s="227"/>
      <c r="Y38" s="227"/>
      <c r="Z38" s="227"/>
      <c r="AA38" s="227"/>
      <c r="AB38" s="227"/>
      <c r="AC38" s="227"/>
      <c r="AD38" s="227"/>
      <c r="AE38" s="227"/>
      <c r="AF38" t="s" s="209">
        <v>2182</v>
      </c>
      <c r="AG38" s="718">
        <f>7900/6320446</f>
        <v>0.00124991179419933</v>
      </c>
      <c r="AH38" s="22"/>
      <c r="AI38" s="227"/>
      <c r="AJ38" s="227"/>
      <c r="AK38" s="227"/>
      <c r="AL38" s="227"/>
      <c r="AM38" s="227"/>
      <c r="AN38" s="227"/>
      <c r="AO38" s="227"/>
      <c r="AP38" s="227"/>
      <c r="AQ38" s="227"/>
      <c r="AR38" s="227"/>
      <c r="AS38" s="227"/>
      <c r="AT38" s="227"/>
      <c r="AU38" s="59"/>
      <c r="AV38" s="59"/>
      <c r="AW38" s="59"/>
      <c r="AX38" s="59"/>
      <c r="AY38" s="59"/>
      <c r="AZ38" s="59"/>
      <c r="BA38" s="59"/>
    </row>
    <row r="39" ht="15" customHeight="1">
      <c r="A39" s="19"/>
      <c r="B39" s="37"/>
      <c r="C39" s="538"/>
      <c r="D39" s="227"/>
      <c r="E39" s="227"/>
      <c r="F39" s="227"/>
      <c r="G39" s="227"/>
      <c r="H39" s="227"/>
      <c r="I39" s="227"/>
      <c r="J39" s="227"/>
      <c r="K39" s="227"/>
      <c r="L39" s="227"/>
      <c r="M39" s="229"/>
      <c r="N39" s="227"/>
      <c r="O39" s="229"/>
      <c r="P39" s="227"/>
      <c r="Q39" s="227"/>
      <c r="R39" s="227"/>
      <c r="S39" s="227"/>
      <c r="T39" s="227"/>
      <c r="U39" s="227"/>
      <c r="V39" s="227"/>
      <c r="W39" s="227"/>
      <c r="X39" s="227"/>
      <c r="Y39" s="227"/>
      <c r="Z39" s="227"/>
      <c r="AA39" s="227"/>
      <c r="AB39" s="227"/>
      <c r="AC39" s="227"/>
      <c r="AD39" s="227"/>
      <c r="AE39" s="227"/>
      <c r="AF39" t="s" s="209">
        <v>2183</v>
      </c>
      <c r="AG39" s="718">
        <f>29600/6320446</f>
        <v>0.00468321381117725</v>
      </c>
      <c r="AH39" s="22"/>
      <c r="AI39" s="227"/>
      <c r="AJ39" s="227"/>
      <c r="AK39" s="227"/>
      <c r="AL39" s="227"/>
      <c r="AM39" s="227"/>
      <c r="AN39" s="227"/>
      <c r="AO39" s="227"/>
      <c r="AP39" s="227"/>
      <c r="AQ39" s="227"/>
      <c r="AR39" s="227"/>
      <c r="AS39" s="227"/>
      <c r="AT39" s="227"/>
      <c r="AU39" s="59"/>
      <c r="AV39" s="59"/>
      <c r="AW39" s="59"/>
      <c r="AX39" s="59"/>
      <c r="AY39" s="59"/>
      <c r="AZ39" s="59"/>
      <c r="BA39" s="59"/>
    </row>
    <row r="40" ht="15" customHeight="1">
      <c r="A40" s="19"/>
      <c r="B40" s="37"/>
      <c r="C40" s="538"/>
      <c r="D40" s="227"/>
      <c r="E40" s="227"/>
      <c r="F40" s="227"/>
      <c r="G40" s="227"/>
      <c r="H40" s="227"/>
      <c r="I40" s="227"/>
      <c r="J40" s="227"/>
      <c r="K40" s="227"/>
      <c r="L40" s="227"/>
      <c r="M40" s="229"/>
      <c r="N40" s="227"/>
      <c r="O40" s="229"/>
      <c r="P40" s="227"/>
      <c r="Q40" s="227"/>
      <c r="R40" s="227"/>
      <c r="S40" s="227"/>
      <c r="T40" s="227"/>
      <c r="U40" s="227"/>
      <c r="V40" s="227"/>
      <c r="W40" s="227"/>
      <c r="X40" s="227"/>
      <c r="Y40" s="227"/>
      <c r="Z40" s="227"/>
      <c r="AA40" s="227"/>
      <c r="AB40" s="227"/>
      <c r="AC40" s="227"/>
      <c r="AD40" s="227"/>
      <c r="AE40" s="227"/>
      <c r="AF40" t="s" s="209">
        <v>2184</v>
      </c>
      <c r="AG40" s="718">
        <f>775/6320446</f>
        <v>0.000122617929177783</v>
      </c>
      <c r="AH40" s="22"/>
      <c r="AI40" s="227"/>
      <c r="AJ40" s="227"/>
      <c r="AK40" s="227"/>
      <c r="AL40" s="227"/>
      <c r="AM40" s="227"/>
      <c r="AN40" s="227"/>
      <c r="AO40" s="227"/>
      <c r="AP40" s="227"/>
      <c r="AQ40" s="227"/>
      <c r="AR40" s="227"/>
      <c r="AS40" s="227"/>
      <c r="AT40" s="227"/>
      <c r="AU40" s="59"/>
      <c r="AV40" s="59"/>
      <c r="AW40" s="59"/>
      <c r="AX40" s="59"/>
      <c r="AY40" s="59"/>
      <c r="AZ40" s="59"/>
      <c r="BA40" s="59"/>
    </row>
    <row r="41" ht="15" customHeight="1">
      <c r="A41" s="19"/>
      <c r="B41" s="37"/>
      <c r="C41" s="538"/>
      <c r="D41" s="227"/>
      <c r="E41" s="227"/>
      <c r="F41" s="227"/>
      <c r="G41" s="227"/>
      <c r="H41" s="227"/>
      <c r="I41" s="227"/>
      <c r="J41" s="227"/>
      <c r="K41" s="227"/>
      <c r="L41" s="227"/>
      <c r="M41" s="229"/>
      <c r="N41" s="227"/>
      <c r="O41" s="229"/>
      <c r="P41" s="227"/>
      <c r="Q41" s="227"/>
      <c r="R41" s="227"/>
      <c r="S41" s="227"/>
      <c r="T41" s="227"/>
      <c r="U41" s="227"/>
      <c r="V41" s="227"/>
      <c r="W41" s="227"/>
      <c r="X41" s="227"/>
      <c r="Y41" s="227"/>
      <c r="Z41" s="227"/>
      <c r="AA41" s="227"/>
      <c r="AB41" s="227"/>
      <c r="AC41" s="227"/>
      <c r="AD41" s="227"/>
      <c r="AE41" s="227"/>
      <c r="AF41" t="s" s="209">
        <v>2185</v>
      </c>
      <c r="AG41" s="718">
        <f>4800/6320446</f>
        <v>0.000759440077488203</v>
      </c>
      <c r="AH41" s="22"/>
      <c r="AI41" s="227"/>
      <c r="AJ41" s="227"/>
      <c r="AK41" s="227"/>
      <c r="AL41" s="227"/>
      <c r="AM41" s="227"/>
      <c r="AN41" s="227"/>
      <c r="AO41" s="227"/>
      <c r="AP41" s="227"/>
      <c r="AQ41" s="227"/>
      <c r="AR41" s="227"/>
      <c r="AS41" s="227"/>
      <c r="AT41" s="227"/>
      <c r="AU41" s="59"/>
      <c r="AV41" s="59"/>
      <c r="AW41" s="59"/>
      <c r="AX41" s="59"/>
      <c r="AY41" s="59"/>
      <c r="AZ41" s="59"/>
      <c r="BA41" s="59"/>
    </row>
    <row r="42" ht="15" customHeight="1">
      <c r="A42" s="23"/>
      <c r="B42" s="40"/>
      <c r="C42" s="540"/>
      <c r="D42" s="231"/>
      <c r="E42" s="231"/>
      <c r="F42" s="231"/>
      <c r="G42" s="231"/>
      <c r="H42" s="231"/>
      <c r="I42" s="231"/>
      <c r="J42" s="231"/>
      <c r="K42" s="231"/>
      <c r="L42" s="231"/>
      <c r="M42" s="233"/>
      <c r="N42" s="231"/>
      <c r="O42" s="233"/>
      <c r="P42" s="231"/>
      <c r="Q42" s="231"/>
      <c r="R42" s="231"/>
      <c r="S42" s="231"/>
      <c r="T42" s="231"/>
      <c r="U42" s="231"/>
      <c r="V42" s="231"/>
      <c r="W42" s="231"/>
      <c r="X42" s="231"/>
      <c r="Y42" s="231"/>
      <c r="Z42" s="231"/>
      <c r="AA42" s="231"/>
      <c r="AB42" s="231"/>
      <c r="AC42" s="231"/>
      <c r="AD42" s="231"/>
      <c r="AE42" s="231"/>
      <c r="AF42" t="s" s="624">
        <v>2186</v>
      </c>
      <c r="AG42" s="800">
        <f>2436/6320446</f>
        <v>0.000385415839325263</v>
      </c>
      <c r="AH42" s="26"/>
      <c r="AI42" s="231"/>
      <c r="AJ42" s="231"/>
      <c r="AK42" s="231"/>
      <c r="AL42" s="231"/>
      <c r="AM42" s="231"/>
      <c r="AN42" s="231"/>
      <c r="AO42" s="231"/>
      <c r="AP42" s="231"/>
      <c r="AQ42" s="231"/>
      <c r="AR42" s="231"/>
      <c r="AS42" s="231"/>
      <c r="AT42" s="231"/>
      <c r="AU42" s="59"/>
      <c r="AV42" s="59"/>
      <c r="AW42" s="59"/>
      <c r="AX42" s="59"/>
      <c r="AY42" s="59"/>
      <c r="AZ42" s="59"/>
      <c r="BA42" s="59"/>
    </row>
    <row r="43" ht="92.25" customHeight="1">
      <c r="A43" s="15">
        <v>4</v>
      </c>
      <c r="B43" t="s" s="16">
        <v>14</v>
      </c>
      <c r="C43" t="s" s="17">
        <v>200</v>
      </c>
      <c r="D43" s="559">
        <v>1</v>
      </c>
      <c r="E43" s="169"/>
      <c r="F43" t="s" s="18">
        <v>2187</v>
      </c>
      <c r="G43" s="168"/>
      <c r="H43" t="s" s="18">
        <v>374</v>
      </c>
      <c r="I43" t="s" s="18">
        <v>374</v>
      </c>
      <c r="J43" t="s" s="173">
        <v>200</v>
      </c>
      <c r="K43" s="801">
        <v>0.7</v>
      </c>
      <c r="L43" s="172">
        <f t="shared" si="19" ref="L43:L46">900/2.19</f>
        <v>410.958904109589</v>
      </c>
      <c r="M43" s="176">
        <v>281</v>
      </c>
      <c r="N43" s="172">
        <f t="shared" si="20" ref="N43:N44">350/2.19</f>
        <v>159.817351598174</v>
      </c>
      <c r="O43" s="176">
        <v>109</v>
      </c>
      <c r="P43" s="169"/>
      <c r="Q43" s="166">
        <v>1</v>
      </c>
      <c r="R43" t="s" s="171">
        <v>2188</v>
      </c>
      <c r="S43" s="168"/>
      <c r="T43" t="s" s="18">
        <v>2189</v>
      </c>
      <c r="U43" t="s" s="18">
        <v>2190</v>
      </c>
      <c r="V43" s="169"/>
      <c r="W43" s="169"/>
      <c r="X43" s="716">
        <v>0.597</v>
      </c>
      <c r="Y43" s="166">
        <v>1</v>
      </c>
      <c r="Z43" t="s" s="171">
        <v>2191</v>
      </c>
      <c r="AA43" s="166">
        <v>1</v>
      </c>
      <c r="AB43" s="166">
        <v>5</v>
      </c>
      <c r="AC43" s="166">
        <v>5</v>
      </c>
      <c r="AD43" t="s" s="18">
        <v>374</v>
      </c>
      <c r="AE43" t="s" s="18">
        <v>374</v>
      </c>
      <c r="AF43" t="s" s="18">
        <v>2192</v>
      </c>
      <c r="AG43" t="s" s="18">
        <v>374</v>
      </c>
      <c r="AH43" t="s" s="18">
        <v>2193</v>
      </c>
      <c r="AI43" t="s" s="18">
        <v>374</v>
      </c>
      <c r="AJ43" t="s" s="18">
        <v>374</v>
      </c>
      <c r="AK43" t="s" s="18">
        <v>374</v>
      </c>
      <c r="AL43" t="s" s="18">
        <v>374</v>
      </c>
      <c r="AM43" t="s" s="171">
        <v>2194</v>
      </c>
      <c r="AN43" s="778"/>
      <c r="AO43" s="802">
        <v>0.97</v>
      </c>
      <c r="AP43" t="s" s="779">
        <v>2195</v>
      </c>
      <c r="AQ43" t="s" s="779">
        <v>2196</v>
      </c>
      <c r="AR43" t="s" s="780">
        <v>2197</v>
      </c>
      <c r="AS43" t="s" s="779">
        <v>2198</v>
      </c>
      <c r="AT43" t="s" s="779">
        <v>197</v>
      </c>
      <c r="AU43" s="58"/>
      <c r="AV43" s="59"/>
      <c r="AW43" s="59"/>
      <c r="AX43" s="59"/>
      <c r="AY43" s="59"/>
      <c r="AZ43" s="59"/>
      <c r="BA43" s="59"/>
    </row>
    <row r="44" ht="15" customHeight="1">
      <c r="A44" s="19"/>
      <c r="B44" s="44"/>
      <c r="C44" s="21"/>
      <c r="D44" s="22"/>
      <c r="E44" s="22"/>
      <c r="F44" s="22"/>
      <c r="G44" s="22"/>
      <c r="H44" s="22"/>
      <c r="I44" s="22"/>
      <c r="J44" s="803"/>
      <c r="K44" s="804">
        <v>0.11</v>
      </c>
      <c r="L44" s="269">
        <f t="shared" si="19"/>
        <v>410.958904109589</v>
      </c>
      <c r="M44" s="187">
        <v>281</v>
      </c>
      <c r="N44" s="202">
        <f t="shared" si="20"/>
        <v>159.817351598174</v>
      </c>
      <c r="O44" s="187">
        <v>109</v>
      </c>
      <c r="P44" s="22"/>
      <c r="Q44" s="208">
        <v>2</v>
      </c>
      <c r="R44" s="22"/>
      <c r="S44" t="s" s="209">
        <v>351</v>
      </c>
      <c r="T44" s="22"/>
      <c r="U44" s="22"/>
      <c r="V44" s="22"/>
      <c r="W44" s="22"/>
      <c r="X44" s="211"/>
      <c r="Y44" s="22"/>
      <c r="Z44" s="22"/>
      <c r="AA44" s="22"/>
      <c r="AB44" s="22"/>
      <c r="AC44" s="22"/>
      <c r="AD44" s="22"/>
      <c r="AE44" s="22"/>
      <c r="AF44" t="s" s="209">
        <v>2199</v>
      </c>
      <c r="AG44" t="s" s="209">
        <v>374</v>
      </c>
      <c r="AH44" t="s" s="209">
        <v>2193</v>
      </c>
      <c r="AI44" t="s" s="209">
        <v>374</v>
      </c>
      <c r="AJ44" t="s" s="209">
        <v>374</v>
      </c>
      <c r="AK44" t="s" s="209">
        <v>374</v>
      </c>
      <c r="AL44" t="s" s="209">
        <v>374</v>
      </c>
      <c r="AM44" s="22"/>
      <c r="AN44" s="785"/>
      <c r="AO44" t="s" s="805">
        <v>2200</v>
      </c>
      <c r="AP44" t="s" s="185">
        <v>2108</v>
      </c>
      <c r="AQ44" s="799"/>
      <c r="AR44" s="787"/>
      <c r="AS44" s="787"/>
      <c r="AT44" s="787"/>
      <c r="AU44" s="59"/>
      <c r="AV44" s="59"/>
      <c r="AW44" s="59"/>
      <c r="AX44" s="59"/>
      <c r="AY44" s="59"/>
      <c r="AZ44" s="59"/>
      <c r="BA44" s="59"/>
    </row>
    <row r="45" ht="36" customHeight="1">
      <c r="A45" s="19"/>
      <c r="B45" s="44"/>
      <c r="C45" s="21"/>
      <c r="D45" s="209"/>
      <c r="E45" s="22"/>
      <c r="F45" s="22"/>
      <c r="G45" s="22"/>
      <c r="H45" s="22"/>
      <c r="I45" s="22"/>
      <c r="J45" t="s" s="786">
        <v>230</v>
      </c>
      <c r="K45" s="806">
        <v>0.035</v>
      </c>
      <c r="L45" s="807">
        <f t="shared" si="19"/>
        <v>410.958904109589</v>
      </c>
      <c r="M45" s="187">
        <v>281</v>
      </c>
      <c r="N45" s="807">
        <f>1500/2.19</f>
        <v>684.931506849315</v>
      </c>
      <c r="O45" s="808">
        <v>469</v>
      </c>
      <c r="P45" t="s" s="809">
        <v>2201</v>
      </c>
      <c r="Q45" t="s" s="495">
        <v>371</v>
      </c>
      <c r="R45" t="s" s="495">
        <v>2202</v>
      </c>
      <c r="S45" t="s" s="495">
        <v>2203</v>
      </c>
      <c r="T45" s="22"/>
      <c r="U45" s="22"/>
      <c r="V45" s="22"/>
      <c r="W45" s="22"/>
      <c r="X45" s="22"/>
      <c r="Y45" s="22"/>
      <c r="Z45" s="22"/>
      <c r="AA45" s="22"/>
      <c r="AB45" s="22"/>
      <c r="AC45" s="22"/>
      <c r="AD45" s="22"/>
      <c r="AE45" s="22"/>
      <c r="AF45" t="s" s="209">
        <v>2204</v>
      </c>
      <c r="AG45" t="s" s="209">
        <v>374</v>
      </c>
      <c r="AH45" t="s" s="209">
        <v>2205</v>
      </c>
      <c r="AI45" t="s" s="209">
        <v>374</v>
      </c>
      <c r="AJ45" t="s" s="209">
        <v>374</v>
      </c>
      <c r="AK45" t="s" s="209">
        <v>374</v>
      </c>
      <c r="AL45" t="s" s="209">
        <v>374</v>
      </c>
      <c r="AM45" s="22"/>
      <c r="AN45" s="22"/>
      <c r="AO45" s="784"/>
      <c r="AP45" t="s" s="185">
        <v>2109</v>
      </c>
      <c r="AQ45" s="21"/>
      <c r="AR45" s="22"/>
      <c r="AS45" s="22"/>
      <c r="AT45" s="22"/>
      <c r="AU45" s="59"/>
      <c r="AV45" s="59"/>
      <c r="AW45" s="59"/>
      <c r="AX45" s="59"/>
      <c r="AY45" s="59"/>
      <c r="AZ45" s="59"/>
      <c r="BA45" s="59"/>
    </row>
    <row r="46" ht="15" customHeight="1">
      <c r="A46" s="19"/>
      <c r="B46" s="44"/>
      <c r="C46" s="21"/>
      <c r="D46" s="22"/>
      <c r="E46" s="22"/>
      <c r="F46" s="22"/>
      <c r="G46" s="22"/>
      <c r="H46" s="22"/>
      <c r="I46" s="785"/>
      <c r="J46" t="s" s="497">
        <v>211</v>
      </c>
      <c r="K46" s="810">
        <v>0.155</v>
      </c>
      <c r="L46" s="811">
        <f t="shared" si="19"/>
        <v>410.958904109589</v>
      </c>
      <c r="M46" s="812">
        <v>281</v>
      </c>
      <c r="N46" s="811">
        <f>200/2.19</f>
        <v>91.324200913242</v>
      </c>
      <c r="O46" s="813">
        <v>62</v>
      </c>
      <c r="P46" s="814"/>
      <c r="Q46" s="498">
        <v>2</v>
      </c>
      <c r="R46" s="814"/>
      <c r="S46" s="498">
        <v>1</v>
      </c>
      <c r="T46" s="21"/>
      <c r="U46" s="22"/>
      <c r="V46" s="22"/>
      <c r="W46" s="22"/>
      <c r="X46" s="22"/>
      <c r="Y46" s="22"/>
      <c r="Z46" s="22"/>
      <c r="AA46" s="22"/>
      <c r="AB46" s="22"/>
      <c r="AC46" s="22"/>
      <c r="AD46" s="22"/>
      <c r="AE46" s="22"/>
      <c r="AF46" t="s" s="209">
        <v>2206</v>
      </c>
      <c r="AG46" t="s" s="209">
        <v>374</v>
      </c>
      <c r="AH46" t="s" s="209">
        <v>2207</v>
      </c>
      <c r="AI46" t="s" s="209">
        <v>374</v>
      </c>
      <c r="AJ46" t="s" s="209">
        <v>374</v>
      </c>
      <c r="AK46" t="s" s="209">
        <v>374</v>
      </c>
      <c r="AL46" t="s" s="209">
        <v>374</v>
      </c>
      <c r="AM46" s="22"/>
      <c r="AN46" s="22"/>
      <c r="AO46" s="22"/>
      <c r="AP46" s="787"/>
      <c r="AQ46" s="22"/>
      <c r="AR46" s="22"/>
      <c r="AS46" s="22"/>
      <c r="AT46" s="22"/>
      <c r="AU46" s="59"/>
      <c r="AV46" s="59"/>
      <c r="AW46" s="59"/>
      <c r="AX46" s="59"/>
      <c r="AY46" s="59"/>
      <c r="AZ46" s="59"/>
      <c r="BA46" s="59"/>
    </row>
    <row r="47" ht="15" customHeight="1">
      <c r="A47" s="23"/>
      <c r="B47" s="45"/>
      <c r="C47" s="25"/>
      <c r="D47" s="26"/>
      <c r="E47" s="26"/>
      <c r="F47" s="26"/>
      <c r="G47" s="26"/>
      <c r="H47" s="26"/>
      <c r="I47" s="26"/>
      <c r="J47" s="815"/>
      <c r="K47" s="815"/>
      <c r="L47" s="815"/>
      <c r="M47" s="206"/>
      <c r="N47" s="815"/>
      <c r="O47" s="816"/>
      <c r="P47" s="815"/>
      <c r="Q47" s="815"/>
      <c r="R47" s="815"/>
      <c r="S47" s="815"/>
      <c r="T47" s="26"/>
      <c r="U47" s="26"/>
      <c r="V47" s="26"/>
      <c r="W47" s="26"/>
      <c r="X47" s="26"/>
      <c r="Y47" s="26"/>
      <c r="Z47" s="26"/>
      <c r="AA47" s="26"/>
      <c r="AB47" s="26"/>
      <c r="AC47" s="26"/>
      <c r="AD47" s="26"/>
      <c r="AE47" s="26"/>
      <c r="AF47" t="s" s="624">
        <v>2208</v>
      </c>
      <c r="AG47" t="s" s="624">
        <v>374</v>
      </c>
      <c r="AH47" t="s" s="624">
        <v>2193</v>
      </c>
      <c r="AI47" t="s" s="624">
        <v>374</v>
      </c>
      <c r="AJ47" t="s" s="624">
        <v>374</v>
      </c>
      <c r="AK47" t="s" s="624">
        <v>374</v>
      </c>
      <c r="AL47" t="s" s="624">
        <v>374</v>
      </c>
      <c r="AM47" s="26"/>
      <c r="AN47" s="26"/>
      <c r="AO47" s="26"/>
      <c r="AP47" s="26"/>
      <c r="AQ47" s="26"/>
      <c r="AR47" s="26"/>
      <c r="AS47" s="26"/>
      <c r="AT47" s="26"/>
      <c r="AU47" s="59"/>
      <c r="AV47" s="59"/>
      <c r="AW47" s="59"/>
      <c r="AX47" s="59"/>
      <c r="AY47" s="59"/>
      <c r="AZ47" s="59"/>
      <c r="BA47" s="59"/>
    </row>
    <row r="48" ht="36" customHeight="1">
      <c r="A48" s="27">
        <v>5</v>
      </c>
      <c r="B48" t="s" s="28">
        <v>16</v>
      </c>
      <c r="C48" t="s" s="29">
        <v>200</v>
      </c>
      <c r="D48" s="167">
        <v>87</v>
      </c>
      <c r="E48" s="168"/>
      <c r="F48" t="s" s="171">
        <v>735</v>
      </c>
      <c r="G48" t="s" s="171">
        <v>324</v>
      </c>
      <c r="H48" t="s" s="170">
        <v>2209</v>
      </c>
      <c r="I48" t="s" s="170">
        <v>2210</v>
      </c>
      <c r="J48" t="s" s="170">
        <v>200</v>
      </c>
      <c r="K48" s="255">
        <v>86.90000000000001</v>
      </c>
      <c r="L48" t="s" s="817">
        <v>2211</v>
      </c>
      <c r="M48" s="818">
        <v>224</v>
      </c>
      <c r="N48" s="819">
        <f>200</f>
        <v>200</v>
      </c>
      <c r="O48" s="820">
        <v>90</v>
      </c>
      <c r="P48" s="708"/>
      <c r="Q48" s="821">
        <v>1</v>
      </c>
      <c r="R48" t="s" s="171">
        <v>2212</v>
      </c>
      <c r="S48" s="168"/>
      <c r="T48" t="s" s="173">
        <v>2213</v>
      </c>
      <c r="U48" s="420"/>
      <c r="V48" s="167">
        <v>3</v>
      </c>
      <c r="W48" s="167">
        <v>2</v>
      </c>
      <c r="X48" s="167">
        <v>90</v>
      </c>
      <c r="Y48" s="167">
        <v>1</v>
      </c>
      <c r="Z48" t="s" s="170">
        <v>2214</v>
      </c>
      <c r="AA48" s="167">
        <v>1</v>
      </c>
      <c r="AB48" s="167">
        <v>1</v>
      </c>
      <c r="AC48" s="167">
        <v>1</v>
      </c>
      <c r="AD48" t="s" s="171">
        <v>2215</v>
      </c>
      <c r="AE48" t="s" s="171">
        <v>2216</v>
      </c>
      <c r="AF48" t="s" s="171">
        <v>2217</v>
      </c>
      <c r="AG48" s="167">
        <v>89</v>
      </c>
      <c r="AH48" t="s" s="171">
        <v>2139</v>
      </c>
      <c r="AI48" s="168"/>
      <c r="AJ48" t="s" s="170">
        <v>2218</v>
      </c>
      <c r="AK48" t="s" s="171">
        <v>2219</v>
      </c>
      <c r="AL48" t="s" s="171">
        <v>1124</v>
      </c>
      <c r="AM48" t="s" s="18">
        <v>2220</v>
      </c>
      <c r="AN48" t="s" s="822">
        <v>335</v>
      </c>
      <c r="AO48" t="s" s="780">
        <v>2221</v>
      </c>
      <c r="AP48" t="s" s="780">
        <v>2123</v>
      </c>
      <c r="AQ48" t="s" s="780">
        <v>2196</v>
      </c>
      <c r="AR48" t="s" s="780">
        <v>2222</v>
      </c>
      <c r="AS48" t="s" s="780">
        <v>2198</v>
      </c>
      <c r="AT48" t="s" s="780">
        <v>2198</v>
      </c>
      <c r="AU48" s="58"/>
      <c r="AV48" s="59"/>
      <c r="AW48" s="59"/>
      <c r="AX48" s="59"/>
      <c r="AY48" s="59"/>
      <c r="AZ48" s="59"/>
      <c r="BA48" s="59"/>
    </row>
    <row r="49" ht="72" customHeight="1">
      <c r="A49" s="31"/>
      <c r="B49" s="46"/>
      <c r="C49" t="s" s="721">
        <v>2223</v>
      </c>
      <c r="D49" s="263">
        <v>12</v>
      </c>
      <c r="E49" s="263">
        <v>0</v>
      </c>
      <c r="F49" s="48"/>
      <c r="G49" s="48"/>
      <c r="H49" s="211"/>
      <c r="I49" s="211"/>
      <c r="J49" s="211"/>
      <c r="K49" s="266">
        <v>12</v>
      </c>
      <c r="L49" s="823"/>
      <c r="M49" s="824"/>
      <c r="N49" t="s" s="825">
        <v>2224</v>
      </c>
      <c r="O49" s="826"/>
      <c r="P49" s="47"/>
      <c r="Q49" s="263">
        <v>2</v>
      </c>
      <c r="R49" s="48"/>
      <c r="S49" s="263">
        <v>1</v>
      </c>
      <c r="T49" s="48"/>
      <c r="U49" s="48"/>
      <c r="V49" s="48"/>
      <c r="W49" s="48"/>
      <c r="X49" s="48"/>
      <c r="Y49" s="48"/>
      <c r="Z49" s="211"/>
      <c r="AA49" s="48"/>
      <c r="AB49" s="48"/>
      <c r="AC49" s="48"/>
      <c r="AD49" s="48"/>
      <c r="AE49" s="48"/>
      <c r="AF49" s="48"/>
      <c r="AG49" s="48"/>
      <c r="AH49" s="48"/>
      <c r="AI49" s="48"/>
      <c r="AJ49" s="211"/>
      <c r="AK49" s="48"/>
      <c r="AL49" s="48"/>
      <c r="AM49" s="48"/>
      <c r="AN49" s="275"/>
      <c r="AO49" t="s" s="185">
        <v>2225</v>
      </c>
      <c r="AP49" t="s" s="185">
        <v>2108</v>
      </c>
      <c r="AQ49" s="827"/>
      <c r="AR49" s="276"/>
      <c r="AS49" s="276"/>
      <c r="AT49" s="276"/>
      <c r="AU49" s="59"/>
      <c r="AV49" s="59"/>
      <c r="AW49" s="59"/>
      <c r="AX49" s="59"/>
      <c r="AY49" s="59"/>
      <c r="AZ49" s="59"/>
      <c r="BA49" s="59"/>
    </row>
    <row r="50" ht="48" customHeight="1">
      <c r="A50" s="31"/>
      <c r="B50" s="46"/>
      <c r="C50" t="s" s="721">
        <v>2226</v>
      </c>
      <c r="D50" s="263">
        <v>1</v>
      </c>
      <c r="E50" s="263">
        <v>0</v>
      </c>
      <c r="F50" s="48"/>
      <c r="G50" s="48"/>
      <c r="H50" s="211"/>
      <c r="I50" s="211"/>
      <c r="J50" t="s" s="270">
        <v>337</v>
      </c>
      <c r="K50" s="271">
        <v>1</v>
      </c>
      <c r="L50" t="s" s="272">
        <v>2227</v>
      </c>
      <c r="M50" s="273"/>
      <c r="N50" s="828">
        <v>0</v>
      </c>
      <c r="O50" s="273"/>
      <c r="P50" s="263">
        <v>5</v>
      </c>
      <c r="Q50" s="263">
        <v>2</v>
      </c>
      <c r="R50" s="48"/>
      <c r="S50" s="263">
        <v>3</v>
      </c>
      <c r="T50" s="48"/>
      <c r="U50" s="48"/>
      <c r="V50" s="48"/>
      <c r="W50" s="48"/>
      <c r="X50" s="48"/>
      <c r="Y50" s="48"/>
      <c r="Z50" s="211"/>
      <c r="AA50" s="48"/>
      <c r="AB50" s="48"/>
      <c r="AC50" s="48"/>
      <c r="AD50" s="48"/>
      <c r="AE50" s="48"/>
      <c r="AF50" s="48"/>
      <c r="AG50" s="48"/>
      <c r="AH50" s="48"/>
      <c r="AI50" s="48"/>
      <c r="AJ50" s="211"/>
      <c r="AK50" s="48"/>
      <c r="AL50" s="48"/>
      <c r="AM50" s="48"/>
      <c r="AN50" s="48"/>
      <c r="AO50" s="829"/>
      <c r="AP50" t="s" s="185">
        <v>2109</v>
      </c>
      <c r="AQ50" s="47"/>
      <c r="AR50" s="48"/>
      <c r="AS50" s="48"/>
      <c r="AT50" s="48"/>
      <c r="AU50" s="59"/>
      <c r="AV50" s="59"/>
      <c r="AW50" s="59"/>
      <c r="AX50" s="59"/>
      <c r="AY50" s="59"/>
      <c r="AZ50" s="59"/>
      <c r="BA50" s="59"/>
    </row>
    <row r="51" ht="15" customHeight="1">
      <c r="A51" s="31"/>
      <c r="B51" s="46"/>
      <c r="C51" s="47"/>
      <c r="D51" s="48"/>
      <c r="E51" s="48"/>
      <c r="F51" s="48"/>
      <c r="G51" s="48"/>
      <c r="H51" s="48"/>
      <c r="I51" s="248"/>
      <c r="J51" t="s" s="185">
        <v>435</v>
      </c>
      <c r="K51" s="186">
        <v>0</v>
      </c>
      <c r="L51" s="47"/>
      <c r="M51" s="274"/>
      <c r="N51" s="48"/>
      <c r="O51" s="274"/>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276"/>
      <c r="AQ51" s="48"/>
      <c r="AR51" s="48"/>
      <c r="AS51" s="48"/>
      <c r="AT51" s="48"/>
      <c r="AU51" s="59"/>
      <c r="AV51" s="59"/>
      <c r="AW51" s="59"/>
      <c r="AX51" s="59"/>
      <c r="AY51" s="59"/>
      <c r="AZ51" s="59"/>
      <c r="BA51" s="59"/>
    </row>
    <row r="52" ht="15" customHeight="1">
      <c r="A52" s="31"/>
      <c r="B52" s="46"/>
      <c r="C52" s="47"/>
      <c r="D52" s="48"/>
      <c r="E52" s="48"/>
      <c r="F52" s="48"/>
      <c r="G52" s="48"/>
      <c r="H52" s="48"/>
      <c r="I52" s="211"/>
      <c r="J52" s="276"/>
      <c r="K52" s="276"/>
      <c r="L52" s="48"/>
      <c r="M52" s="274"/>
      <c r="N52" s="48"/>
      <c r="O52" s="274"/>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59"/>
      <c r="AV52" s="59"/>
      <c r="AW52" s="59"/>
      <c r="AX52" s="59"/>
      <c r="AY52" s="59"/>
      <c r="AZ52" s="59"/>
      <c r="BA52" s="59"/>
    </row>
    <row r="53" ht="15" customHeight="1">
      <c r="A53" s="31"/>
      <c r="B53" s="46"/>
      <c r="C53" s="47"/>
      <c r="D53" s="48"/>
      <c r="E53" s="48"/>
      <c r="F53" s="48"/>
      <c r="G53" s="48"/>
      <c r="H53" s="48"/>
      <c r="I53" s="211"/>
      <c r="J53" s="48"/>
      <c r="K53" s="48"/>
      <c r="L53" s="48"/>
      <c r="M53" s="274"/>
      <c r="N53" s="48"/>
      <c r="O53" s="274"/>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59"/>
      <c r="AV53" s="59"/>
      <c r="AW53" s="59"/>
      <c r="AX53" s="59"/>
      <c r="AY53" s="59"/>
      <c r="AZ53" s="59"/>
      <c r="BA53" s="59"/>
    </row>
    <row r="54" ht="15" customHeight="1">
      <c r="A54" s="31"/>
      <c r="B54" s="46"/>
      <c r="C54" s="47"/>
      <c r="D54" s="48"/>
      <c r="E54" s="48"/>
      <c r="F54" s="48"/>
      <c r="G54" s="48"/>
      <c r="H54" s="48"/>
      <c r="I54" s="211"/>
      <c r="J54" s="48"/>
      <c r="K54" s="48"/>
      <c r="L54" s="48"/>
      <c r="M54" s="274"/>
      <c r="N54" s="48"/>
      <c r="O54" s="274"/>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59"/>
      <c r="AV54" s="59"/>
      <c r="AW54" s="59"/>
      <c r="AX54" s="59"/>
      <c r="AY54" s="59"/>
      <c r="AZ54" s="59"/>
      <c r="BA54" s="59"/>
    </row>
    <row r="55" ht="15" customHeight="1">
      <c r="A55" s="35"/>
      <c r="B55" s="49"/>
      <c r="C55" s="50"/>
      <c r="D55" s="51"/>
      <c r="E55" s="51"/>
      <c r="F55" s="51"/>
      <c r="G55" s="51"/>
      <c r="H55" s="51"/>
      <c r="I55" s="51"/>
      <c r="J55" s="51"/>
      <c r="K55" s="51"/>
      <c r="L55" s="51"/>
      <c r="M55" s="830"/>
      <c r="N55" s="51"/>
      <c r="O55" s="830"/>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9"/>
      <c r="AV55" s="59"/>
      <c r="AW55" s="59"/>
      <c r="AX55" s="59"/>
      <c r="AY55" s="59"/>
      <c r="AZ55" s="59"/>
      <c r="BA55" s="59"/>
    </row>
    <row r="56" ht="106.5" customHeight="1">
      <c r="A56" s="52">
        <v>6</v>
      </c>
      <c r="B56" t="s" s="53">
        <v>19</v>
      </c>
      <c r="C56" t="s" s="54">
        <v>200</v>
      </c>
      <c r="D56" s="831">
        <v>0.969</v>
      </c>
      <c r="E56" s="123"/>
      <c r="F56" t="s" s="83">
        <v>2228</v>
      </c>
      <c r="G56" s="123"/>
      <c r="H56" s="123"/>
      <c r="I56" t="s" s="293">
        <v>2229</v>
      </c>
      <c r="J56" t="s" s="82">
        <v>200</v>
      </c>
      <c r="K56" s="551">
        <v>0.793</v>
      </c>
      <c r="L56" s="294">
        <f>35000/19.98</f>
        <v>1751.751751751750</v>
      </c>
      <c r="M56" s="295">
        <v>543</v>
      </c>
      <c r="N56" s="287">
        <f>600/19.98</f>
        <v>30.030030030030</v>
      </c>
      <c r="O56" s="295">
        <v>9.33</v>
      </c>
      <c r="P56" s="123"/>
      <c r="Q56" t="s" s="82">
        <v>351</v>
      </c>
      <c r="R56" t="s" s="82">
        <v>2230</v>
      </c>
      <c r="S56" s="285">
        <v>2</v>
      </c>
      <c r="T56" t="s" s="82">
        <v>2231</v>
      </c>
      <c r="U56" s="123"/>
      <c r="V56" t="s" s="82">
        <v>1163</v>
      </c>
      <c r="W56" s="285">
        <v>1</v>
      </c>
      <c r="X56" t="s" s="82">
        <v>1163</v>
      </c>
      <c r="Y56" s="285">
        <v>1</v>
      </c>
      <c r="Z56" t="s" s="293">
        <v>2232</v>
      </c>
      <c r="AA56" s="285">
        <v>1</v>
      </c>
      <c r="AB56" s="285">
        <v>14</v>
      </c>
      <c r="AC56" s="285">
        <v>14</v>
      </c>
      <c r="AD56" t="s" s="283">
        <v>2233</v>
      </c>
      <c r="AE56" t="s" s="283">
        <v>2234</v>
      </c>
      <c r="AF56" t="s" s="320">
        <v>2235</v>
      </c>
      <c r="AG56" s="289"/>
      <c r="AH56" s="289"/>
      <c r="AI56" s="289"/>
      <c r="AJ56" s="289"/>
      <c r="AK56" s="289"/>
      <c r="AL56" s="289"/>
      <c r="AM56" t="s" s="320">
        <v>2236</v>
      </c>
      <c r="AN56" s="832"/>
      <c r="AO56" t="s" s="833">
        <v>2237</v>
      </c>
      <c r="AP56" t="s" s="834">
        <v>2146</v>
      </c>
      <c r="AQ56" t="s" s="834">
        <v>2196</v>
      </c>
      <c r="AR56" t="s" s="833">
        <v>2238</v>
      </c>
      <c r="AS56" t="s" s="833">
        <v>2239</v>
      </c>
      <c r="AT56" t="s" s="833">
        <v>2239</v>
      </c>
      <c r="AU56" s="58"/>
      <c r="AV56" s="59"/>
      <c r="AW56" s="59"/>
      <c r="AX56" s="59"/>
      <c r="AY56" s="59"/>
      <c r="AZ56" s="59"/>
      <c r="BA56" s="59"/>
    </row>
    <row r="57" ht="90" customHeight="1">
      <c r="A57" s="56"/>
      <c r="B57" s="57"/>
      <c r="C57" t="s" s="727">
        <v>357</v>
      </c>
      <c r="D57" s="657">
        <v>0.015</v>
      </c>
      <c r="E57" t="s" s="303">
        <v>2240</v>
      </c>
      <c r="F57" s="59"/>
      <c r="G57" s="59"/>
      <c r="H57" s="59"/>
      <c r="I57" s="304"/>
      <c r="J57" t="s" s="303">
        <v>230</v>
      </c>
      <c r="K57" s="657">
        <v>0.056</v>
      </c>
      <c r="L57" s="344">
        <f>27500/19.98</f>
        <v>1376.376376376380</v>
      </c>
      <c r="M57" s="835">
        <v>427</v>
      </c>
      <c r="N57" s="344">
        <f>1900/19.98</f>
        <v>95.0950950950951</v>
      </c>
      <c r="O57" s="835">
        <v>29</v>
      </c>
      <c r="P57" s="299">
        <v>2</v>
      </c>
      <c r="Q57" s="299">
        <v>2</v>
      </c>
      <c r="R57" s="59"/>
      <c r="S57" t="s" s="333">
        <v>2241</v>
      </c>
      <c r="T57" s="59"/>
      <c r="U57" s="59"/>
      <c r="V57" s="59"/>
      <c r="W57" s="59"/>
      <c r="X57" s="59"/>
      <c r="Y57" s="59"/>
      <c r="Z57" s="304"/>
      <c r="AA57" s="59"/>
      <c r="AB57" s="59"/>
      <c r="AC57" s="59"/>
      <c r="AD57" s="59"/>
      <c r="AE57" s="59"/>
      <c r="AF57" t="s" s="836">
        <v>2242</v>
      </c>
      <c r="AG57" s="300"/>
      <c r="AH57" s="300"/>
      <c r="AI57" s="300"/>
      <c r="AJ57" s="300"/>
      <c r="AK57" s="300"/>
      <c r="AL57" s="300"/>
      <c r="AM57" s="837"/>
      <c r="AN57" s="837"/>
      <c r="AO57" s="838"/>
      <c r="AP57" t="s" s="839">
        <v>2108</v>
      </c>
      <c r="AQ57" s="840"/>
      <c r="AR57" s="840"/>
      <c r="AS57" s="840"/>
      <c r="AT57" s="840"/>
      <c r="AU57" s="58"/>
      <c r="AV57" s="59"/>
      <c r="AW57" s="59"/>
      <c r="AX57" s="59"/>
      <c r="AY57" s="59"/>
      <c r="AZ57" s="59"/>
      <c r="BA57" s="59"/>
    </row>
    <row r="58" ht="84.75" customHeight="1">
      <c r="A58" s="56"/>
      <c r="B58" s="57"/>
      <c r="C58" t="s" s="727">
        <v>210</v>
      </c>
      <c r="D58" s="657">
        <v>0.016</v>
      </c>
      <c r="E58" s="59"/>
      <c r="F58" s="59"/>
      <c r="G58" s="59"/>
      <c r="H58" s="59"/>
      <c r="I58" s="304"/>
      <c r="J58" t="s" s="303">
        <v>337</v>
      </c>
      <c r="K58" s="657">
        <v>0.104</v>
      </c>
      <c r="L58" s="344">
        <f>5750/19.98</f>
        <v>287.787787787788</v>
      </c>
      <c r="M58" s="835">
        <v>89</v>
      </c>
      <c r="N58" s="344">
        <f>1200/19.98</f>
        <v>60.0600600600601</v>
      </c>
      <c r="O58" s="835">
        <v>19</v>
      </c>
      <c r="P58" s="299">
        <v>2</v>
      </c>
      <c r="Q58" s="299">
        <v>2</v>
      </c>
      <c r="R58" s="59"/>
      <c r="S58" t="s" s="329">
        <v>2241</v>
      </c>
      <c r="T58" s="59"/>
      <c r="U58" s="59"/>
      <c r="V58" s="59"/>
      <c r="W58" s="59"/>
      <c r="X58" s="59"/>
      <c r="Y58" s="59"/>
      <c r="Z58" s="304"/>
      <c r="AA58" s="59"/>
      <c r="AB58" s="59"/>
      <c r="AC58" s="59"/>
      <c r="AD58" s="59"/>
      <c r="AE58" s="59"/>
      <c r="AF58" t="s" s="836">
        <v>2243</v>
      </c>
      <c r="AG58" s="837"/>
      <c r="AH58" s="837"/>
      <c r="AI58" s="837"/>
      <c r="AJ58" s="837"/>
      <c r="AK58" s="837"/>
      <c r="AL58" s="837"/>
      <c r="AM58" s="837"/>
      <c r="AN58" s="837"/>
      <c r="AO58" s="841"/>
      <c r="AP58" s="842">
        <v>10</v>
      </c>
      <c r="AQ58" t="s" s="839">
        <v>2244</v>
      </c>
      <c r="AR58" t="s" s="843">
        <v>2245</v>
      </c>
      <c r="AS58" t="s" s="843">
        <v>2239</v>
      </c>
      <c r="AT58" t="s" s="843">
        <v>2239</v>
      </c>
      <c r="AU58" s="58"/>
      <c r="AV58" s="59"/>
      <c r="AW58" s="59"/>
      <c r="AX58" s="59"/>
      <c r="AY58" s="59"/>
      <c r="AZ58" s="59"/>
      <c r="BA58" s="59"/>
    </row>
    <row r="59" ht="30" customHeight="1">
      <c r="A59" s="60"/>
      <c r="B59" s="57"/>
      <c r="C59" s="58"/>
      <c r="D59" s="59"/>
      <c r="E59" s="59"/>
      <c r="F59" s="59"/>
      <c r="G59" s="59"/>
      <c r="H59" s="59"/>
      <c r="I59" s="59"/>
      <c r="J59" t="s" s="303">
        <v>210</v>
      </c>
      <c r="K59" s="657">
        <v>0.002</v>
      </c>
      <c r="L59" t="s" s="512">
        <v>306</v>
      </c>
      <c r="M59" s="835"/>
      <c r="N59" t="s" s="512">
        <v>2246</v>
      </c>
      <c r="O59" s="835"/>
      <c r="P59" s="299">
        <v>3</v>
      </c>
      <c r="Q59" s="299">
        <v>2</v>
      </c>
      <c r="R59" s="59"/>
      <c r="S59" t="s" s="329">
        <v>2241</v>
      </c>
      <c r="T59" s="59"/>
      <c r="U59" s="59"/>
      <c r="V59" s="59"/>
      <c r="W59" s="59"/>
      <c r="X59" s="59"/>
      <c r="Y59" s="59"/>
      <c r="Z59" s="304"/>
      <c r="AA59" s="59"/>
      <c r="AB59" s="59"/>
      <c r="AC59" s="59"/>
      <c r="AD59" s="59"/>
      <c r="AE59" s="59"/>
      <c r="AF59" t="s" s="836">
        <v>2247</v>
      </c>
      <c r="AG59" s="837"/>
      <c r="AH59" s="837"/>
      <c r="AI59" s="837"/>
      <c r="AJ59" s="837"/>
      <c r="AK59" s="837"/>
      <c r="AL59" s="837"/>
      <c r="AM59" s="837"/>
      <c r="AN59" s="837"/>
      <c r="AO59" s="837"/>
      <c r="AP59" s="844"/>
      <c r="AQ59" s="844"/>
      <c r="AR59" s="844"/>
      <c r="AS59" s="844"/>
      <c r="AT59" s="844"/>
      <c r="AU59" s="59"/>
      <c r="AV59" s="59"/>
      <c r="AW59" s="59"/>
      <c r="AX59" s="59"/>
      <c r="AY59" s="59"/>
      <c r="AZ59" s="59"/>
      <c r="BA59" s="59"/>
    </row>
    <row r="60" ht="13.55" customHeight="1">
      <c r="A60" s="60"/>
      <c r="B60" s="57"/>
      <c r="C60" s="58"/>
      <c r="D60" s="59"/>
      <c r="E60" s="59"/>
      <c r="F60" s="59"/>
      <c r="G60" s="59"/>
      <c r="H60" s="59"/>
      <c r="I60" s="59"/>
      <c r="J60" t="s" s="303">
        <v>462</v>
      </c>
      <c r="K60" s="657">
        <v>0.006</v>
      </c>
      <c r="L60" t="s" s="512">
        <v>306</v>
      </c>
      <c r="M60" s="835"/>
      <c r="N60" t="s" s="512">
        <v>306</v>
      </c>
      <c r="O60" s="835"/>
      <c r="P60" s="299">
        <v>2</v>
      </c>
      <c r="Q60" s="299">
        <v>2</v>
      </c>
      <c r="R60" s="59"/>
      <c r="S60" t="s" s="329">
        <v>2241</v>
      </c>
      <c r="T60" s="59"/>
      <c r="U60" s="59"/>
      <c r="V60" s="59"/>
      <c r="W60" s="59"/>
      <c r="X60" s="59"/>
      <c r="Y60" s="59"/>
      <c r="Z60" t="s" s="303">
        <v>2248</v>
      </c>
      <c r="AA60" s="59"/>
      <c r="AB60" s="59"/>
      <c r="AC60" s="59"/>
      <c r="AD60" s="59"/>
      <c r="AE60" s="59"/>
      <c r="AF60" t="s" s="836">
        <v>2249</v>
      </c>
      <c r="AG60" s="837"/>
      <c r="AH60" t="s" s="845">
        <v>2250</v>
      </c>
      <c r="AI60" s="302"/>
      <c r="AJ60" s="302"/>
      <c r="AK60" s="302"/>
      <c r="AL60" s="302"/>
      <c r="AM60" s="837"/>
      <c r="AN60" s="837"/>
      <c r="AO60" s="837"/>
      <c r="AP60" s="837"/>
      <c r="AQ60" s="837"/>
      <c r="AR60" s="837"/>
      <c r="AS60" s="837"/>
      <c r="AT60" s="837"/>
      <c r="AU60" s="59"/>
      <c r="AV60" s="59"/>
      <c r="AW60" s="59"/>
      <c r="AX60" s="59"/>
      <c r="AY60" s="59"/>
      <c r="AZ60" s="59"/>
      <c r="BA60" s="59"/>
    </row>
    <row r="61" ht="13.55" customHeight="1">
      <c r="A61" s="60"/>
      <c r="B61" s="57"/>
      <c r="C61" s="58"/>
      <c r="D61" s="59"/>
      <c r="E61" s="59"/>
      <c r="F61" s="59"/>
      <c r="G61" s="59"/>
      <c r="H61" s="59"/>
      <c r="I61" s="59"/>
      <c r="J61" t="s" s="303">
        <v>265</v>
      </c>
      <c r="K61" s="657">
        <v>0.031</v>
      </c>
      <c r="L61" t="s" s="512">
        <v>375</v>
      </c>
      <c r="M61" s="835"/>
      <c r="N61" t="s" s="512">
        <v>375</v>
      </c>
      <c r="O61" s="835"/>
      <c r="P61" s="59"/>
      <c r="Q61" s="59"/>
      <c r="R61" s="59"/>
      <c r="S61" s="59"/>
      <c r="T61" s="59"/>
      <c r="U61" s="59"/>
      <c r="V61" s="59"/>
      <c r="W61" s="59"/>
      <c r="X61" s="59"/>
      <c r="Y61" s="59"/>
      <c r="Z61" s="59"/>
      <c r="AA61" s="59"/>
      <c r="AB61" s="59"/>
      <c r="AC61" s="59"/>
      <c r="AD61" s="59"/>
      <c r="AE61" s="59"/>
      <c r="AF61" t="s" s="836">
        <v>2251</v>
      </c>
      <c r="AG61" s="59"/>
      <c r="AH61" s="302"/>
      <c r="AI61" s="302"/>
      <c r="AJ61" s="302"/>
      <c r="AK61" s="302"/>
      <c r="AL61" s="302"/>
      <c r="AM61" s="59"/>
      <c r="AN61" s="59"/>
      <c r="AO61" s="59"/>
      <c r="AP61" s="59"/>
      <c r="AQ61" s="59"/>
      <c r="AR61" s="59"/>
      <c r="AS61" s="59"/>
      <c r="AT61" s="59"/>
      <c r="AU61" s="59"/>
      <c r="AV61" s="59"/>
      <c r="AW61" s="59"/>
      <c r="AX61" s="59"/>
      <c r="AY61" s="59"/>
      <c r="AZ61" s="59"/>
      <c r="BA61" s="59"/>
    </row>
    <row r="62" ht="28.5" customHeight="1">
      <c r="A62" s="60"/>
      <c r="B62" s="57"/>
      <c r="C62" s="58"/>
      <c r="D62" s="59"/>
      <c r="E62" s="59"/>
      <c r="F62" s="59"/>
      <c r="G62" s="59"/>
      <c r="H62" s="59"/>
      <c r="I62" s="59"/>
      <c r="J62" s="59"/>
      <c r="K62" s="59"/>
      <c r="L62" s="59"/>
      <c r="M62" s="125"/>
      <c r="N62" s="59"/>
      <c r="O62" s="125"/>
      <c r="P62" s="59"/>
      <c r="Q62" s="59"/>
      <c r="R62" s="59"/>
      <c r="S62" s="59"/>
      <c r="T62" s="59"/>
      <c r="U62" s="59"/>
      <c r="V62" s="59"/>
      <c r="W62" s="59"/>
      <c r="X62" s="59"/>
      <c r="Y62" s="59"/>
      <c r="Z62" s="59"/>
      <c r="AA62" s="59"/>
      <c r="AB62" s="59"/>
      <c r="AC62" s="59"/>
      <c r="AD62" s="59"/>
      <c r="AE62" s="59"/>
      <c r="AF62" t="s" s="836">
        <v>2252</v>
      </c>
      <c r="AG62" s="59"/>
      <c r="AH62" s="302"/>
      <c r="AI62" s="302"/>
      <c r="AJ62" s="302"/>
      <c r="AK62" s="302"/>
      <c r="AL62" s="302"/>
      <c r="AM62" s="59"/>
      <c r="AN62" s="59"/>
      <c r="AO62" s="59"/>
      <c r="AP62" s="59"/>
      <c r="AQ62" s="59"/>
      <c r="AR62" s="59"/>
      <c r="AS62" s="59"/>
      <c r="AT62" s="59"/>
      <c r="AU62" s="59"/>
      <c r="AV62" s="59"/>
      <c r="AW62" s="59"/>
      <c r="AX62" s="59"/>
      <c r="AY62" s="59"/>
      <c r="AZ62" s="59"/>
      <c r="BA62" s="59"/>
    </row>
    <row r="63" ht="28.5" customHeight="1">
      <c r="A63" s="60"/>
      <c r="B63" s="57"/>
      <c r="C63" s="58"/>
      <c r="D63" s="59"/>
      <c r="E63" s="59"/>
      <c r="F63" s="59"/>
      <c r="G63" s="59"/>
      <c r="H63" s="59"/>
      <c r="I63" s="59"/>
      <c r="J63" s="59"/>
      <c r="K63" s="59"/>
      <c r="L63" s="59"/>
      <c r="M63" s="125"/>
      <c r="N63" s="59"/>
      <c r="O63" s="125"/>
      <c r="P63" s="59"/>
      <c r="Q63" s="59"/>
      <c r="R63" s="59"/>
      <c r="S63" s="59"/>
      <c r="T63" s="59"/>
      <c r="U63" s="59"/>
      <c r="V63" s="59"/>
      <c r="W63" s="59"/>
      <c r="X63" s="59"/>
      <c r="Y63" s="59"/>
      <c r="Z63" s="59"/>
      <c r="AA63" s="59"/>
      <c r="AB63" s="59"/>
      <c r="AC63" s="59"/>
      <c r="AD63" s="59"/>
      <c r="AE63" s="59"/>
      <c r="AF63" t="s" s="836">
        <v>2253</v>
      </c>
      <c r="AG63" s="59"/>
      <c r="AH63" s="302"/>
      <c r="AI63" s="302"/>
      <c r="AJ63" s="302"/>
      <c r="AK63" s="302"/>
      <c r="AL63" s="302"/>
      <c r="AM63" s="59"/>
      <c r="AN63" s="59"/>
      <c r="AO63" s="59"/>
      <c r="AP63" s="59"/>
      <c r="AQ63" s="59"/>
      <c r="AR63" s="59"/>
      <c r="AS63" s="59"/>
      <c r="AT63" s="59"/>
      <c r="AU63" s="59"/>
      <c r="AV63" s="59"/>
      <c r="AW63" s="59"/>
      <c r="AX63" s="59"/>
      <c r="AY63" s="59"/>
      <c r="AZ63" s="59"/>
      <c r="BA63" s="59"/>
    </row>
    <row r="64" ht="28.5" customHeight="1">
      <c r="A64" s="60"/>
      <c r="B64" s="57"/>
      <c r="C64" s="58"/>
      <c r="D64" s="59"/>
      <c r="E64" s="59"/>
      <c r="F64" s="59"/>
      <c r="G64" s="59"/>
      <c r="H64" s="59"/>
      <c r="I64" s="59"/>
      <c r="J64" s="59"/>
      <c r="K64" s="59"/>
      <c r="L64" s="59"/>
      <c r="M64" s="125"/>
      <c r="N64" s="59"/>
      <c r="O64" s="125"/>
      <c r="P64" s="59"/>
      <c r="Q64" s="59"/>
      <c r="R64" s="59"/>
      <c r="S64" s="59"/>
      <c r="T64" s="59"/>
      <c r="U64" s="59"/>
      <c r="V64" s="59"/>
      <c r="W64" s="59"/>
      <c r="X64" s="59"/>
      <c r="Y64" s="59"/>
      <c r="Z64" s="59"/>
      <c r="AA64" s="59"/>
      <c r="AB64" s="59"/>
      <c r="AC64" s="59"/>
      <c r="AD64" s="59"/>
      <c r="AE64" s="59"/>
      <c r="AF64" t="s" s="836">
        <v>2254</v>
      </c>
      <c r="AG64" s="59"/>
      <c r="AH64" s="302"/>
      <c r="AI64" s="302"/>
      <c r="AJ64" s="302"/>
      <c r="AK64" s="302"/>
      <c r="AL64" s="302"/>
      <c r="AM64" s="59"/>
      <c r="AN64" s="59"/>
      <c r="AO64" s="59"/>
      <c r="AP64" s="59"/>
      <c r="AQ64" s="59"/>
      <c r="AR64" s="59"/>
      <c r="AS64" s="59"/>
      <c r="AT64" s="59"/>
      <c r="AU64" s="59"/>
      <c r="AV64" s="59"/>
      <c r="AW64" s="59"/>
      <c r="AX64" s="59"/>
      <c r="AY64" s="59"/>
      <c r="AZ64" s="59"/>
      <c r="BA64" s="59"/>
    </row>
    <row r="65" ht="28.5" customHeight="1">
      <c r="A65" s="60"/>
      <c r="B65" s="57"/>
      <c r="C65" s="58"/>
      <c r="D65" s="59"/>
      <c r="E65" s="59"/>
      <c r="F65" s="59"/>
      <c r="G65" s="59"/>
      <c r="H65" s="59"/>
      <c r="I65" s="59"/>
      <c r="J65" s="59"/>
      <c r="K65" s="59"/>
      <c r="L65" s="59"/>
      <c r="M65" s="125"/>
      <c r="N65" s="59"/>
      <c r="O65" s="125"/>
      <c r="P65" s="59"/>
      <c r="Q65" s="59"/>
      <c r="R65" s="59"/>
      <c r="S65" s="59"/>
      <c r="T65" s="59"/>
      <c r="U65" s="59"/>
      <c r="V65" s="59"/>
      <c r="W65" s="59"/>
      <c r="X65" s="59"/>
      <c r="Y65" s="59"/>
      <c r="Z65" s="59"/>
      <c r="AA65" s="59"/>
      <c r="AB65" s="59"/>
      <c r="AC65" s="59"/>
      <c r="AD65" s="59"/>
      <c r="AE65" s="59"/>
      <c r="AF65" t="s" s="836">
        <v>2255</v>
      </c>
      <c r="AG65" s="59"/>
      <c r="AH65" s="302"/>
      <c r="AI65" s="302"/>
      <c r="AJ65" s="302"/>
      <c r="AK65" s="302"/>
      <c r="AL65" s="302"/>
      <c r="AM65" s="59"/>
      <c r="AN65" s="59"/>
      <c r="AO65" s="59"/>
      <c r="AP65" s="59"/>
      <c r="AQ65" s="59"/>
      <c r="AR65" s="59"/>
      <c r="AS65" s="59"/>
      <c r="AT65" s="59"/>
      <c r="AU65" s="59"/>
      <c r="AV65" s="59"/>
      <c r="AW65" s="59"/>
      <c r="AX65" s="59"/>
      <c r="AY65" s="59"/>
      <c r="AZ65" s="59"/>
      <c r="BA65" s="59"/>
    </row>
    <row r="66" ht="28.5" customHeight="1">
      <c r="A66" s="60"/>
      <c r="B66" s="57"/>
      <c r="C66" s="58"/>
      <c r="D66" s="59"/>
      <c r="E66" s="59"/>
      <c r="F66" s="59"/>
      <c r="G66" s="59"/>
      <c r="H66" s="59"/>
      <c r="I66" s="59"/>
      <c r="J66" s="59"/>
      <c r="K66" s="59"/>
      <c r="L66" s="59"/>
      <c r="M66" s="125"/>
      <c r="N66" s="59"/>
      <c r="O66" s="125"/>
      <c r="P66" s="59"/>
      <c r="Q66" s="59"/>
      <c r="R66" s="59"/>
      <c r="S66" s="59"/>
      <c r="T66" s="59"/>
      <c r="U66" s="59"/>
      <c r="V66" s="59"/>
      <c r="W66" s="59"/>
      <c r="X66" s="59"/>
      <c r="Y66" s="59"/>
      <c r="Z66" s="59"/>
      <c r="AA66" s="59"/>
      <c r="AB66" s="59"/>
      <c r="AC66" s="59"/>
      <c r="AD66" s="59"/>
      <c r="AE66" s="59"/>
      <c r="AF66" t="s" s="836">
        <v>2256</v>
      </c>
      <c r="AG66" s="59"/>
      <c r="AH66" s="302"/>
      <c r="AI66" s="302"/>
      <c r="AJ66" s="302"/>
      <c r="AK66" s="302"/>
      <c r="AL66" s="302"/>
      <c r="AM66" s="59"/>
      <c r="AN66" s="59"/>
      <c r="AO66" s="59"/>
      <c r="AP66" s="59"/>
      <c r="AQ66" s="59"/>
      <c r="AR66" s="59"/>
      <c r="AS66" s="59"/>
      <c r="AT66" s="59"/>
      <c r="AU66" s="59"/>
      <c r="AV66" s="59"/>
      <c r="AW66" s="59"/>
      <c r="AX66" s="59"/>
      <c r="AY66" s="59"/>
      <c r="AZ66" s="59"/>
      <c r="BA66" s="59"/>
    </row>
    <row r="67" ht="28.5" customHeight="1">
      <c r="A67" s="60"/>
      <c r="B67" s="57"/>
      <c r="C67" s="58"/>
      <c r="D67" s="59"/>
      <c r="E67" s="59"/>
      <c r="F67" s="59"/>
      <c r="G67" s="59"/>
      <c r="H67" s="59"/>
      <c r="I67" s="59"/>
      <c r="J67" s="59"/>
      <c r="K67" s="59"/>
      <c r="L67" s="59"/>
      <c r="M67" s="125"/>
      <c r="N67" s="59"/>
      <c r="O67" s="125"/>
      <c r="P67" s="59"/>
      <c r="Q67" s="59"/>
      <c r="R67" s="59"/>
      <c r="S67" s="59"/>
      <c r="T67" s="59"/>
      <c r="U67" s="59"/>
      <c r="V67" s="59"/>
      <c r="W67" s="59"/>
      <c r="X67" s="59"/>
      <c r="Y67" s="59"/>
      <c r="Z67" s="59"/>
      <c r="AA67" s="59"/>
      <c r="AB67" s="59"/>
      <c r="AC67" s="59"/>
      <c r="AD67" s="59"/>
      <c r="AE67" s="59"/>
      <c r="AF67" t="s" s="836">
        <v>2257</v>
      </c>
      <c r="AG67" s="59"/>
      <c r="AH67" s="302"/>
      <c r="AI67" s="302"/>
      <c r="AJ67" s="302"/>
      <c r="AK67" s="302"/>
      <c r="AL67" s="302"/>
      <c r="AM67" s="59"/>
      <c r="AN67" s="59"/>
      <c r="AO67" s="59"/>
      <c r="AP67" s="59"/>
      <c r="AQ67" s="59"/>
      <c r="AR67" s="59"/>
      <c r="AS67" s="59"/>
      <c r="AT67" s="59"/>
      <c r="AU67" s="59"/>
      <c r="AV67" s="59"/>
      <c r="AW67" s="59"/>
      <c r="AX67" s="59"/>
      <c r="AY67" s="59"/>
      <c r="AZ67" s="59"/>
      <c r="BA67" s="59"/>
    </row>
    <row r="68" ht="28.5" customHeight="1">
      <c r="A68" s="60"/>
      <c r="B68" s="57"/>
      <c r="C68" s="58"/>
      <c r="D68" s="59"/>
      <c r="E68" s="59"/>
      <c r="F68" s="59"/>
      <c r="G68" s="59"/>
      <c r="H68" s="59"/>
      <c r="I68" s="59"/>
      <c r="J68" s="59"/>
      <c r="K68" s="59"/>
      <c r="L68" s="59"/>
      <c r="M68" s="125"/>
      <c r="N68" s="59"/>
      <c r="O68" s="125"/>
      <c r="P68" s="59"/>
      <c r="Q68" s="59"/>
      <c r="R68" s="59"/>
      <c r="S68" s="59"/>
      <c r="T68" s="59"/>
      <c r="U68" s="59"/>
      <c r="V68" s="59"/>
      <c r="W68" s="59"/>
      <c r="X68" s="59"/>
      <c r="Y68" s="59"/>
      <c r="Z68" s="59"/>
      <c r="AA68" s="59"/>
      <c r="AB68" s="59"/>
      <c r="AC68" s="59"/>
      <c r="AD68" s="59"/>
      <c r="AE68" s="59"/>
      <c r="AF68" t="s" s="836">
        <v>2258</v>
      </c>
      <c r="AG68" s="59"/>
      <c r="AH68" s="59"/>
      <c r="AI68" s="59"/>
      <c r="AJ68" s="59"/>
      <c r="AK68" s="59"/>
      <c r="AL68" s="59"/>
      <c r="AM68" s="59"/>
      <c r="AN68" s="59"/>
      <c r="AO68" s="59"/>
      <c r="AP68" s="59"/>
      <c r="AQ68" s="59"/>
      <c r="AR68" s="59"/>
      <c r="AS68" s="59"/>
      <c r="AT68" s="59"/>
      <c r="AU68" s="59"/>
      <c r="AV68" s="59"/>
      <c r="AW68" s="59"/>
      <c r="AX68" s="59"/>
      <c r="AY68" s="59"/>
      <c r="AZ68" s="59"/>
      <c r="BA68" s="59"/>
    </row>
    <row r="69" ht="28.5" customHeight="1">
      <c r="A69" s="61"/>
      <c r="B69" s="62"/>
      <c r="C69" s="63"/>
      <c r="D69" s="64"/>
      <c r="E69" s="64"/>
      <c r="F69" s="64"/>
      <c r="G69" s="64"/>
      <c r="H69" s="64"/>
      <c r="I69" s="64"/>
      <c r="J69" s="64"/>
      <c r="K69" s="64"/>
      <c r="L69" s="64"/>
      <c r="M69" s="311"/>
      <c r="N69" s="64"/>
      <c r="O69" s="311"/>
      <c r="P69" s="64"/>
      <c r="Q69" s="64"/>
      <c r="R69" s="64"/>
      <c r="S69" s="64"/>
      <c r="T69" s="64"/>
      <c r="U69" s="64"/>
      <c r="V69" s="64"/>
      <c r="W69" s="64"/>
      <c r="X69" s="64"/>
      <c r="Y69" s="64"/>
      <c r="Z69" s="64"/>
      <c r="AA69" s="64"/>
      <c r="AB69" s="64"/>
      <c r="AC69" s="64"/>
      <c r="AD69" s="64"/>
      <c r="AE69" s="64"/>
      <c r="AF69" t="s" s="758">
        <v>2259</v>
      </c>
      <c r="AG69" s="64"/>
      <c r="AH69" s="64"/>
      <c r="AI69" s="64"/>
      <c r="AJ69" s="64"/>
      <c r="AK69" s="64"/>
      <c r="AL69" s="64"/>
      <c r="AM69" s="64"/>
      <c r="AN69" s="64"/>
      <c r="AO69" s="64"/>
      <c r="AP69" s="64"/>
      <c r="AQ69" s="64"/>
      <c r="AR69" s="64"/>
      <c r="AS69" s="64"/>
      <c r="AT69" s="64"/>
      <c r="AU69" s="59"/>
      <c r="AV69" s="59"/>
      <c r="AW69" s="59"/>
      <c r="AX69" s="59"/>
      <c r="AY69" s="59"/>
      <c r="AZ69" s="59"/>
      <c r="BA69" s="59"/>
    </row>
    <row r="70" ht="108" customHeight="1">
      <c r="A70" s="15">
        <v>7</v>
      </c>
      <c r="B70" t="s" s="65">
        <v>21</v>
      </c>
      <c r="C70" t="s" s="17">
        <v>200</v>
      </c>
      <c r="D70" s="166">
        <v>56</v>
      </c>
      <c r="E70" s="169"/>
      <c r="F70" s="728"/>
      <c r="G70" t="s" s="18">
        <v>2260</v>
      </c>
      <c r="H70" t="s" s="170">
        <v>2261</v>
      </c>
      <c r="I70" t="s" s="170">
        <v>2262</v>
      </c>
      <c r="J70" t="s" s="18">
        <v>2263</v>
      </c>
      <c r="K70" s="166">
        <v>28</v>
      </c>
      <c r="L70" s="172">
        <f t="shared" si="34" ref="L70:L77">11000/19.98</f>
        <v>550.550550550551</v>
      </c>
      <c r="M70" s="176">
        <v>171</v>
      </c>
      <c r="N70" t="s" s="171">
        <v>2264</v>
      </c>
      <c r="O70" s="176">
        <v>124</v>
      </c>
      <c r="P70" s="169"/>
      <c r="Q70" s="166">
        <v>1</v>
      </c>
      <c r="R70" t="s" s="18">
        <v>2265</v>
      </c>
      <c r="S70" s="169"/>
      <c r="T70" t="s" s="18">
        <v>752</v>
      </c>
      <c r="U70" t="s" s="18">
        <v>2266</v>
      </c>
      <c r="V70" t="s" s="171">
        <v>2267</v>
      </c>
      <c r="W70" s="166">
        <v>2</v>
      </c>
      <c r="X70" t="s" s="18">
        <v>2268</v>
      </c>
      <c r="Y70" s="166">
        <v>1</v>
      </c>
      <c r="Z70" t="s" s="170">
        <v>2269</v>
      </c>
      <c r="AA70" s="166">
        <v>1</v>
      </c>
      <c r="AB70" s="166">
        <v>7</v>
      </c>
      <c r="AC70" s="166">
        <v>7</v>
      </c>
      <c r="AD70" t="s" s="171">
        <v>2270</v>
      </c>
      <c r="AE70" t="s" s="171">
        <v>2271</v>
      </c>
      <c r="AF70" t="s" s="18">
        <v>2272</v>
      </c>
      <c r="AG70" s="166">
        <v>0.8</v>
      </c>
      <c r="AH70" t="s" s="18">
        <v>2273</v>
      </c>
      <c r="AI70" t="s" s="18">
        <v>374</v>
      </c>
      <c r="AJ70" t="s" s="18">
        <v>374</v>
      </c>
      <c r="AK70" t="s" s="18">
        <v>374</v>
      </c>
      <c r="AL70" t="s" s="18">
        <v>374</v>
      </c>
      <c r="AM70" t="s" s="173">
        <v>2274</v>
      </c>
      <c r="AN70" s="778"/>
      <c r="AO70" s="846">
        <v>100</v>
      </c>
      <c r="AP70" t="s" s="779">
        <v>2275</v>
      </c>
      <c r="AQ70" t="s" s="779">
        <v>2276</v>
      </c>
      <c r="AR70" t="s" s="780">
        <v>2277</v>
      </c>
      <c r="AS70" t="s" s="779">
        <v>2278</v>
      </c>
      <c r="AT70" t="s" s="779">
        <v>2278</v>
      </c>
      <c r="AU70" s="58"/>
      <c r="AV70" s="59"/>
      <c r="AW70" s="59"/>
      <c r="AX70" s="59"/>
      <c r="AY70" s="59"/>
      <c r="AZ70" s="59"/>
      <c r="BA70" s="59"/>
    </row>
    <row r="71" ht="15" customHeight="1">
      <c r="A71" s="19"/>
      <c r="B71" s="67"/>
      <c r="C71" t="s" s="220">
        <v>230</v>
      </c>
      <c r="D71" s="847">
        <v>0</v>
      </c>
      <c r="E71" s="848"/>
      <c r="F71" s="22"/>
      <c r="G71" s="22"/>
      <c r="H71" s="211"/>
      <c r="I71" s="211"/>
      <c r="J71" t="s" s="209">
        <v>1927</v>
      </c>
      <c r="K71" s="208">
        <v>28</v>
      </c>
      <c r="L71" s="202">
        <f>30000/19.98</f>
        <v>1501.5015015015</v>
      </c>
      <c r="M71" s="187">
        <v>466</v>
      </c>
      <c r="N71" s="210">
        <f>7500/19.98</f>
        <v>375.375375375375</v>
      </c>
      <c r="O71" s="212">
        <v>116</v>
      </c>
      <c r="P71" s="208">
        <v>1</v>
      </c>
      <c r="Q71" s="208">
        <v>1</v>
      </c>
      <c r="R71" s="22"/>
      <c r="S71" s="22"/>
      <c r="T71" s="22"/>
      <c r="U71" s="22"/>
      <c r="V71" s="22"/>
      <c r="W71" s="22"/>
      <c r="X71" s="22"/>
      <c r="Y71" s="22"/>
      <c r="Z71" s="211"/>
      <c r="AA71" s="22"/>
      <c r="AB71" s="22"/>
      <c r="AC71" s="22"/>
      <c r="AD71" s="22"/>
      <c r="AE71" s="22"/>
      <c r="AF71" t="s" s="209">
        <v>2279</v>
      </c>
      <c r="AG71" s="208">
        <v>12.9</v>
      </c>
      <c r="AH71" t="s" s="209">
        <v>2280</v>
      </c>
      <c r="AI71" t="s" s="209">
        <v>374</v>
      </c>
      <c r="AJ71" t="s" s="209">
        <v>374</v>
      </c>
      <c r="AK71" t="s" s="209">
        <v>374</v>
      </c>
      <c r="AL71" t="s" s="209">
        <v>374</v>
      </c>
      <c r="AM71" s="849"/>
      <c r="AN71" s="785"/>
      <c r="AO71" t="s" s="805">
        <v>2281</v>
      </c>
      <c r="AP71" s="814"/>
      <c r="AQ71" s="814"/>
      <c r="AR71" s="814"/>
      <c r="AS71" s="814"/>
      <c r="AT71" s="814"/>
      <c r="AU71" s="58"/>
      <c r="AV71" s="59"/>
      <c r="AW71" s="59"/>
      <c r="AX71" s="59"/>
      <c r="AY71" s="59"/>
      <c r="AZ71" s="59"/>
      <c r="BA71" s="59"/>
    </row>
    <row r="72" ht="24" customHeight="1">
      <c r="A72" s="19"/>
      <c r="B72" s="67"/>
      <c r="C72" t="s" s="220">
        <v>229</v>
      </c>
      <c r="D72" t="s" s="209">
        <v>2282</v>
      </c>
      <c r="E72" t="s" s="209">
        <v>2283</v>
      </c>
      <c r="F72" s="22"/>
      <c r="G72" s="22"/>
      <c r="H72" s="22"/>
      <c r="I72" s="22"/>
      <c r="J72" t="s" s="209">
        <v>229</v>
      </c>
      <c r="K72" s="208">
        <v>20</v>
      </c>
      <c r="L72" s="202">
        <f>22500/19.98</f>
        <v>1126.126126126130</v>
      </c>
      <c r="M72" s="187">
        <v>349</v>
      </c>
      <c r="N72" s="208">
        <v>0</v>
      </c>
      <c r="O72" s="212"/>
      <c r="P72" s="208">
        <v>5</v>
      </c>
      <c r="Q72" s="208">
        <v>2</v>
      </c>
      <c r="R72" s="22"/>
      <c r="S72" t="s" s="182">
        <v>2284</v>
      </c>
      <c r="T72" s="22"/>
      <c r="U72" s="22"/>
      <c r="V72" s="22"/>
      <c r="W72" s="22"/>
      <c r="X72" s="22"/>
      <c r="Y72" s="22"/>
      <c r="Z72" s="22"/>
      <c r="AA72" s="22"/>
      <c r="AB72" s="22"/>
      <c r="AC72" s="22"/>
      <c r="AD72" s="22"/>
      <c r="AE72" s="22"/>
      <c r="AF72" t="s" s="209">
        <v>2285</v>
      </c>
      <c r="AG72" s="208">
        <v>25.6</v>
      </c>
      <c r="AH72" t="s" s="209">
        <v>2286</v>
      </c>
      <c r="AI72" t="s" s="209">
        <v>374</v>
      </c>
      <c r="AJ72" t="s" s="182">
        <v>2287</v>
      </c>
      <c r="AK72" t="s" s="209">
        <v>374</v>
      </c>
      <c r="AL72" t="s" s="209">
        <v>374</v>
      </c>
      <c r="AM72" s="22"/>
      <c r="AN72" s="22"/>
      <c r="AO72" s="787"/>
      <c r="AP72" s="787"/>
      <c r="AQ72" s="787"/>
      <c r="AR72" s="787"/>
      <c r="AS72" s="787"/>
      <c r="AT72" s="787"/>
      <c r="AU72" s="59"/>
      <c r="AV72" s="59"/>
      <c r="AW72" s="59"/>
      <c r="AX72" s="59"/>
      <c r="AY72" s="59"/>
      <c r="AZ72" s="59"/>
      <c r="BA72" s="59"/>
    </row>
    <row r="73" ht="15" customHeight="1">
      <c r="A73" s="19"/>
      <c r="B73" s="67"/>
      <c r="C73" t="s" s="220">
        <v>357</v>
      </c>
      <c r="D73" s="744">
        <v>0</v>
      </c>
      <c r="E73" t="s" s="209">
        <v>2288</v>
      </c>
      <c r="F73" s="22"/>
      <c r="G73" s="22"/>
      <c r="H73" s="22"/>
      <c r="I73" s="22"/>
      <c r="J73" t="s" s="209">
        <v>357</v>
      </c>
      <c r="K73" s="208">
        <v>1</v>
      </c>
      <c r="L73" s="202">
        <f>4500/19.98</f>
        <v>225.225225225225</v>
      </c>
      <c r="M73" s="187">
        <v>70</v>
      </c>
      <c r="N73" s="208">
        <v>0</v>
      </c>
      <c r="O73" s="212"/>
      <c r="P73" s="208">
        <v>5</v>
      </c>
      <c r="Q73" s="208">
        <v>2</v>
      </c>
      <c r="R73" s="22"/>
      <c r="S73" t="s" s="182">
        <v>2284</v>
      </c>
      <c r="T73" s="22"/>
      <c r="U73" s="22"/>
      <c r="V73" s="22"/>
      <c r="W73" s="22"/>
      <c r="X73" s="22"/>
      <c r="Y73" s="22"/>
      <c r="Z73" s="22"/>
      <c r="AA73" s="22"/>
      <c r="AB73" s="22"/>
      <c r="AC73" s="22"/>
      <c r="AD73" s="22"/>
      <c r="AE73" s="22"/>
      <c r="AF73" t="s" s="209">
        <v>2289</v>
      </c>
      <c r="AG73" s="208">
        <v>6.5</v>
      </c>
      <c r="AH73" t="s" s="209">
        <v>2273</v>
      </c>
      <c r="AI73" t="s" s="209">
        <v>374</v>
      </c>
      <c r="AJ73" t="s" s="209">
        <v>374</v>
      </c>
      <c r="AK73" t="s" s="209">
        <v>374</v>
      </c>
      <c r="AL73" t="s" s="209">
        <v>374</v>
      </c>
      <c r="AM73" s="22"/>
      <c r="AN73" s="22"/>
      <c r="AO73" s="22"/>
      <c r="AP73" s="22"/>
      <c r="AQ73" s="22"/>
      <c r="AR73" s="22"/>
      <c r="AS73" s="22"/>
      <c r="AT73" s="22"/>
      <c r="AU73" s="59"/>
      <c r="AV73" s="59"/>
      <c r="AW73" s="59"/>
      <c r="AX73" s="59"/>
      <c r="AY73" s="59"/>
      <c r="AZ73" s="59"/>
      <c r="BA73" s="59"/>
    </row>
    <row r="74" ht="15" customHeight="1">
      <c r="A74" s="19"/>
      <c r="B74" s="67"/>
      <c r="C74" t="s" s="220">
        <v>210</v>
      </c>
      <c r="D74" s="208">
        <v>11</v>
      </c>
      <c r="E74" s="22"/>
      <c r="F74" s="22"/>
      <c r="G74" s="22"/>
      <c r="H74" s="22"/>
      <c r="I74" s="22"/>
      <c r="J74" t="s" s="209">
        <v>210</v>
      </c>
      <c r="K74" s="208">
        <v>0.06</v>
      </c>
      <c r="L74" s="202">
        <f>1500/19.98</f>
        <v>75.07507507507511</v>
      </c>
      <c r="M74" s="187">
        <v>23</v>
      </c>
      <c r="N74" s="208">
        <v>0</v>
      </c>
      <c r="O74" s="212"/>
      <c r="P74" s="208">
        <v>5</v>
      </c>
      <c r="Q74" s="208">
        <v>2</v>
      </c>
      <c r="R74" s="22"/>
      <c r="S74" t="s" s="182">
        <v>2284</v>
      </c>
      <c r="T74" s="22"/>
      <c r="U74" s="22"/>
      <c r="V74" s="22"/>
      <c r="W74" s="22"/>
      <c r="X74" s="22"/>
      <c r="Y74" s="22"/>
      <c r="Z74" s="22"/>
      <c r="AA74" s="22"/>
      <c r="AB74" s="22"/>
      <c r="AC74" s="22"/>
      <c r="AD74" s="22"/>
      <c r="AE74" s="22"/>
      <c r="AF74" t="s" s="209">
        <v>2290</v>
      </c>
      <c r="AG74" s="208">
        <v>27.5</v>
      </c>
      <c r="AH74" t="s" s="209">
        <v>2273</v>
      </c>
      <c r="AI74" t="s" s="209">
        <v>374</v>
      </c>
      <c r="AJ74" t="s" s="209">
        <v>374</v>
      </c>
      <c r="AK74" t="s" s="209">
        <v>374</v>
      </c>
      <c r="AL74" t="s" s="209">
        <v>374</v>
      </c>
      <c r="AM74" s="22"/>
      <c r="AN74" s="22"/>
      <c r="AO74" s="22"/>
      <c r="AP74" s="22"/>
      <c r="AQ74" s="22"/>
      <c r="AR74" s="22"/>
      <c r="AS74" s="22"/>
      <c r="AT74" s="22"/>
      <c r="AU74" s="59"/>
      <c r="AV74" s="59"/>
      <c r="AW74" s="59"/>
      <c r="AX74" s="59"/>
      <c r="AY74" s="59"/>
      <c r="AZ74" s="59"/>
      <c r="BA74" s="59"/>
    </row>
    <row r="75" ht="15" customHeight="1">
      <c r="A75" s="19"/>
      <c r="B75" s="67"/>
      <c r="C75" s="21"/>
      <c r="D75" s="22"/>
      <c r="E75" s="22"/>
      <c r="F75" s="22"/>
      <c r="G75" s="22"/>
      <c r="H75" s="22"/>
      <c r="I75" s="22"/>
      <c r="J75" t="s" s="209">
        <v>227</v>
      </c>
      <c r="K75" t="s" s="209">
        <v>2291</v>
      </c>
      <c r="L75" s="210"/>
      <c r="M75" s="212"/>
      <c r="N75" s="208">
        <v>0</v>
      </c>
      <c r="O75" s="212"/>
      <c r="P75" s="22"/>
      <c r="Q75" s="22"/>
      <c r="R75" s="22"/>
      <c r="S75" s="22"/>
      <c r="T75" s="22"/>
      <c r="U75" s="22"/>
      <c r="V75" s="22"/>
      <c r="W75" s="22"/>
      <c r="X75" s="22"/>
      <c r="Y75" s="22"/>
      <c r="Z75" s="22"/>
      <c r="AA75" s="22"/>
      <c r="AB75" s="22"/>
      <c r="AC75" s="22"/>
      <c r="AD75" s="22"/>
      <c r="AE75" s="22"/>
      <c r="AF75" t="s" s="209">
        <v>2292</v>
      </c>
      <c r="AG75" s="208">
        <v>10.2</v>
      </c>
      <c r="AH75" t="s" s="209">
        <v>2286</v>
      </c>
      <c r="AI75" t="s" s="209">
        <v>374</v>
      </c>
      <c r="AJ75" t="s" s="209">
        <v>2287</v>
      </c>
      <c r="AK75" t="s" s="209">
        <v>374</v>
      </c>
      <c r="AL75" t="s" s="209">
        <v>374</v>
      </c>
      <c r="AM75" s="22"/>
      <c r="AN75" s="22"/>
      <c r="AO75" s="22"/>
      <c r="AP75" s="22"/>
      <c r="AQ75" s="22"/>
      <c r="AR75" s="22"/>
      <c r="AS75" s="22"/>
      <c r="AT75" s="22"/>
      <c r="AU75" s="59"/>
      <c r="AV75" s="59"/>
      <c r="AW75" s="59"/>
      <c r="AX75" s="59"/>
      <c r="AY75" s="59"/>
      <c r="AZ75" s="59"/>
      <c r="BA75" s="59"/>
    </row>
    <row r="76" ht="15" customHeight="1">
      <c r="A76" s="19"/>
      <c r="B76" s="67"/>
      <c r="C76" s="21"/>
      <c r="D76" s="22"/>
      <c r="E76" s="22"/>
      <c r="F76" s="22"/>
      <c r="G76" s="22"/>
      <c r="H76" s="22"/>
      <c r="I76" s="22"/>
      <c r="J76" t="s" s="209">
        <v>265</v>
      </c>
      <c r="K76" t="s" s="209">
        <v>2293</v>
      </c>
      <c r="L76" t="s" s="209">
        <v>375</v>
      </c>
      <c r="M76" s="212"/>
      <c r="N76" t="s" s="209">
        <v>375</v>
      </c>
      <c r="O76" s="212"/>
      <c r="P76" s="22"/>
      <c r="Q76" s="22"/>
      <c r="R76" s="22"/>
      <c r="S76" s="22"/>
      <c r="T76" s="22"/>
      <c r="U76" s="22"/>
      <c r="V76" s="22"/>
      <c r="W76" s="22"/>
      <c r="X76" s="22"/>
      <c r="Y76" s="22"/>
      <c r="Z76" s="22"/>
      <c r="AA76" s="22"/>
      <c r="AB76" s="22"/>
      <c r="AC76" s="22"/>
      <c r="AD76" s="22"/>
      <c r="AE76" s="22"/>
      <c r="AF76" t="s" s="209">
        <v>2294</v>
      </c>
      <c r="AG76" s="208">
        <v>16.5</v>
      </c>
      <c r="AH76" t="s" s="209">
        <v>2286</v>
      </c>
      <c r="AI76" t="s" s="209">
        <v>374</v>
      </c>
      <c r="AJ76" t="s" s="209">
        <v>2287</v>
      </c>
      <c r="AK76" t="s" s="209">
        <v>374</v>
      </c>
      <c r="AL76" t="s" s="209">
        <v>374</v>
      </c>
      <c r="AM76" s="22"/>
      <c r="AN76" s="22"/>
      <c r="AO76" s="22"/>
      <c r="AP76" s="22"/>
      <c r="AQ76" s="22"/>
      <c r="AR76" s="22"/>
      <c r="AS76" s="22"/>
      <c r="AT76" s="22"/>
      <c r="AU76" s="59"/>
      <c r="AV76" s="59"/>
      <c r="AW76" s="59"/>
      <c r="AX76" s="59"/>
      <c r="AY76" s="59"/>
      <c r="AZ76" s="59"/>
      <c r="BA76" s="59"/>
    </row>
    <row r="77" ht="36" customHeight="1">
      <c r="A77" s="19"/>
      <c r="B77" s="67"/>
      <c r="C77" s="21"/>
      <c r="D77" s="22"/>
      <c r="E77" s="22"/>
      <c r="F77" s="22"/>
      <c r="G77" s="22"/>
      <c r="H77" s="22"/>
      <c r="I77" s="22"/>
      <c r="J77" t="s" s="317">
        <v>2295</v>
      </c>
      <c r="K77" s="319">
        <v>13</v>
      </c>
      <c r="L77" s="421">
        <f t="shared" si="34"/>
        <v>550.550550550551</v>
      </c>
      <c r="M77" s="850">
        <v>171</v>
      </c>
      <c r="N77" s="851">
        <v>0</v>
      </c>
      <c r="O77" s="852"/>
      <c r="P77" t="s" s="605">
        <v>2296</v>
      </c>
      <c r="Q77" s="851">
        <v>2</v>
      </c>
      <c r="R77" s="613"/>
      <c r="S77" t="s" s="317">
        <v>2297</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59"/>
      <c r="AV77" s="59"/>
      <c r="AW77" s="59"/>
      <c r="AX77" s="59"/>
      <c r="AY77" s="59"/>
      <c r="AZ77" s="59"/>
      <c r="BA77" s="59"/>
    </row>
    <row r="78" ht="15" customHeight="1">
      <c r="A78" s="19"/>
      <c r="B78" s="67"/>
      <c r="C78" s="21"/>
      <c r="D78" s="22"/>
      <c r="E78" s="22"/>
      <c r="F78" s="22"/>
      <c r="G78" s="22"/>
      <c r="H78" s="22"/>
      <c r="I78" s="22"/>
      <c r="J78" s="316"/>
      <c r="K78" s="317"/>
      <c r="L78" s="316"/>
      <c r="M78" s="850"/>
      <c r="N78" s="613"/>
      <c r="O78" s="852"/>
      <c r="P78" s="316"/>
      <c r="Q78" s="613"/>
      <c r="R78" s="613"/>
      <c r="S78" s="316"/>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59"/>
      <c r="AV78" s="59"/>
      <c r="AW78" s="59"/>
      <c r="AX78" s="59"/>
      <c r="AY78" s="59"/>
      <c r="AZ78" s="59"/>
      <c r="BA78" s="59"/>
    </row>
    <row r="79" ht="15" customHeight="1">
      <c r="A79" s="19"/>
      <c r="B79" s="67"/>
      <c r="C79" s="21"/>
      <c r="D79" s="22"/>
      <c r="E79" s="22"/>
      <c r="F79" s="22"/>
      <c r="G79" s="22"/>
      <c r="H79" s="22"/>
      <c r="I79" s="22"/>
      <c r="J79" s="316"/>
      <c r="K79" s="317"/>
      <c r="L79" s="316"/>
      <c r="M79" s="850"/>
      <c r="N79" s="613"/>
      <c r="O79" s="852"/>
      <c r="P79" s="316"/>
      <c r="Q79" s="613"/>
      <c r="R79" s="613"/>
      <c r="S79" s="316"/>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59"/>
      <c r="AV79" s="59"/>
      <c r="AW79" s="59"/>
      <c r="AX79" s="59"/>
      <c r="AY79" s="59"/>
      <c r="AZ79" s="59"/>
      <c r="BA79" s="59"/>
    </row>
    <row r="80" ht="15" customHeight="1">
      <c r="A80" s="23"/>
      <c r="B80" s="68"/>
      <c r="C80" s="25"/>
      <c r="D80" s="26"/>
      <c r="E80" s="26"/>
      <c r="F80" s="26"/>
      <c r="G80" s="26"/>
      <c r="H80" s="26"/>
      <c r="I80" s="26"/>
      <c r="J80" s="518"/>
      <c r="K80" s="853"/>
      <c r="L80" s="518"/>
      <c r="M80" s="854"/>
      <c r="N80" s="855"/>
      <c r="O80" s="856"/>
      <c r="P80" s="518"/>
      <c r="Q80" s="855"/>
      <c r="R80" s="855"/>
      <c r="S80" s="518"/>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59"/>
      <c r="AV80" s="59"/>
      <c r="AW80" s="59"/>
      <c r="AX80" s="59"/>
      <c r="AY80" s="59"/>
      <c r="AZ80" s="59"/>
      <c r="BA80" s="59"/>
    </row>
    <row r="81" ht="60" customHeight="1">
      <c r="A81" s="71">
        <v>8</v>
      </c>
      <c r="B81" t="s" s="72">
        <v>22</v>
      </c>
      <c r="C81" t="s" s="73">
        <v>200</v>
      </c>
      <c r="D81" s="321">
        <v>70</v>
      </c>
      <c r="E81" s="325"/>
      <c r="F81" t="s" s="320">
        <v>2298</v>
      </c>
      <c r="G81" s="325"/>
      <c r="H81" t="s" s="292">
        <v>2299</v>
      </c>
      <c r="I81" t="s" s="292">
        <v>2300</v>
      </c>
      <c r="J81" t="s" s="320">
        <v>200</v>
      </c>
      <c r="K81" s="563">
        <v>0.771</v>
      </c>
      <c r="L81" t="s" s="320">
        <v>2301</v>
      </c>
      <c r="M81" s="328"/>
      <c r="N81" t="s" s="75">
        <v>2302</v>
      </c>
      <c r="O81" s="857"/>
      <c r="P81" s="325"/>
      <c r="Q81" s="321">
        <v>1</v>
      </c>
      <c r="R81" t="s" s="292">
        <v>2303</v>
      </c>
      <c r="S81" s="325"/>
      <c r="T81" t="s" s="320">
        <v>1932</v>
      </c>
      <c r="U81" s="325"/>
      <c r="V81" t="s" s="320">
        <v>2304</v>
      </c>
      <c r="W81" s="321">
        <v>2</v>
      </c>
      <c r="X81" s="563">
        <v>0.975</v>
      </c>
      <c r="Y81" s="321">
        <v>1</v>
      </c>
      <c r="Z81" t="s" s="292">
        <v>2305</v>
      </c>
      <c r="AA81" s="321">
        <v>1</v>
      </c>
      <c r="AB81" s="321">
        <v>9</v>
      </c>
      <c r="AC81" s="321">
        <v>9</v>
      </c>
      <c r="AD81" t="s" s="320">
        <v>2306</v>
      </c>
      <c r="AE81" t="s" s="320">
        <v>2307</v>
      </c>
      <c r="AF81" t="s" s="320">
        <v>2308</v>
      </c>
      <c r="AG81" s="325"/>
      <c r="AH81" s="285">
        <v>2003</v>
      </c>
      <c r="AI81" s="325"/>
      <c r="AJ81" s="325"/>
      <c r="AK81" s="325"/>
      <c r="AL81" s="325"/>
      <c r="AM81" s="325"/>
      <c r="AN81" t="s" s="566">
        <v>2309</v>
      </c>
      <c r="AO81" s="859"/>
      <c r="AP81" s="859"/>
      <c r="AQ81" s="859"/>
      <c r="AR81" s="859"/>
      <c r="AS81" s="859"/>
      <c r="AT81" s="859"/>
      <c r="AU81" s="58"/>
      <c r="AV81" s="59"/>
      <c r="AW81" s="59"/>
      <c r="AX81" s="59"/>
      <c r="AY81" s="59"/>
      <c r="AZ81" s="59"/>
      <c r="BA81" s="59"/>
    </row>
    <row r="82" ht="75" customHeight="1">
      <c r="A82" s="76"/>
      <c r="B82" s="77"/>
      <c r="C82" t="s" s="730">
        <v>229</v>
      </c>
      <c r="D82" s="335">
        <v>15</v>
      </c>
      <c r="E82" t="s" s="333">
        <v>2310</v>
      </c>
      <c r="F82" s="79"/>
      <c r="G82" s="79"/>
      <c r="H82" s="302"/>
      <c r="I82" s="302"/>
      <c r="J82" t="s" s="329">
        <v>229</v>
      </c>
      <c r="K82" s="860">
        <v>0.166</v>
      </c>
      <c r="L82" t="s" s="329">
        <v>2311</v>
      </c>
      <c r="M82" s="334"/>
      <c r="N82" t="s" s="861">
        <v>2302</v>
      </c>
      <c r="O82" s="862"/>
      <c r="P82" t="s" s="333">
        <v>2312</v>
      </c>
      <c r="Q82" s="335">
        <v>1</v>
      </c>
      <c r="R82" s="302"/>
      <c r="S82" s="79"/>
      <c r="T82" s="79"/>
      <c r="U82" s="79"/>
      <c r="V82" s="79"/>
      <c r="W82" s="79"/>
      <c r="X82" s="79"/>
      <c r="Y82" s="79"/>
      <c r="Z82" s="302"/>
      <c r="AA82" s="79"/>
      <c r="AB82" s="79"/>
      <c r="AC82" s="79"/>
      <c r="AD82" s="79"/>
      <c r="AE82" s="79"/>
      <c r="AF82" t="s" s="329">
        <v>2313</v>
      </c>
      <c r="AG82" s="79"/>
      <c r="AH82" s="299">
        <v>2003</v>
      </c>
      <c r="AI82" s="79"/>
      <c r="AJ82" s="79"/>
      <c r="AK82" s="79"/>
      <c r="AL82" s="79"/>
      <c r="AM82" s="79"/>
      <c r="AN82" s="863"/>
      <c r="AO82" s="864"/>
      <c r="AP82" s="864"/>
      <c r="AQ82" s="864"/>
      <c r="AR82" s="864"/>
      <c r="AS82" s="864"/>
      <c r="AT82" s="864"/>
      <c r="AU82" s="58"/>
      <c r="AV82" s="59"/>
      <c r="AW82" s="59"/>
      <c r="AX82" s="59"/>
      <c r="AY82" s="59"/>
      <c r="AZ82" s="59"/>
      <c r="BA82" s="59"/>
    </row>
    <row r="83" ht="60" customHeight="1">
      <c r="A83" s="80"/>
      <c r="B83" s="77"/>
      <c r="C83" t="s" s="730">
        <v>337</v>
      </c>
      <c r="D83" s="335">
        <v>15</v>
      </c>
      <c r="E83" t="s" s="333">
        <v>2314</v>
      </c>
      <c r="F83" s="79"/>
      <c r="G83" s="79"/>
      <c r="H83" s="302"/>
      <c r="I83" s="302"/>
      <c r="J83" t="s" s="329">
        <v>357</v>
      </c>
      <c r="K83" s="860">
        <v>0.016</v>
      </c>
      <c r="L83" t="s" s="329">
        <v>2311</v>
      </c>
      <c r="M83" s="334"/>
      <c r="N83" t="s" s="861">
        <v>2302</v>
      </c>
      <c r="O83" s="862"/>
      <c r="P83" t="s" s="333">
        <v>2312</v>
      </c>
      <c r="Q83" s="335">
        <v>1</v>
      </c>
      <c r="R83" s="302"/>
      <c r="S83" s="79"/>
      <c r="T83" s="79"/>
      <c r="U83" s="79"/>
      <c r="V83" s="79"/>
      <c r="W83" s="79"/>
      <c r="X83" s="79"/>
      <c r="Y83" s="79"/>
      <c r="Z83" s="79"/>
      <c r="AA83" s="79"/>
      <c r="AB83" s="79"/>
      <c r="AC83" s="79"/>
      <c r="AD83" s="79"/>
      <c r="AE83" s="79"/>
      <c r="AF83" t="s" s="329">
        <v>2315</v>
      </c>
      <c r="AG83" s="79"/>
      <c r="AH83" s="299">
        <v>2003</v>
      </c>
      <c r="AI83" s="79"/>
      <c r="AJ83" s="79"/>
      <c r="AK83" s="79"/>
      <c r="AL83" s="79"/>
      <c r="AM83" s="79"/>
      <c r="AN83" s="863"/>
      <c r="AO83" s="864"/>
      <c r="AP83" s="864"/>
      <c r="AQ83" s="864"/>
      <c r="AR83" s="864"/>
      <c r="AS83" s="864"/>
      <c r="AT83" s="864"/>
      <c r="AU83" s="58"/>
      <c r="AV83" s="59"/>
      <c r="AW83" s="59"/>
      <c r="AX83" s="59"/>
      <c r="AY83" s="59"/>
      <c r="AZ83" s="59"/>
      <c r="BA83" s="59"/>
    </row>
    <row r="84" ht="28.5" customHeight="1">
      <c r="A84" s="81"/>
      <c r="B84" s="57"/>
      <c r="C84" s="78"/>
      <c r="D84" s="79"/>
      <c r="E84" s="79"/>
      <c r="F84" s="79"/>
      <c r="G84" s="79"/>
      <c r="H84" s="79"/>
      <c r="I84" s="302"/>
      <c r="J84" t="s" s="329">
        <v>265</v>
      </c>
      <c r="K84" s="860">
        <v>0.029</v>
      </c>
      <c r="L84" s="79"/>
      <c r="M84" s="334"/>
      <c r="N84" s="79"/>
      <c r="O84" s="334"/>
      <c r="P84" s="79"/>
      <c r="Q84" s="79"/>
      <c r="R84" s="79"/>
      <c r="S84" s="79"/>
      <c r="T84" s="79"/>
      <c r="U84" s="79"/>
      <c r="V84" s="79"/>
      <c r="W84" s="79"/>
      <c r="X84" s="79"/>
      <c r="Y84" s="79"/>
      <c r="Z84" s="79"/>
      <c r="AA84" s="79"/>
      <c r="AB84" s="79"/>
      <c r="AC84" s="79"/>
      <c r="AD84" s="79"/>
      <c r="AE84" s="79"/>
      <c r="AF84" t="s" s="329">
        <v>2316</v>
      </c>
      <c r="AG84" s="79"/>
      <c r="AH84" s="299">
        <v>2003</v>
      </c>
      <c r="AI84" s="79"/>
      <c r="AJ84" s="79"/>
      <c r="AK84" s="79"/>
      <c r="AL84" s="79"/>
      <c r="AM84" s="79"/>
      <c r="AN84" s="863"/>
      <c r="AO84" s="864"/>
      <c r="AP84" s="864"/>
      <c r="AQ84" s="864"/>
      <c r="AR84" s="864"/>
      <c r="AS84" s="864"/>
      <c r="AT84" s="864"/>
      <c r="AU84" s="58"/>
      <c r="AV84" s="59"/>
      <c r="AW84" s="59"/>
      <c r="AX84" s="59"/>
      <c r="AY84" s="59"/>
      <c r="AZ84" s="59"/>
      <c r="BA84" s="59"/>
    </row>
    <row r="85" ht="28.5" customHeight="1">
      <c r="A85" s="19"/>
      <c r="B85" s="57"/>
      <c r="C85" s="58"/>
      <c r="D85" s="59"/>
      <c r="E85" s="59"/>
      <c r="F85" s="59"/>
      <c r="G85" s="59"/>
      <c r="H85" s="59"/>
      <c r="I85" s="302"/>
      <c r="J85" s="59"/>
      <c r="K85" s="59"/>
      <c r="L85" s="59"/>
      <c r="M85" s="125"/>
      <c r="N85" s="59"/>
      <c r="O85" s="125"/>
      <c r="P85" s="59"/>
      <c r="Q85" s="59"/>
      <c r="R85" s="59"/>
      <c r="S85" s="59"/>
      <c r="T85" s="59"/>
      <c r="U85" s="59"/>
      <c r="V85" s="59"/>
      <c r="W85" s="59"/>
      <c r="X85" s="59"/>
      <c r="Y85" s="59"/>
      <c r="Z85" s="59"/>
      <c r="AA85" s="59"/>
      <c r="AB85" s="59"/>
      <c r="AC85" s="59"/>
      <c r="AD85" s="59"/>
      <c r="AE85" s="59"/>
      <c r="AF85" t="s" s="303">
        <v>2317</v>
      </c>
      <c r="AG85" s="59"/>
      <c r="AH85" s="299">
        <v>1987</v>
      </c>
      <c r="AI85" s="59"/>
      <c r="AJ85" s="59"/>
      <c r="AK85" s="59"/>
      <c r="AL85" s="59"/>
      <c r="AM85" s="59"/>
      <c r="AN85" s="355"/>
      <c r="AO85" s="865"/>
      <c r="AP85" s="865"/>
      <c r="AQ85" s="865"/>
      <c r="AR85" s="865"/>
      <c r="AS85" s="865"/>
      <c r="AT85" s="865"/>
      <c r="AU85" s="58"/>
      <c r="AV85" s="59"/>
      <c r="AW85" s="59"/>
      <c r="AX85" s="59"/>
      <c r="AY85" s="59"/>
      <c r="AZ85" s="59"/>
      <c r="BA85" s="59"/>
    </row>
    <row r="86" ht="28.5" customHeight="1">
      <c r="A86" s="19"/>
      <c r="B86" s="57"/>
      <c r="C86" s="58"/>
      <c r="D86" s="59"/>
      <c r="E86" s="59"/>
      <c r="F86" s="59"/>
      <c r="G86" s="59"/>
      <c r="H86" s="59"/>
      <c r="I86" s="302"/>
      <c r="J86" s="59"/>
      <c r="K86" s="59"/>
      <c r="L86" s="59"/>
      <c r="M86" s="125"/>
      <c r="N86" s="59"/>
      <c r="O86" s="125"/>
      <c r="P86" s="59"/>
      <c r="Q86" s="59"/>
      <c r="R86" s="59"/>
      <c r="S86" s="59"/>
      <c r="T86" s="59"/>
      <c r="U86" s="59"/>
      <c r="V86" s="59"/>
      <c r="W86" s="59"/>
      <c r="X86" s="59"/>
      <c r="Y86" s="59"/>
      <c r="Z86" s="59"/>
      <c r="AA86" s="59"/>
      <c r="AB86" s="59"/>
      <c r="AC86" s="59"/>
      <c r="AD86" s="59"/>
      <c r="AE86" s="59"/>
      <c r="AF86" t="s" s="303">
        <v>2318</v>
      </c>
      <c r="AG86" s="59"/>
      <c r="AH86" s="299">
        <v>2009</v>
      </c>
      <c r="AI86" s="59"/>
      <c r="AJ86" s="59"/>
      <c r="AK86" s="59"/>
      <c r="AL86" s="59"/>
      <c r="AM86" s="59"/>
      <c r="AN86" s="355"/>
      <c r="AO86" s="865"/>
      <c r="AP86" s="865"/>
      <c r="AQ86" s="865"/>
      <c r="AR86" s="865"/>
      <c r="AS86" s="865"/>
      <c r="AT86" s="865"/>
      <c r="AU86" s="58"/>
      <c r="AV86" s="59"/>
      <c r="AW86" s="59"/>
      <c r="AX86" s="59"/>
      <c r="AY86" s="59"/>
      <c r="AZ86" s="59"/>
      <c r="BA86" s="59"/>
    </row>
    <row r="87" ht="28.5" customHeight="1">
      <c r="A87" s="19"/>
      <c r="B87" s="57"/>
      <c r="C87" s="58"/>
      <c r="D87" s="59"/>
      <c r="E87" s="59"/>
      <c r="F87" s="59"/>
      <c r="G87" s="59"/>
      <c r="H87" s="59"/>
      <c r="I87" s="59"/>
      <c r="J87" s="59"/>
      <c r="K87" s="59"/>
      <c r="L87" s="59"/>
      <c r="M87" s="125"/>
      <c r="N87" s="59"/>
      <c r="O87" s="125"/>
      <c r="P87" s="59"/>
      <c r="Q87" s="59"/>
      <c r="R87" s="59"/>
      <c r="S87" s="59"/>
      <c r="T87" s="59"/>
      <c r="U87" s="59"/>
      <c r="V87" s="59"/>
      <c r="W87" s="59"/>
      <c r="X87" s="59"/>
      <c r="Y87" s="59"/>
      <c r="Z87" s="59"/>
      <c r="AA87" s="59"/>
      <c r="AB87" s="59"/>
      <c r="AC87" s="59"/>
      <c r="AD87" s="59"/>
      <c r="AE87" s="59"/>
      <c r="AF87" t="s" s="329">
        <v>2319</v>
      </c>
      <c r="AG87" s="59"/>
      <c r="AH87" s="299">
        <v>2009</v>
      </c>
      <c r="AI87" s="59"/>
      <c r="AJ87" s="59"/>
      <c r="AK87" s="59"/>
      <c r="AL87" s="59"/>
      <c r="AM87" s="59"/>
      <c r="AN87" s="355"/>
      <c r="AO87" s="865"/>
      <c r="AP87" s="865"/>
      <c r="AQ87" s="865"/>
      <c r="AR87" s="865"/>
      <c r="AS87" s="865"/>
      <c r="AT87" s="865"/>
      <c r="AU87" s="58"/>
      <c r="AV87" s="59"/>
      <c r="AW87" s="59"/>
      <c r="AX87" s="59"/>
      <c r="AY87" s="59"/>
      <c r="AZ87" s="59"/>
      <c r="BA87" s="59"/>
    </row>
    <row r="88" ht="28.5" customHeight="1">
      <c r="A88" s="19"/>
      <c r="B88" s="57"/>
      <c r="C88" s="58"/>
      <c r="D88" s="59"/>
      <c r="E88" s="59"/>
      <c r="F88" s="59"/>
      <c r="G88" s="59"/>
      <c r="H88" s="59"/>
      <c r="I88" s="59"/>
      <c r="J88" s="59"/>
      <c r="K88" s="59"/>
      <c r="L88" s="59"/>
      <c r="M88" s="125"/>
      <c r="N88" s="59"/>
      <c r="O88" s="125"/>
      <c r="P88" s="59"/>
      <c r="Q88" s="59"/>
      <c r="R88" s="59"/>
      <c r="S88" s="59"/>
      <c r="T88" s="59"/>
      <c r="U88" s="59"/>
      <c r="V88" s="59"/>
      <c r="W88" s="59"/>
      <c r="X88" s="59"/>
      <c r="Y88" s="59"/>
      <c r="Z88" s="59"/>
      <c r="AA88" s="59"/>
      <c r="AB88" s="59"/>
      <c r="AC88" s="59"/>
      <c r="AD88" s="59"/>
      <c r="AE88" s="59"/>
      <c r="AF88" t="s" s="329">
        <v>2320</v>
      </c>
      <c r="AG88" s="59"/>
      <c r="AH88" s="299">
        <v>2012</v>
      </c>
      <c r="AI88" s="59"/>
      <c r="AJ88" s="59"/>
      <c r="AK88" s="59"/>
      <c r="AL88" s="59"/>
      <c r="AM88" s="59"/>
      <c r="AN88" s="355"/>
      <c r="AO88" s="865"/>
      <c r="AP88" s="865"/>
      <c r="AQ88" s="865"/>
      <c r="AR88" s="865"/>
      <c r="AS88" s="865"/>
      <c r="AT88" s="865"/>
      <c r="AU88" s="58"/>
      <c r="AV88" s="59"/>
      <c r="AW88" s="59"/>
      <c r="AX88" s="59"/>
      <c r="AY88" s="59"/>
      <c r="AZ88" s="59"/>
      <c r="BA88" s="59"/>
    </row>
    <row r="89" ht="28.5" customHeight="1">
      <c r="A89" s="23"/>
      <c r="B89" s="62"/>
      <c r="C89" s="63"/>
      <c r="D89" s="64"/>
      <c r="E89" s="64"/>
      <c r="F89" s="64"/>
      <c r="G89" s="64"/>
      <c r="H89" s="64"/>
      <c r="I89" s="64"/>
      <c r="J89" s="64"/>
      <c r="K89" s="64"/>
      <c r="L89" s="64"/>
      <c r="M89" s="3"/>
      <c r="N89" s="64"/>
      <c r="O89" s="3"/>
      <c r="P89" s="64"/>
      <c r="Q89" s="64"/>
      <c r="R89" s="64"/>
      <c r="S89" s="64"/>
      <c r="T89" s="64"/>
      <c r="U89" s="64"/>
      <c r="V89" s="64"/>
      <c r="W89" s="64"/>
      <c r="X89" s="64"/>
      <c r="Y89" s="64"/>
      <c r="Z89" s="64"/>
      <c r="AA89" s="64"/>
      <c r="AB89" s="64"/>
      <c r="AC89" s="64"/>
      <c r="AD89" s="64"/>
      <c r="AE89" s="64"/>
      <c r="AF89" t="s" s="866">
        <v>2321</v>
      </c>
      <c r="AG89" s="64"/>
      <c r="AH89" s="756">
        <v>2011</v>
      </c>
      <c r="AI89" s="64"/>
      <c r="AJ89" s="64"/>
      <c r="AK89" s="64"/>
      <c r="AL89" s="64"/>
      <c r="AM89" s="64"/>
      <c r="AN89" s="867"/>
      <c r="AO89" s="868"/>
      <c r="AP89" s="868"/>
      <c r="AQ89" s="868"/>
      <c r="AR89" s="868"/>
      <c r="AS89" s="868"/>
      <c r="AT89" s="868"/>
      <c r="AU89" s="58"/>
      <c r="AV89" s="59"/>
      <c r="AW89" s="59"/>
      <c r="AX89" s="59"/>
      <c r="AY89" s="59"/>
      <c r="AZ89" s="59"/>
      <c r="BA89" s="59"/>
    </row>
    <row r="90" ht="15" customHeight="1">
      <c r="A90" s="52">
        <v>9</v>
      </c>
      <c r="B90" t="s" s="53">
        <v>24</v>
      </c>
      <c r="C90" t="s" s="54">
        <v>200</v>
      </c>
      <c r="D90" s="285">
        <v>80.63</v>
      </c>
      <c r="E90" s="123"/>
      <c r="F90" t="s" s="82">
        <v>2322</v>
      </c>
      <c r="G90" t="s" s="82">
        <v>2323</v>
      </c>
      <c r="H90" t="s" s="293">
        <v>2324</v>
      </c>
      <c r="I90" s="123"/>
      <c r="J90" t="s" s="82">
        <v>200</v>
      </c>
      <c r="K90" s="285">
        <v>39.6</v>
      </c>
      <c r="L90" s="869">
        <f>85000/49.19</f>
        <v>1727.993494612730</v>
      </c>
      <c r="M90" s="870">
        <v>548</v>
      </c>
      <c r="N90" s="294">
        <f>5000/49.19</f>
        <v>101.646676153690</v>
      </c>
      <c r="O90" s="295">
        <v>32</v>
      </c>
      <c r="P90" s="123"/>
      <c r="Q90" s="285">
        <v>2</v>
      </c>
      <c r="R90" s="123"/>
      <c r="S90" t="s" s="82">
        <v>2325</v>
      </c>
      <c r="T90" s="123"/>
      <c r="U90" t="s" s="82">
        <v>2326</v>
      </c>
      <c r="V90" t="s" s="82">
        <v>2327</v>
      </c>
      <c r="W90" s="285">
        <v>2</v>
      </c>
      <c r="X90" s="551">
        <v>0.5979</v>
      </c>
      <c r="Y90" s="285">
        <v>2</v>
      </c>
      <c r="Z90" t="s" s="82">
        <v>2328</v>
      </c>
      <c r="AA90" s="285">
        <v>2</v>
      </c>
      <c r="AB90" s="285">
        <v>0</v>
      </c>
      <c r="AC90" s="123"/>
      <c r="AD90" s="285">
        <v>0</v>
      </c>
      <c r="AE90" s="285">
        <v>0</v>
      </c>
      <c r="AF90" s="123"/>
      <c r="AG90" s="123"/>
      <c r="AH90" s="123"/>
      <c r="AI90" s="123"/>
      <c r="AJ90" s="123"/>
      <c r="AK90" s="123"/>
      <c r="AL90" s="123"/>
      <c r="AM90" s="123"/>
      <c r="AN90" s="871"/>
      <c r="AO90" s="872">
        <v>0.98</v>
      </c>
      <c r="AP90" t="s" s="873">
        <v>2103</v>
      </c>
      <c r="AQ90" s="606"/>
      <c r="AR90" s="123"/>
      <c r="AS90" s="123"/>
      <c r="AT90" s="123"/>
      <c r="AU90" s="59"/>
      <c r="AV90" s="59"/>
      <c r="AW90" s="59"/>
      <c r="AX90" s="59"/>
      <c r="AY90" s="59"/>
      <c r="AZ90" s="59"/>
      <c r="BA90" s="59"/>
    </row>
    <row r="91" ht="15" customHeight="1">
      <c r="A91" s="56"/>
      <c r="B91" s="57"/>
      <c r="C91" t="s" s="727">
        <v>230</v>
      </c>
      <c r="D91" s="299">
        <v>3.58</v>
      </c>
      <c r="E91" t="s" s="303">
        <v>2329</v>
      </c>
      <c r="F91" s="59"/>
      <c r="G91" s="59"/>
      <c r="H91" s="304"/>
      <c r="I91" s="59"/>
      <c r="J91" t="s" s="303">
        <v>230</v>
      </c>
      <c r="K91" s="299">
        <v>58.81</v>
      </c>
      <c r="L91" s="298">
        <f>100000/49.19</f>
        <v>2032.9335230738</v>
      </c>
      <c r="M91" s="251">
        <v>645</v>
      </c>
      <c r="N91" s="298">
        <f t="shared" si="44" ref="N91:N92">3750/49.19</f>
        <v>76.23500711526729</v>
      </c>
      <c r="O91" s="251">
        <v>24</v>
      </c>
      <c r="P91" t="s" s="303">
        <v>351</v>
      </c>
      <c r="Q91" s="299">
        <v>2</v>
      </c>
      <c r="R91" s="59"/>
      <c r="S91" t="s" s="303">
        <v>2325</v>
      </c>
      <c r="T91" s="59"/>
      <c r="U91" s="59"/>
      <c r="V91" s="59"/>
      <c r="W91" s="59"/>
      <c r="X91" s="59"/>
      <c r="Y91" s="59"/>
      <c r="Z91" s="59"/>
      <c r="AA91" s="59"/>
      <c r="AB91" s="59"/>
      <c r="AC91" s="59"/>
      <c r="AD91" s="59"/>
      <c r="AE91" s="59"/>
      <c r="AF91" s="59"/>
      <c r="AG91" s="59"/>
      <c r="AH91" s="59"/>
      <c r="AI91" s="59"/>
      <c r="AJ91" s="59"/>
      <c r="AK91" s="59"/>
      <c r="AL91" s="59"/>
      <c r="AM91" s="59"/>
      <c r="AN91" s="59"/>
      <c r="AO91" s="874"/>
      <c r="AP91" t="s" s="368">
        <v>2108</v>
      </c>
      <c r="AQ91" s="58"/>
      <c r="AR91" s="59"/>
      <c r="AS91" s="59"/>
      <c r="AT91" s="59"/>
      <c r="AU91" s="59"/>
      <c r="AV91" s="59"/>
      <c r="AW91" s="59"/>
      <c r="AX91" s="59"/>
      <c r="AY91" s="59"/>
      <c r="AZ91" s="59"/>
      <c r="BA91" s="59"/>
    </row>
    <row r="92" ht="15" customHeight="1">
      <c r="A92" s="56"/>
      <c r="B92" s="57"/>
      <c r="C92" t="s" s="727">
        <v>229</v>
      </c>
      <c r="D92" s="299">
        <v>2.114</v>
      </c>
      <c r="E92" t="s" s="303">
        <v>2329</v>
      </c>
      <c r="F92" s="59"/>
      <c r="G92" s="59"/>
      <c r="H92" s="304"/>
      <c r="I92" s="59"/>
      <c r="J92" t="s" s="303">
        <v>337</v>
      </c>
      <c r="K92" s="299">
        <v>0.89</v>
      </c>
      <c r="L92" s="298">
        <f>3750/49.19</f>
        <v>76.23500711526729</v>
      </c>
      <c r="M92" s="251">
        <v>24</v>
      </c>
      <c r="N92" s="298">
        <f t="shared" si="44"/>
        <v>76.23500711526729</v>
      </c>
      <c r="O92" s="251">
        <v>24</v>
      </c>
      <c r="P92" t="s" s="303">
        <v>351</v>
      </c>
      <c r="Q92" s="299">
        <v>2</v>
      </c>
      <c r="R92" s="59"/>
      <c r="S92" t="s" s="303">
        <v>2325</v>
      </c>
      <c r="T92" s="59"/>
      <c r="U92" s="59"/>
      <c r="V92" s="59"/>
      <c r="W92" s="59"/>
      <c r="X92" s="59"/>
      <c r="Y92" s="59"/>
      <c r="Z92" s="59"/>
      <c r="AA92" s="59"/>
      <c r="AB92" s="59"/>
      <c r="AC92" s="59"/>
      <c r="AD92" s="59"/>
      <c r="AE92" s="59"/>
      <c r="AF92" s="59"/>
      <c r="AG92" s="59"/>
      <c r="AH92" s="59"/>
      <c r="AI92" s="59"/>
      <c r="AJ92" s="59"/>
      <c r="AK92" s="59"/>
      <c r="AL92" s="59"/>
      <c r="AM92" s="59"/>
      <c r="AN92" s="59"/>
      <c r="AO92" s="355"/>
      <c r="AP92" t="s" s="368">
        <v>2109</v>
      </c>
      <c r="AQ92" s="58"/>
      <c r="AR92" s="59"/>
      <c r="AS92" s="59"/>
      <c r="AT92" s="59"/>
      <c r="AU92" s="59"/>
      <c r="AV92" s="59"/>
      <c r="AW92" s="59"/>
      <c r="AX92" s="59"/>
      <c r="AY92" s="59"/>
      <c r="AZ92" s="59"/>
      <c r="BA92" s="59"/>
    </row>
    <row r="93" ht="28.5" customHeight="1">
      <c r="A93" s="60"/>
      <c r="B93" s="57"/>
      <c r="C93" t="s" s="727">
        <v>357</v>
      </c>
      <c r="D93" s="299">
        <v>13.61</v>
      </c>
      <c r="E93" t="s" s="303">
        <v>2330</v>
      </c>
      <c r="F93" s="59"/>
      <c r="G93" s="59"/>
      <c r="H93" s="304"/>
      <c r="I93" s="59"/>
      <c r="J93" t="s" s="303">
        <v>265</v>
      </c>
      <c r="K93" s="299">
        <v>0.06</v>
      </c>
      <c r="L93" t="s" s="303">
        <v>375</v>
      </c>
      <c r="M93" s="125"/>
      <c r="N93" t="s" s="303">
        <v>375</v>
      </c>
      <c r="O93" s="125"/>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373"/>
      <c r="AQ93" s="59"/>
      <c r="AR93" s="59"/>
      <c r="AS93" s="59"/>
      <c r="AT93" s="59"/>
      <c r="AU93" s="59"/>
      <c r="AV93" s="59"/>
      <c r="AW93" s="59"/>
      <c r="AX93" s="59"/>
      <c r="AY93" s="59"/>
      <c r="AZ93" s="59"/>
      <c r="BA93" s="59"/>
    </row>
    <row r="94" ht="28.5" customHeight="1">
      <c r="A94" s="60"/>
      <c r="B94" s="57"/>
      <c r="C94" t="s" s="727">
        <v>337</v>
      </c>
      <c r="D94" s="59"/>
      <c r="E94" s="59"/>
      <c r="F94" s="59"/>
      <c r="G94" s="59"/>
      <c r="H94" s="304"/>
      <c r="I94" s="59"/>
      <c r="J94" t="s" s="347">
        <v>2331</v>
      </c>
      <c r="K94" s="348">
        <v>0.611</v>
      </c>
      <c r="L94" t="s" s="347">
        <v>375</v>
      </c>
      <c r="M94" s="875"/>
      <c r="N94" t="s" s="347">
        <v>375</v>
      </c>
      <c r="O94" s="875"/>
      <c r="P94" s="353"/>
      <c r="Q94" s="348">
        <v>2</v>
      </c>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row>
    <row r="95" ht="28.5" customHeight="1">
      <c r="A95" s="60"/>
      <c r="B95" s="57"/>
      <c r="C95" t="s" s="727">
        <v>210</v>
      </c>
      <c r="D95" s="299">
        <v>0.0653</v>
      </c>
      <c r="E95" s="59"/>
      <c r="F95" s="59"/>
      <c r="G95" s="59"/>
      <c r="H95" s="304"/>
      <c r="I95" s="355"/>
      <c r="J95" t="s" s="368">
        <v>2332</v>
      </c>
      <c r="K95" s="876">
        <v>0.00671</v>
      </c>
      <c r="L95" t="s" s="368">
        <v>375</v>
      </c>
      <c r="M95" s="370"/>
      <c r="N95" t="s" s="368">
        <v>375</v>
      </c>
      <c r="O95" s="370"/>
      <c r="P95" s="371"/>
      <c r="Q95" s="372">
        <v>2</v>
      </c>
      <c r="R95" s="58"/>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row>
    <row r="96" ht="28.5" customHeight="1">
      <c r="A96" s="60"/>
      <c r="B96" s="57"/>
      <c r="C96" s="58"/>
      <c r="D96" s="59"/>
      <c r="E96" s="59"/>
      <c r="F96" s="59"/>
      <c r="G96" s="59"/>
      <c r="H96" s="304"/>
      <c r="I96" s="59"/>
      <c r="J96" s="373"/>
      <c r="K96" s="373"/>
      <c r="L96" s="373"/>
      <c r="M96" s="374"/>
      <c r="N96" s="373"/>
      <c r="O96" s="374"/>
      <c r="P96" s="373"/>
      <c r="Q96" s="373"/>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row>
    <row r="97" ht="28.5" customHeight="1">
      <c r="A97" s="60"/>
      <c r="B97" s="57"/>
      <c r="C97" s="58"/>
      <c r="D97" s="59"/>
      <c r="E97" s="59"/>
      <c r="F97" s="59"/>
      <c r="G97" s="59"/>
      <c r="H97" s="304"/>
      <c r="I97" s="59"/>
      <c r="J97" s="59"/>
      <c r="K97" s="59"/>
      <c r="L97" s="59"/>
      <c r="M97" s="125"/>
      <c r="N97" s="59"/>
      <c r="O97" s="125"/>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row>
    <row r="98" ht="28.5" customHeight="1">
      <c r="A98" s="60"/>
      <c r="B98" s="57"/>
      <c r="C98" s="58"/>
      <c r="D98" s="59"/>
      <c r="E98" s="59"/>
      <c r="F98" s="59"/>
      <c r="G98" s="59"/>
      <c r="H98" s="59"/>
      <c r="I98" s="59"/>
      <c r="J98" s="59"/>
      <c r="K98" s="59"/>
      <c r="L98" s="59"/>
      <c r="M98" s="125"/>
      <c r="N98" s="59"/>
      <c r="O98" s="125"/>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row>
    <row r="99" ht="28.5" customHeight="1">
      <c r="A99" s="60"/>
      <c r="B99" s="57"/>
      <c r="C99" s="58"/>
      <c r="D99" s="59"/>
      <c r="E99" s="59"/>
      <c r="F99" s="59"/>
      <c r="G99" s="59"/>
      <c r="H99" s="59"/>
      <c r="I99" s="59"/>
      <c r="J99" s="59"/>
      <c r="K99" s="59"/>
      <c r="L99" s="59"/>
      <c r="M99" s="125"/>
      <c r="N99" s="59"/>
      <c r="O99" s="125"/>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row>
    <row r="100" ht="28.5" customHeight="1">
      <c r="A100" s="60"/>
      <c r="B100" s="57"/>
      <c r="C100" s="58"/>
      <c r="D100" s="59"/>
      <c r="E100" s="59"/>
      <c r="F100" s="59"/>
      <c r="G100" s="59"/>
      <c r="H100" s="59"/>
      <c r="I100" s="59"/>
      <c r="J100" s="59"/>
      <c r="K100" s="59"/>
      <c r="L100" s="59"/>
      <c r="M100" s="125"/>
      <c r="N100" s="59"/>
      <c r="O100" s="125"/>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row>
    <row r="101" ht="28.5" customHeight="1">
      <c r="A101" s="61"/>
      <c r="B101" s="62"/>
      <c r="C101" s="63"/>
      <c r="D101" s="64"/>
      <c r="E101" s="64"/>
      <c r="F101" s="64"/>
      <c r="G101" s="64"/>
      <c r="H101" s="64"/>
      <c r="I101" s="64"/>
      <c r="J101" s="64"/>
      <c r="K101" s="64"/>
      <c r="L101" s="64"/>
      <c r="M101" s="311"/>
      <c r="N101" s="64"/>
      <c r="O101" s="311"/>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59"/>
      <c r="AV101" s="59"/>
      <c r="AW101" s="59"/>
      <c r="AX101" s="59"/>
      <c r="AY101" s="59"/>
      <c r="AZ101" s="59"/>
      <c r="BA101" s="59"/>
    </row>
    <row r="102" ht="36.75" customHeight="1">
      <c r="A102" s="84">
        <v>10</v>
      </c>
      <c r="B102" t="s" s="85">
        <v>28</v>
      </c>
      <c r="C102" t="s" s="86">
        <v>200</v>
      </c>
      <c r="D102" s="380">
        <v>0.73</v>
      </c>
      <c r="E102" s="384"/>
      <c r="F102" t="s" s="383">
        <v>2333</v>
      </c>
      <c r="G102" s="384"/>
      <c r="H102" t="s" s="385">
        <v>2334</v>
      </c>
      <c r="I102" t="s" s="385">
        <v>2335</v>
      </c>
      <c r="J102" t="s" s="377">
        <v>200</v>
      </c>
      <c r="K102" s="380">
        <v>0.18</v>
      </c>
      <c r="L102" s="381">
        <f>50000/31.89</f>
        <v>1567.889620570710</v>
      </c>
      <c r="M102" s="386">
        <v>593</v>
      </c>
      <c r="N102" s="381">
        <f>25000/31.89</f>
        <v>783.944810285356</v>
      </c>
      <c r="O102" s="386">
        <v>296</v>
      </c>
      <c r="P102" s="384"/>
      <c r="Q102" t="s" s="377">
        <v>2336</v>
      </c>
      <c r="R102" t="s" s="481">
        <v>2337</v>
      </c>
      <c r="S102" t="s" s="377">
        <v>2338</v>
      </c>
      <c r="T102" t="s" s="383">
        <v>2339</v>
      </c>
      <c r="U102" t="s" s="383">
        <v>2340</v>
      </c>
      <c r="V102" t="s" s="377">
        <v>2341</v>
      </c>
      <c r="W102" s="375">
        <v>2</v>
      </c>
      <c r="X102" s="380">
        <v>0.18</v>
      </c>
      <c r="Y102" s="375">
        <v>1</v>
      </c>
      <c r="Z102" t="s" s="170">
        <v>2342</v>
      </c>
      <c r="AA102" s="375">
        <v>1</v>
      </c>
      <c r="AB102" s="375">
        <v>1</v>
      </c>
      <c r="AC102" s="375">
        <v>1</v>
      </c>
      <c r="AD102" t="s" s="377">
        <v>2343</v>
      </c>
      <c r="AE102" t="s" s="377">
        <v>2344</v>
      </c>
      <c r="AF102" t="s" s="377">
        <v>2345</v>
      </c>
      <c r="AG102" t="s" s="377">
        <v>2346</v>
      </c>
      <c r="AH102" t="s" s="377">
        <v>2347</v>
      </c>
      <c r="AI102" t="s" s="377">
        <v>374</v>
      </c>
      <c r="AJ102" t="s" s="377">
        <v>2348</v>
      </c>
      <c r="AK102" t="s" s="377">
        <v>2349</v>
      </c>
      <c r="AL102" t="s" s="377">
        <v>2350</v>
      </c>
      <c r="AM102" t="s" s="383">
        <v>2351</v>
      </c>
      <c r="AN102" t="s" s="877">
        <v>2352</v>
      </c>
      <c r="AO102" t="s" s="878">
        <v>2353</v>
      </c>
      <c r="AP102" t="s" s="878">
        <v>2103</v>
      </c>
      <c r="AQ102" s="879"/>
      <c r="AR102" s="879"/>
      <c r="AS102" s="879"/>
      <c r="AT102" s="879"/>
      <c r="AU102" s="58"/>
      <c r="AV102" s="59"/>
      <c r="AW102" s="59"/>
      <c r="AX102" s="59"/>
      <c r="AY102" s="59"/>
      <c r="AZ102" s="59"/>
      <c r="BA102" s="59"/>
    </row>
    <row r="103" ht="15" customHeight="1">
      <c r="A103" s="88"/>
      <c r="B103" s="89"/>
      <c r="C103" t="s" s="734">
        <v>230</v>
      </c>
      <c r="D103" s="390">
        <v>0.22</v>
      </c>
      <c r="E103" t="s" s="389">
        <v>374</v>
      </c>
      <c r="F103" s="91"/>
      <c r="G103" s="91"/>
      <c r="H103" s="394"/>
      <c r="I103" s="394"/>
      <c r="J103" t="s" s="389">
        <v>230</v>
      </c>
      <c r="K103" s="390">
        <v>0.75</v>
      </c>
      <c r="L103" s="391">
        <f>(150000/3)/31.89</f>
        <v>1567.889620570710</v>
      </c>
      <c r="M103" s="395">
        <v>593</v>
      </c>
      <c r="N103" s="391">
        <f>2000/31.89</f>
        <v>62.7155848228285</v>
      </c>
      <c r="O103" s="395">
        <v>24</v>
      </c>
      <c r="P103" t="s" s="389">
        <v>2354</v>
      </c>
      <c r="Q103" s="398">
        <v>2</v>
      </c>
      <c r="R103" s="91"/>
      <c r="S103" t="s" s="389">
        <v>2355</v>
      </c>
      <c r="T103" t="s" s="389">
        <v>2356</v>
      </c>
      <c r="U103" s="91"/>
      <c r="V103" s="91"/>
      <c r="W103" s="91"/>
      <c r="X103" s="91"/>
      <c r="Y103" s="91"/>
      <c r="Z103" s="211"/>
      <c r="AA103" s="91"/>
      <c r="AB103" s="91"/>
      <c r="AC103" s="91"/>
      <c r="AD103" s="91"/>
      <c r="AE103" s="91"/>
      <c r="AF103" s="91"/>
      <c r="AG103" s="91"/>
      <c r="AH103" s="91"/>
      <c r="AI103" s="91"/>
      <c r="AJ103" s="91"/>
      <c r="AK103" s="91"/>
      <c r="AL103" s="91"/>
      <c r="AM103" t="s" s="389">
        <v>2357</v>
      </c>
      <c r="AN103" s="880"/>
      <c r="AO103" t="s" s="881">
        <v>2358</v>
      </c>
      <c r="AP103" t="s" s="400">
        <v>2359</v>
      </c>
      <c r="AQ103" t="s" s="400">
        <v>2360</v>
      </c>
      <c r="AR103" t="s" s="882">
        <v>2361</v>
      </c>
      <c r="AS103" t="s" s="400">
        <v>2362</v>
      </c>
      <c r="AT103" t="s" s="400">
        <v>2362</v>
      </c>
      <c r="AU103" s="58"/>
      <c r="AV103" s="59"/>
      <c r="AW103" s="59"/>
      <c r="AX103" s="59"/>
      <c r="AY103" s="59"/>
      <c r="AZ103" s="59"/>
      <c r="BA103" s="59"/>
    </row>
    <row r="104" ht="108.75" customHeight="1">
      <c r="A104" s="88"/>
      <c r="B104" s="89"/>
      <c r="C104" t="s" s="734">
        <v>229</v>
      </c>
      <c r="D104" s="390">
        <v>0.04</v>
      </c>
      <c r="E104" t="s" s="389">
        <v>2363</v>
      </c>
      <c r="F104" s="91"/>
      <c r="G104" s="91"/>
      <c r="H104" s="394"/>
      <c r="I104" s="394"/>
      <c r="J104" t="s" s="389">
        <v>229</v>
      </c>
      <c r="K104" s="390">
        <v>0.03</v>
      </c>
      <c r="L104" s="391">
        <f>60000/31.89</f>
        <v>1881.467544684850</v>
      </c>
      <c r="M104" s="395">
        <v>711</v>
      </c>
      <c r="N104" s="391">
        <f>5000/31.89</f>
        <v>156.788962057071</v>
      </c>
      <c r="O104" s="395">
        <v>59</v>
      </c>
      <c r="P104" t="s" s="389">
        <v>2364</v>
      </c>
      <c r="Q104" s="398">
        <v>2</v>
      </c>
      <c r="R104" t="s" s="883">
        <v>2365</v>
      </c>
      <c r="S104" t="s" s="389">
        <v>2366</v>
      </c>
      <c r="T104" s="91"/>
      <c r="U104" s="91"/>
      <c r="V104" s="91"/>
      <c r="W104" s="91"/>
      <c r="X104" s="91"/>
      <c r="Y104" s="91"/>
      <c r="Z104" s="211"/>
      <c r="AA104" s="91"/>
      <c r="AB104" s="91"/>
      <c r="AC104" s="91"/>
      <c r="AD104" s="91"/>
      <c r="AE104" s="91"/>
      <c r="AF104" s="91"/>
      <c r="AG104" s="91"/>
      <c r="AH104" s="91"/>
      <c r="AI104" s="91"/>
      <c r="AJ104" s="91"/>
      <c r="AK104" s="91"/>
      <c r="AL104" s="91"/>
      <c r="AM104" s="91"/>
      <c r="AN104" s="880"/>
      <c r="AO104" s="884"/>
      <c r="AP104" s="884"/>
      <c r="AQ104" s="884"/>
      <c r="AR104" s="885"/>
      <c r="AS104" s="884"/>
      <c r="AT104" s="884"/>
      <c r="AU104" s="58"/>
      <c r="AV104" s="59"/>
      <c r="AW104" s="59"/>
      <c r="AX104" s="59"/>
      <c r="AY104" s="59"/>
      <c r="AZ104" s="59"/>
      <c r="BA104" s="59"/>
    </row>
    <row r="105" ht="15" customHeight="1">
      <c r="A105" s="88"/>
      <c r="B105" s="89"/>
      <c r="C105" t="s" s="734">
        <v>357</v>
      </c>
      <c r="D105" s="390">
        <v>0.01</v>
      </c>
      <c r="E105" t="s" s="389">
        <v>2367</v>
      </c>
      <c r="F105" s="91"/>
      <c r="G105" s="91"/>
      <c r="H105" s="394"/>
      <c r="I105" s="394"/>
      <c r="J105" s="91"/>
      <c r="K105" s="91"/>
      <c r="L105" s="91"/>
      <c r="M105" s="395"/>
      <c r="N105" s="391">
        <f>8000/31.89</f>
        <v>250.862339291314</v>
      </c>
      <c r="O105" s="395">
        <v>95</v>
      </c>
      <c r="P105" t="s" s="389">
        <v>2368</v>
      </c>
      <c r="Q105" s="91"/>
      <c r="R105" s="91"/>
      <c r="S105" s="91"/>
      <c r="T105" s="91"/>
      <c r="U105" s="91"/>
      <c r="V105" s="91"/>
      <c r="W105" s="91"/>
      <c r="X105" s="91"/>
      <c r="Y105" s="91"/>
      <c r="Z105" s="211"/>
      <c r="AA105" s="91"/>
      <c r="AB105" s="91"/>
      <c r="AC105" s="91"/>
      <c r="AD105" s="91"/>
      <c r="AE105" s="91"/>
      <c r="AF105" s="91"/>
      <c r="AG105" s="91"/>
      <c r="AH105" s="91"/>
      <c r="AI105" s="91"/>
      <c r="AJ105" s="91"/>
      <c r="AK105" s="91"/>
      <c r="AL105" s="91"/>
      <c r="AM105" s="91"/>
      <c r="AN105" s="880"/>
      <c r="AO105" s="884"/>
      <c r="AP105" s="884"/>
      <c r="AQ105" s="884"/>
      <c r="AR105" s="885"/>
      <c r="AS105" s="884"/>
      <c r="AT105" s="884"/>
      <c r="AU105" s="58"/>
      <c r="AV105" s="59"/>
      <c r="AW105" s="59"/>
      <c r="AX105" s="59"/>
      <c r="AY105" s="59"/>
      <c r="AZ105" s="59"/>
      <c r="BA105" s="59"/>
    </row>
    <row r="106" ht="15" customHeight="1">
      <c r="A106" s="92"/>
      <c r="B106" s="89"/>
      <c r="C106" s="90"/>
      <c r="D106" s="91"/>
      <c r="E106" s="91"/>
      <c r="F106" s="91"/>
      <c r="G106" s="91"/>
      <c r="H106" s="394"/>
      <c r="I106" s="394"/>
      <c r="J106" t="s" s="389">
        <v>337</v>
      </c>
      <c r="K106" s="390">
        <v>0.03</v>
      </c>
      <c r="L106" s="391">
        <f>2000/31.89</f>
        <v>62.7155848228285</v>
      </c>
      <c r="M106" s="395">
        <v>24</v>
      </c>
      <c r="N106" s="391">
        <f>1500/31.89</f>
        <v>47.0366886171214</v>
      </c>
      <c r="O106" s="395">
        <v>18</v>
      </c>
      <c r="P106" s="398">
        <v>1</v>
      </c>
      <c r="Q106" s="398">
        <v>2</v>
      </c>
      <c r="R106" s="91"/>
      <c r="S106" s="398">
        <v>3</v>
      </c>
      <c r="T106" s="91"/>
      <c r="U106" s="91"/>
      <c r="V106" s="91"/>
      <c r="W106" s="91"/>
      <c r="X106" s="91"/>
      <c r="Y106" s="91"/>
      <c r="Z106" s="91"/>
      <c r="AA106" s="91"/>
      <c r="AB106" s="91"/>
      <c r="AC106" s="91"/>
      <c r="AD106" s="91"/>
      <c r="AE106" s="91"/>
      <c r="AF106" s="91"/>
      <c r="AG106" s="91"/>
      <c r="AH106" s="91"/>
      <c r="AI106" s="91"/>
      <c r="AJ106" s="91"/>
      <c r="AK106" s="91"/>
      <c r="AL106" s="91"/>
      <c r="AM106" s="91"/>
      <c r="AN106" s="880"/>
      <c r="AO106" s="884"/>
      <c r="AP106" s="884"/>
      <c r="AQ106" s="884"/>
      <c r="AR106" s="885"/>
      <c r="AS106" s="884"/>
      <c r="AT106" s="884"/>
      <c r="AU106" s="58"/>
      <c r="AV106" s="59"/>
      <c r="AW106" s="59"/>
      <c r="AX106" s="59"/>
      <c r="AY106" s="59"/>
      <c r="AZ106" s="59"/>
      <c r="BA106" s="59"/>
    </row>
    <row r="107" ht="15" customHeight="1">
      <c r="A107" s="92"/>
      <c r="B107" s="89"/>
      <c r="C107" s="90"/>
      <c r="D107" s="91"/>
      <c r="E107" s="91"/>
      <c r="F107" s="91"/>
      <c r="G107" s="91"/>
      <c r="H107" s="91"/>
      <c r="I107" s="394"/>
      <c r="J107" t="s" s="396">
        <v>210</v>
      </c>
      <c r="K107" s="397">
        <v>0.01</v>
      </c>
      <c r="L107" t="s" s="389">
        <v>306</v>
      </c>
      <c r="M107" s="395"/>
      <c r="N107" t="s" s="389">
        <v>2369</v>
      </c>
      <c r="O107" s="395"/>
      <c r="P107" s="398">
        <v>1</v>
      </c>
      <c r="Q107" s="398">
        <v>2</v>
      </c>
      <c r="R107" s="91"/>
      <c r="S107" s="398">
        <v>3</v>
      </c>
      <c r="T107" s="91"/>
      <c r="U107" s="91"/>
      <c r="V107" s="91"/>
      <c r="W107" s="91"/>
      <c r="X107" s="91"/>
      <c r="Y107" s="91"/>
      <c r="Z107" s="91"/>
      <c r="AA107" s="91"/>
      <c r="AB107" s="91"/>
      <c r="AC107" s="91"/>
      <c r="AD107" s="91"/>
      <c r="AE107" s="91"/>
      <c r="AF107" s="91"/>
      <c r="AG107" s="91"/>
      <c r="AH107" s="91"/>
      <c r="AI107" s="91"/>
      <c r="AJ107" s="91"/>
      <c r="AK107" s="91"/>
      <c r="AL107" s="91"/>
      <c r="AM107" s="91"/>
      <c r="AN107" s="91"/>
      <c r="AO107" s="402"/>
      <c r="AP107" s="402"/>
      <c r="AQ107" s="402"/>
      <c r="AR107" s="402"/>
      <c r="AS107" s="402"/>
      <c r="AT107" s="402"/>
      <c r="AU107" s="59"/>
      <c r="AV107" s="59"/>
      <c r="AW107" s="59"/>
      <c r="AX107" s="59"/>
      <c r="AY107" s="59"/>
      <c r="AZ107" s="59"/>
      <c r="BA107" s="59"/>
    </row>
    <row r="108" ht="15" customHeight="1">
      <c r="A108" s="92"/>
      <c r="B108" s="89"/>
      <c r="C108" s="90"/>
      <c r="D108" s="91"/>
      <c r="E108" s="91"/>
      <c r="F108" s="91"/>
      <c r="G108" s="91"/>
      <c r="H108" s="91"/>
      <c r="I108" s="880"/>
      <c r="J108" t="s" s="400">
        <v>2370</v>
      </c>
      <c r="K108" s="401">
        <v>0</v>
      </c>
      <c r="L108" s="90"/>
      <c r="M108" s="395"/>
      <c r="N108" s="91"/>
      <c r="O108" s="395"/>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59"/>
      <c r="AV108" s="59"/>
      <c r="AW108" s="59"/>
      <c r="AX108" s="59"/>
      <c r="AY108" s="59"/>
      <c r="AZ108" s="59"/>
      <c r="BA108" s="59"/>
    </row>
    <row r="109" ht="15" customHeight="1">
      <c r="A109" s="93"/>
      <c r="B109" s="94"/>
      <c r="C109" s="95"/>
      <c r="D109" s="96"/>
      <c r="E109" s="96"/>
      <c r="F109" s="96"/>
      <c r="G109" s="96"/>
      <c r="H109" s="96"/>
      <c r="I109" s="96"/>
      <c r="J109" s="886"/>
      <c r="K109" s="886"/>
      <c r="L109" s="96"/>
      <c r="M109" s="404"/>
      <c r="N109" s="96"/>
      <c r="O109" s="404"/>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59"/>
      <c r="AV109" s="59"/>
      <c r="AW109" s="59"/>
      <c r="AX109" s="59"/>
      <c r="AY109" s="59"/>
      <c r="AZ109" s="59"/>
      <c r="BA109" s="59"/>
    </row>
    <row r="110" ht="36" customHeight="1">
      <c r="A110" s="15">
        <v>11</v>
      </c>
      <c r="B110" t="s" s="97">
        <v>30</v>
      </c>
      <c r="C110" t="s" s="98">
        <v>200</v>
      </c>
      <c r="D110" s="166">
        <v>90</v>
      </c>
      <c r="E110" s="166">
        <v>0</v>
      </c>
      <c r="F110" t="s" s="407">
        <v>1957</v>
      </c>
      <c r="G110" t="s" s="407">
        <v>2371</v>
      </c>
      <c r="H110" t="s" s="170">
        <v>2372</v>
      </c>
      <c r="I110" t="s" s="170">
        <v>2373</v>
      </c>
      <c r="J110" t="s" s="407">
        <v>200</v>
      </c>
      <c r="K110" s="166">
        <v>75</v>
      </c>
      <c r="L110" s="411">
        <f>30000/32.08</f>
        <v>935.162094763092</v>
      </c>
      <c r="M110" s="887">
        <v>282</v>
      </c>
      <c r="N110" s="735">
        <f>20000/32.08</f>
        <v>623.441396508728</v>
      </c>
      <c r="O110" s="888">
        <v>188</v>
      </c>
      <c r="P110" s="410"/>
      <c r="Q110" s="166">
        <v>2</v>
      </c>
      <c r="R110" s="410"/>
      <c r="S110" t="s" s="407">
        <v>2374</v>
      </c>
      <c r="T110" t="s" s="173">
        <v>2375</v>
      </c>
      <c r="U110" s="639"/>
      <c r="V110" s="410"/>
      <c r="W110" s="645">
        <v>2</v>
      </c>
      <c r="X110" s="645">
        <v>50</v>
      </c>
      <c r="Y110" s="410"/>
      <c r="Z110" s="410"/>
      <c r="AA110" s="645">
        <v>1</v>
      </c>
      <c r="AB110" s="645">
        <v>3</v>
      </c>
      <c r="AC110" t="s" s="407">
        <v>2376</v>
      </c>
      <c r="AD110" t="s" s="408">
        <v>2377</v>
      </c>
      <c r="AE110" t="s" s="407">
        <v>2378</v>
      </c>
      <c r="AF110" t="s" s="407">
        <v>2379</v>
      </c>
      <c r="AG110" t="s" s="407">
        <v>2380</v>
      </c>
      <c r="AH110" s="166">
        <v>1964</v>
      </c>
      <c r="AI110" s="410"/>
      <c r="AJ110" t="s" s="408">
        <v>2381</v>
      </c>
      <c r="AK110" t="s" s="408">
        <v>2382</v>
      </c>
      <c r="AL110" t="s" s="408">
        <v>2383</v>
      </c>
      <c r="AM110" t="s" s="407">
        <v>2384</v>
      </c>
      <c r="AN110" t="s" s="889">
        <v>2385</v>
      </c>
      <c r="AO110" s="890">
        <v>0.6</v>
      </c>
      <c r="AP110" t="s" s="891">
        <v>2386</v>
      </c>
      <c r="AQ110" t="s" s="891">
        <v>2387</v>
      </c>
      <c r="AR110" t="s" s="891">
        <v>2388</v>
      </c>
      <c r="AS110" t="s" s="892">
        <v>2389</v>
      </c>
      <c r="AT110" t="s" s="892">
        <v>2389</v>
      </c>
      <c r="AU110" s="58"/>
      <c r="AV110" s="59"/>
      <c r="AW110" s="59"/>
      <c r="AX110" s="59"/>
      <c r="AY110" s="59"/>
      <c r="AZ110" s="59"/>
      <c r="BA110" s="59"/>
    </row>
    <row r="111" ht="24" customHeight="1">
      <c r="A111" s="19"/>
      <c r="B111" s="100"/>
      <c r="C111" t="s" s="220">
        <v>230</v>
      </c>
      <c r="D111" s="208">
        <v>3</v>
      </c>
      <c r="E111" s="208">
        <v>0</v>
      </c>
      <c r="F111" s="22"/>
      <c r="G111" s="22"/>
      <c r="H111" s="211"/>
      <c r="I111" s="211"/>
      <c r="J111" t="s" s="209">
        <v>230</v>
      </c>
      <c r="K111" s="208">
        <v>6</v>
      </c>
      <c r="L111" s="202">
        <f>17500/32.08</f>
        <v>545.511221945137</v>
      </c>
      <c r="M111" s="187">
        <v>165</v>
      </c>
      <c r="N111" s="210">
        <f>60000/32.08</f>
        <v>1870.324189526180</v>
      </c>
      <c r="O111" s="212">
        <v>565</v>
      </c>
      <c r="P111" s="183">
        <v>1</v>
      </c>
      <c r="Q111" s="208">
        <v>2</v>
      </c>
      <c r="R111" s="22"/>
      <c r="S111" t="s" s="605">
        <v>2374</v>
      </c>
      <c r="T111" s="22"/>
      <c r="U111" s="22"/>
      <c r="V111" s="22"/>
      <c r="W111" s="22"/>
      <c r="X111" s="22"/>
      <c r="Y111" s="22"/>
      <c r="Z111" s="22"/>
      <c r="AA111" s="22"/>
      <c r="AB111" s="22"/>
      <c r="AC111" s="22"/>
      <c r="AD111" s="22"/>
      <c r="AE111" s="22"/>
      <c r="AF111" t="s" s="209">
        <v>2390</v>
      </c>
      <c r="AG111" t="s" s="209">
        <v>2391</v>
      </c>
      <c r="AH111" s="208">
        <v>1964</v>
      </c>
      <c r="AI111" s="22"/>
      <c r="AJ111" t="s" s="182">
        <v>2381</v>
      </c>
      <c r="AK111" t="s" s="182">
        <v>2392</v>
      </c>
      <c r="AL111" t="s" s="182">
        <v>2393</v>
      </c>
      <c r="AM111" s="22"/>
      <c r="AN111" s="785"/>
      <c r="AO111" t="s" s="805">
        <v>2394</v>
      </c>
      <c r="AP111" t="s" s="497">
        <v>2108</v>
      </c>
      <c r="AQ111" s="799"/>
      <c r="AR111" s="787"/>
      <c r="AS111" s="787"/>
      <c r="AT111" s="787"/>
      <c r="AU111" s="59"/>
      <c r="AV111" s="59"/>
      <c r="AW111" s="59"/>
      <c r="AX111" s="59"/>
      <c r="AY111" s="59"/>
      <c r="AZ111" s="59"/>
      <c r="BA111" s="59"/>
    </row>
    <row r="112" ht="24" customHeight="1">
      <c r="A112" s="19"/>
      <c r="B112" s="100"/>
      <c r="C112" t="s" s="220">
        <v>210</v>
      </c>
      <c r="D112" s="208">
        <v>7</v>
      </c>
      <c r="E112" s="22"/>
      <c r="F112" s="22"/>
      <c r="G112" s="22"/>
      <c r="H112" s="211"/>
      <c r="I112" s="211"/>
      <c r="J112" t="s" s="209">
        <v>229</v>
      </c>
      <c r="K112" s="208">
        <v>4</v>
      </c>
      <c r="L112" s="202">
        <f>11500/32.08</f>
        <v>358.478802992519</v>
      </c>
      <c r="M112" s="187">
        <v>108</v>
      </c>
      <c r="N112" s="210">
        <f>5000/32.08</f>
        <v>155.860349127182</v>
      </c>
      <c r="O112" s="212">
        <v>47</v>
      </c>
      <c r="P112" s="183">
        <v>1</v>
      </c>
      <c r="Q112" s="208">
        <v>2</v>
      </c>
      <c r="R112" s="22"/>
      <c r="S112" t="s" s="605">
        <v>2374</v>
      </c>
      <c r="T112" s="22"/>
      <c r="U112" s="22"/>
      <c r="V112" s="22"/>
      <c r="W112" s="22"/>
      <c r="X112" s="22"/>
      <c r="Y112" s="22"/>
      <c r="Z112" s="22"/>
      <c r="AA112" s="22"/>
      <c r="AB112" s="22"/>
      <c r="AC112" s="22"/>
      <c r="AD112" s="22"/>
      <c r="AE112" s="22"/>
      <c r="AF112" t="s" s="209">
        <v>2395</v>
      </c>
      <c r="AG112" t="s" s="209">
        <v>2380</v>
      </c>
      <c r="AH112" s="208">
        <v>1998</v>
      </c>
      <c r="AI112" t="s" s="209">
        <v>2396</v>
      </c>
      <c r="AJ112" t="s" s="182">
        <v>2397</v>
      </c>
      <c r="AK112" t="s" s="182">
        <v>2398</v>
      </c>
      <c r="AL112" t="s" s="182">
        <v>2399</v>
      </c>
      <c r="AM112" s="22"/>
      <c r="AN112" s="22"/>
      <c r="AO112" s="784"/>
      <c r="AP112" t="s" s="400">
        <v>2109</v>
      </c>
      <c r="AQ112" s="21"/>
      <c r="AR112" s="22"/>
      <c r="AS112" s="22"/>
      <c r="AT112" s="22"/>
      <c r="AU112" s="59"/>
      <c r="AV112" s="59"/>
      <c r="AW112" s="59"/>
      <c r="AX112" s="59"/>
      <c r="AY112" s="59"/>
      <c r="AZ112" s="59"/>
      <c r="BA112" s="59"/>
    </row>
    <row r="113" ht="15" customHeight="1">
      <c r="A113" s="19"/>
      <c r="B113" s="100"/>
      <c r="C113" s="21"/>
      <c r="D113" s="22"/>
      <c r="E113" s="22"/>
      <c r="F113" s="22"/>
      <c r="G113" s="22"/>
      <c r="H113" s="22"/>
      <c r="I113" s="211"/>
      <c r="J113" t="s" s="786">
        <v>265</v>
      </c>
      <c r="K113" s="213">
        <v>15</v>
      </c>
      <c r="L113" t="s" s="209">
        <v>375</v>
      </c>
      <c r="M113" s="212"/>
      <c r="N113" t="s" s="209">
        <v>375</v>
      </c>
      <c r="O113" s="212"/>
      <c r="P113" s="22"/>
      <c r="Q113" s="22"/>
      <c r="R113" s="22"/>
      <c r="S113" s="22"/>
      <c r="T113" s="22"/>
      <c r="U113" s="22"/>
      <c r="V113" s="22"/>
      <c r="W113" s="22"/>
      <c r="X113" s="22"/>
      <c r="Y113" s="22"/>
      <c r="Z113" s="22"/>
      <c r="AA113" s="22"/>
      <c r="AB113" s="22"/>
      <c r="AC113" s="22"/>
      <c r="AD113" t="s" s="243">
        <v>2400</v>
      </c>
      <c r="AE113" s="211"/>
      <c r="AF113" s="211"/>
      <c r="AG113" s="211"/>
      <c r="AH113" s="211"/>
      <c r="AI113" s="22"/>
      <c r="AJ113" s="22"/>
      <c r="AK113" s="22"/>
      <c r="AL113" s="22"/>
      <c r="AM113" s="22"/>
      <c r="AN113" s="22"/>
      <c r="AO113" s="22"/>
      <c r="AP113" s="787"/>
      <c r="AQ113" s="22"/>
      <c r="AR113" s="22"/>
      <c r="AS113" s="22"/>
      <c r="AT113" s="22"/>
      <c r="AU113" s="59"/>
      <c r="AV113" s="59"/>
      <c r="AW113" s="59"/>
      <c r="AX113" s="59"/>
      <c r="AY113" s="59"/>
      <c r="AZ113" s="59"/>
      <c r="BA113" s="59"/>
    </row>
    <row r="114" ht="15" customHeight="1">
      <c r="A114" s="19"/>
      <c r="B114" s="100"/>
      <c r="C114" s="21"/>
      <c r="D114" s="22"/>
      <c r="E114" s="22"/>
      <c r="F114" s="22"/>
      <c r="G114" s="22"/>
      <c r="H114" s="22"/>
      <c r="I114" s="248"/>
      <c r="J114" t="s" s="497">
        <v>2401</v>
      </c>
      <c r="K114" t="s" s="497">
        <v>197</v>
      </c>
      <c r="L114" s="21"/>
      <c r="M114" s="212"/>
      <c r="N114" s="22"/>
      <c r="O114" s="21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59"/>
      <c r="AV114" s="59"/>
      <c r="AW114" s="59"/>
      <c r="AX114" s="59"/>
      <c r="AY114" s="59"/>
      <c r="AZ114" s="59"/>
      <c r="BA114" s="59"/>
    </row>
    <row r="115" ht="15" customHeight="1">
      <c r="A115" s="19"/>
      <c r="B115" s="100"/>
      <c r="C115" s="21"/>
      <c r="D115" s="22"/>
      <c r="E115" s="22"/>
      <c r="F115" s="22"/>
      <c r="G115" s="22"/>
      <c r="H115" s="22"/>
      <c r="I115" s="211"/>
      <c r="J115" s="787"/>
      <c r="K115" s="787"/>
      <c r="L115" s="22"/>
      <c r="M115" s="212"/>
      <c r="N115" s="22"/>
      <c r="O115" s="21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59"/>
      <c r="AV115" s="59"/>
      <c r="AW115" s="59"/>
      <c r="AX115" s="59"/>
      <c r="AY115" s="59"/>
      <c r="AZ115" s="59"/>
      <c r="BA115" s="59"/>
    </row>
    <row r="116" ht="15" customHeight="1">
      <c r="A116" s="19"/>
      <c r="B116" s="100"/>
      <c r="C116" s="21"/>
      <c r="D116" s="22"/>
      <c r="E116" s="22"/>
      <c r="F116" s="22"/>
      <c r="G116" s="22"/>
      <c r="H116" s="22"/>
      <c r="I116" s="211"/>
      <c r="J116" s="22"/>
      <c r="K116" s="22"/>
      <c r="L116" s="22"/>
      <c r="M116" s="212"/>
      <c r="N116" s="22"/>
      <c r="O116" s="21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59"/>
      <c r="AV116" s="59"/>
      <c r="AW116" s="59"/>
      <c r="AX116" s="59"/>
      <c r="AY116" s="59"/>
      <c r="AZ116" s="59"/>
      <c r="BA116" s="59"/>
    </row>
    <row r="117" ht="15" customHeight="1">
      <c r="A117" s="19"/>
      <c r="B117" s="100"/>
      <c r="C117" s="21"/>
      <c r="D117" s="22"/>
      <c r="E117" s="22"/>
      <c r="F117" s="22"/>
      <c r="G117" s="22"/>
      <c r="H117" s="22"/>
      <c r="I117" s="211"/>
      <c r="J117" s="22"/>
      <c r="K117" s="22"/>
      <c r="L117" s="22"/>
      <c r="M117" s="212"/>
      <c r="N117" s="22"/>
      <c r="O117" s="21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59"/>
      <c r="AV117" s="59"/>
      <c r="AW117" s="59"/>
      <c r="AX117" s="59"/>
      <c r="AY117" s="59"/>
      <c r="AZ117" s="59"/>
      <c r="BA117" s="59"/>
    </row>
    <row r="118" ht="15" customHeight="1">
      <c r="A118" s="23"/>
      <c r="B118" s="101"/>
      <c r="C118" s="25"/>
      <c r="D118" s="26"/>
      <c r="E118" s="26"/>
      <c r="F118" s="26"/>
      <c r="G118" s="26"/>
      <c r="H118" s="26"/>
      <c r="I118" s="252"/>
      <c r="J118" s="26"/>
      <c r="K118" s="26"/>
      <c r="L118" s="26"/>
      <c r="M118" s="206"/>
      <c r="N118" s="26"/>
      <c r="O118" s="20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59"/>
      <c r="AV118" s="59"/>
      <c r="AW118" s="59"/>
      <c r="AX118" s="59"/>
      <c r="AY118" s="59"/>
      <c r="AZ118" s="59"/>
      <c r="BA118" s="59"/>
    </row>
    <row r="119" ht="216.75" customHeight="1">
      <c r="A119" s="15">
        <v>12</v>
      </c>
      <c r="B119" t="s" s="102">
        <v>32</v>
      </c>
      <c r="C119" t="s" s="103">
        <v>200</v>
      </c>
      <c r="D119" s="429">
        <v>30</v>
      </c>
      <c r="E119" t="s" s="430">
        <v>374</v>
      </c>
      <c r="F119" s="438"/>
      <c r="G119" t="s" s="431">
        <v>2402</v>
      </c>
      <c r="H119" t="s" s="431">
        <v>2403</v>
      </c>
      <c r="I119" t="s" s="431">
        <v>2404</v>
      </c>
      <c r="J119" t="s" s="742">
        <v>200</v>
      </c>
      <c r="K119" t="s" s="431">
        <v>2405</v>
      </c>
      <c r="L119" t="s" s="431">
        <v>2406</v>
      </c>
      <c r="M119" s="444">
        <v>357</v>
      </c>
      <c r="N119" s="437">
        <f t="shared" si="62" ref="N119:N121">210000/1185.8</f>
        <v>177.095631641086</v>
      </c>
      <c r="O119" s="444">
        <v>58</v>
      </c>
      <c r="P119" t="s" s="893">
        <v>374</v>
      </c>
      <c r="Q119" s="894">
        <v>1</v>
      </c>
      <c r="R119" t="s" s="742">
        <v>2407</v>
      </c>
      <c r="S119" s="438"/>
      <c r="T119" s="438"/>
      <c r="U119" t="s" s="431">
        <v>2408</v>
      </c>
      <c r="V119" t="s" s="431">
        <v>2409</v>
      </c>
      <c r="W119" s="429">
        <v>1</v>
      </c>
      <c r="X119" t="s" s="430">
        <v>2410</v>
      </c>
      <c r="Y119" s="429">
        <v>1</v>
      </c>
      <c r="Z119" t="s" s="432">
        <v>2411</v>
      </c>
      <c r="AA119" s="429">
        <v>1</v>
      </c>
      <c r="AB119" s="429">
        <v>2</v>
      </c>
      <c r="AC119" s="429">
        <v>2</v>
      </c>
      <c r="AD119" t="s" s="430">
        <v>1364</v>
      </c>
      <c r="AE119" t="s" s="430">
        <v>1351</v>
      </c>
      <c r="AF119" t="s" s="430">
        <v>2412</v>
      </c>
      <c r="AG119" s="429">
        <v>7</v>
      </c>
      <c r="AH119" s="429">
        <v>1928</v>
      </c>
      <c r="AI119" t="s" s="430">
        <v>2413</v>
      </c>
      <c r="AJ119" t="s" s="430">
        <v>2413</v>
      </c>
      <c r="AK119" t="s" s="430">
        <v>2414</v>
      </c>
      <c r="AL119" t="s" s="430">
        <v>2415</v>
      </c>
      <c r="AM119" t="s" s="431">
        <v>2416</v>
      </c>
      <c r="AN119" t="s" s="896">
        <v>2417</v>
      </c>
      <c r="AO119" t="s" s="897">
        <v>2418</v>
      </c>
      <c r="AP119" t="s" s="878">
        <v>2419</v>
      </c>
      <c r="AQ119" t="s" s="898">
        <v>2196</v>
      </c>
      <c r="AR119" t="s" s="898">
        <v>2420</v>
      </c>
      <c r="AS119" t="s" s="898">
        <v>2198</v>
      </c>
      <c r="AT119" t="s" s="899">
        <v>2421</v>
      </c>
      <c r="AU119" s="58"/>
      <c r="AV119" s="59"/>
      <c r="AW119" s="59"/>
      <c r="AX119" s="59"/>
      <c r="AY119" s="59"/>
      <c r="AZ119" s="59"/>
      <c r="BA119" s="59"/>
    </row>
    <row r="120" ht="115.5" customHeight="1">
      <c r="A120" s="19"/>
      <c r="B120" s="105"/>
      <c r="C120" t="s" s="900">
        <v>230</v>
      </c>
      <c r="D120" s="450">
        <v>60</v>
      </c>
      <c r="E120" t="s" s="448">
        <v>2422</v>
      </c>
      <c r="F120" s="107"/>
      <c r="G120" s="107"/>
      <c r="H120" s="107"/>
      <c r="I120" s="107"/>
      <c r="J120" t="s" s="747">
        <v>230</v>
      </c>
      <c r="K120" s="744">
        <v>20</v>
      </c>
      <c r="L120" t="s" s="901">
        <v>2423</v>
      </c>
      <c r="M120" s="902">
        <v>3299</v>
      </c>
      <c r="N120" s="847">
        <f t="shared" si="62"/>
        <v>177.095631641086</v>
      </c>
      <c r="O120" s="902">
        <v>58</v>
      </c>
      <c r="P120" s="903">
        <v>2</v>
      </c>
      <c r="Q120" t="s" s="904">
        <v>351</v>
      </c>
      <c r="R120" t="s" s="747">
        <v>2424</v>
      </c>
      <c r="S120" t="s" s="448">
        <v>2425</v>
      </c>
      <c r="T120" s="107"/>
      <c r="U120" s="107"/>
      <c r="V120" s="107"/>
      <c r="W120" s="107"/>
      <c r="X120" s="107"/>
      <c r="Y120" s="107"/>
      <c r="Z120" s="454"/>
      <c r="AA120" s="107"/>
      <c r="AB120" s="107"/>
      <c r="AC120" s="107"/>
      <c r="AD120" s="107"/>
      <c r="AE120" s="107"/>
      <c r="AF120" t="s" s="531">
        <v>2426</v>
      </c>
      <c r="AG120" t="s" s="531">
        <v>2427</v>
      </c>
      <c r="AH120" s="450">
        <v>2012</v>
      </c>
      <c r="AI120" t="s" s="531">
        <v>2428</v>
      </c>
      <c r="AJ120" t="s" s="448">
        <v>2429</v>
      </c>
      <c r="AK120" t="s" s="531">
        <v>2430</v>
      </c>
      <c r="AL120" t="s" s="531">
        <v>2431</v>
      </c>
      <c r="AM120" s="107"/>
      <c r="AN120" s="466"/>
      <c r="AO120" t="s" s="905">
        <v>2432</v>
      </c>
      <c r="AP120" t="s" s="400">
        <v>2433</v>
      </c>
      <c r="AQ120" t="s" s="468">
        <v>2196</v>
      </c>
      <c r="AR120" t="s" s="468">
        <v>2420</v>
      </c>
      <c r="AS120" t="s" s="906">
        <v>2198</v>
      </c>
      <c r="AT120" t="s" s="907">
        <v>2421</v>
      </c>
      <c r="AU120" s="58"/>
      <c r="AV120" s="59"/>
      <c r="AW120" s="59"/>
      <c r="AX120" s="59"/>
      <c r="AY120" s="59"/>
      <c r="AZ120" s="59"/>
      <c r="BA120" s="59"/>
    </row>
    <row r="121" ht="39" customHeight="1">
      <c r="A121" s="19"/>
      <c r="B121" s="105"/>
      <c r="C121" t="s" s="900">
        <v>229</v>
      </c>
      <c r="D121" s="450">
        <v>5</v>
      </c>
      <c r="E121" t="s" s="448">
        <v>2434</v>
      </c>
      <c r="F121" s="107"/>
      <c r="G121" s="107"/>
      <c r="H121" s="107"/>
      <c r="I121" s="107"/>
      <c r="J121" t="s" s="747">
        <v>229</v>
      </c>
      <c r="K121" t="s" s="531">
        <v>1971</v>
      </c>
      <c r="L121" t="s" s="448">
        <v>2435</v>
      </c>
      <c r="M121" s="908">
        <v>4123</v>
      </c>
      <c r="N121" s="847">
        <f t="shared" si="62"/>
        <v>177.095631641086</v>
      </c>
      <c r="O121" s="902">
        <v>58</v>
      </c>
      <c r="P121" s="903">
        <v>2</v>
      </c>
      <c r="Q121" t="s" s="904">
        <v>351</v>
      </c>
      <c r="R121" t="s" s="747">
        <v>2424</v>
      </c>
      <c r="S121" t="s" s="448">
        <v>2436</v>
      </c>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909"/>
      <c r="AP121" t="s" s="400">
        <v>2109</v>
      </c>
      <c r="AQ121" s="910"/>
      <c r="AR121" s="470"/>
      <c r="AS121" s="470"/>
      <c r="AT121" s="470"/>
      <c r="AU121" s="59"/>
      <c r="AV121" s="59"/>
      <c r="AW121" s="59"/>
      <c r="AX121" s="59"/>
      <c r="AY121" s="59"/>
      <c r="AZ121" s="59"/>
      <c r="BA121" s="59"/>
    </row>
    <row r="122" ht="89.25" customHeight="1">
      <c r="A122" s="19"/>
      <c r="B122" s="105"/>
      <c r="C122" t="s" s="900">
        <v>357</v>
      </c>
      <c r="D122" t="s" s="531">
        <v>1971</v>
      </c>
      <c r="E122" t="s" s="462">
        <v>2437</v>
      </c>
      <c r="F122" s="107"/>
      <c r="G122" s="107"/>
      <c r="H122" s="107"/>
      <c r="I122" s="107"/>
      <c r="J122" t="s" s="747">
        <v>357</v>
      </c>
      <c r="K122" s="744">
        <v>40</v>
      </c>
      <c r="L122" t="s" s="448">
        <v>2438</v>
      </c>
      <c r="M122" s="908">
        <v>1457</v>
      </c>
      <c r="N122" t="s" s="448">
        <v>2439</v>
      </c>
      <c r="O122" s="908">
        <v>10</v>
      </c>
      <c r="P122" t="s" s="904">
        <v>289</v>
      </c>
      <c r="Q122" s="903">
        <v>1</v>
      </c>
      <c r="R122" t="s" s="531">
        <v>2440</v>
      </c>
      <c r="S122" s="911">
        <v>3</v>
      </c>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470"/>
      <c r="AQ122" s="107"/>
      <c r="AR122" s="107"/>
      <c r="AS122" s="107"/>
      <c r="AT122" s="107"/>
      <c r="AU122" s="59"/>
      <c r="AV122" s="59"/>
      <c r="AW122" s="59"/>
      <c r="AX122" s="59"/>
      <c r="AY122" s="59"/>
      <c r="AZ122" s="59"/>
      <c r="BA122" s="59"/>
    </row>
    <row r="123" ht="39" customHeight="1">
      <c r="A123" s="19"/>
      <c r="B123" s="105"/>
      <c r="C123" s="106"/>
      <c r="D123" s="107"/>
      <c r="E123" s="107"/>
      <c r="F123" s="107"/>
      <c r="G123" s="107"/>
      <c r="H123" s="107"/>
      <c r="I123" s="107"/>
      <c r="J123" t="s" s="747">
        <v>337</v>
      </c>
      <c r="K123" s="744">
        <v>15</v>
      </c>
      <c r="L123" t="s" s="448">
        <v>2441</v>
      </c>
      <c r="M123" s="908">
        <v>1405</v>
      </c>
      <c r="N123" t="s" s="448">
        <v>2439</v>
      </c>
      <c r="O123" s="908">
        <v>10</v>
      </c>
      <c r="P123" t="s" s="904">
        <v>2442</v>
      </c>
      <c r="Q123" s="903">
        <v>1</v>
      </c>
      <c r="R123" t="s" s="747">
        <v>2443</v>
      </c>
      <c r="S123" s="911">
        <v>3</v>
      </c>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59"/>
      <c r="AV123" s="59"/>
      <c r="AW123" s="59"/>
      <c r="AX123" s="59"/>
      <c r="AY123" s="59"/>
      <c r="AZ123" s="59"/>
      <c r="BA123" s="59"/>
    </row>
    <row r="124" ht="39" customHeight="1">
      <c r="A124" s="19"/>
      <c r="B124" s="105"/>
      <c r="C124" s="106"/>
      <c r="D124" s="107"/>
      <c r="E124" s="107"/>
      <c r="F124" s="107"/>
      <c r="G124" s="107"/>
      <c r="H124" s="107"/>
      <c r="I124" s="107"/>
      <c r="J124" t="s" s="747">
        <v>210</v>
      </c>
      <c r="K124" s="744">
        <v>5</v>
      </c>
      <c r="L124" t="s" s="448">
        <v>197</v>
      </c>
      <c r="M124" s="908"/>
      <c r="N124" t="s" s="448">
        <v>2439</v>
      </c>
      <c r="O124" s="908">
        <v>10</v>
      </c>
      <c r="P124" s="903">
        <v>3</v>
      </c>
      <c r="Q124" s="903">
        <v>2</v>
      </c>
      <c r="R124" s="107"/>
      <c r="S124" t="s" s="448">
        <v>2444</v>
      </c>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59"/>
      <c r="AV124" s="59"/>
      <c r="AW124" s="59"/>
      <c r="AX124" s="59"/>
      <c r="AY124" s="59"/>
      <c r="AZ124" s="59"/>
      <c r="BA124" s="59"/>
    </row>
    <row r="125" ht="39" customHeight="1">
      <c r="A125" s="23"/>
      <c r="B125" s="105"/>
      <c r="C125" s="106"/>
      <c r="D125" s="107"/>
      <c r="E125" s="107"/>
      <c r="F125" s="107"/>
      <c r="G125" s="107"/>
      <c r="H125" s="107"/>
      <c r="I125" s="107"/>
      <c r="J125" t="s" s="912">
        <v>462</v>
      </c>
      <c r="K125" t="s" s="913">
        <v>1971</v>
      </c>
      <c r="L125" t="s" s="914">
        <v>2445</v>
      </c>
      <c r="M125" s="915">
        <v>2749</v>
      </c>
      <c r="N125" t="s" s="448">
        <v>2439</v>
      </c>
      <c r="O125" s="908">
        <v>10</v>
      </c>
      <c r="P125" s="903">
        <v>1</v>
      </c>
      <c r="Q125" s="903">
        <v>2</v>
      </c>
      <c r="R125" s="107"/>
      <c r="S125" t="s" s="448">
        <v>2444</v>
      </c>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59"/>
      <c r="AV125" s="59"/>
      <c r="AW125" s="59"/>
      <c r="AX125" s="59"/>
      <c r="AY125" s="59"/>
      <c r="AZ125" s="59"/>
      <c r="BA125" s="59"/>
    </row>
    <row r="126" ht="28.5" customHeight="1">
      <c r="A126" s="916"/>
      <c r="B126" s="108"/>
      <c r="C126" s="109"/>
      <c r="D126" s="110"/>
      <c r="E126" s="110"/>
      <c r="F126" s="110"/>
      <c r="G126" s="110"/>
      <c r="H126" s="110"/>
      <c r="I126" s="917"/>
      <c r="J126" t="s" s="918">
        <v>435</v>
      </c>
      <c r="K126" t="s" s="919">
        <v>523</v>
      </c>
      <c r="L126" s="920"/>
      <c r="M126" s="921"/>
      <c r="N126" s="922"/>
      <c r="O126" s="923"/>
      <c r="P126" s="924"/>
      <c r="Q126" s="924"/>
      <c r="R126" s="110"/>
      <c r="S126" s="922"/>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64"/>
      <c r="AV126" s="64"/>
      <c r="AW126" s="64"/>
      <c r="AX126" s="64"/>
      <c r="AY126" s="64"/>
      <c r="AZ126" s="64"/>
      <c r="BA126" s="64"/>
    </row>
    <row r="127" ht="115.5" customHeight="1">
      <c r="A127" s="15">
        <v>13</v>
      </c>
      <c r="B127" t="s" s="111">
        <v>34</v>
      </c>
      <c r="C127" t="s" s="54">
        <v>200</v>
      </c>
      <c r="D127" s="285">
        <v>27</v>
      </c>
      <c r="E127" t="s" s="82">
        <v>197</v>
      </c>
      <c r="F127" t="s" s="112">
        <v>536</v>
      </c>
      <c r="G127" s="123"/>
      <c r="H127" t="s" s="484">
        <v>2446</v>
      </c>
      <c r="I127" t="s" s="483">
        <v>2447</v>
      </c>
      <c r="J127" t="s" s="742">
        <v>230</v>
      </c>
      <c r="K127" s="740">
        <v>61</v>
      </c>
      <c r="L127" s="340">
        <f>500000/123.66</f>
        <v>4043.344654698370</v>
      </c>
      <c r="M127" s="341">
        <v>1490</v>
      </c>
      <c r="N127" s="478">
        <f>16000/123.66</f>
        <v>129.387028950348</v>
      </c>
      <c r="O127" s="925">
        <v>53</v>
      </c>
      <c r="P127" s="926">
        <v>2</v>
      </c>
      <c r="Q127" s="926">
        <v>1</v>
      </c>
      <c r="R127" t="s" s="635">
        <v>2448</v>
      </c>
      <c r="S127" s="123"/>
      <c r="T127" t="s" s="479">
        <v>2449</v>
      </c>
      <c r="U127" t="s" s="485">
        <v>2450</v>
      </c>
      <c r="V127" t="s" s="283">
        <v>2451</v>
      </c>
      <c r="W127" s="285">
        <v>2</v>
      </c>
      <c r="X127" s="285">
        <v>6</v>
      </c>
      <c r="Y127" s="285">
        <v>1</v>
      </c>
      <c r="Z127" t="s" s="484">
        <v>2452</v>
      </c>
      <c r="AA127" s="285">
        <v>1</v>
      </c>
      <c r="AB127" t="s" s="82">
        <v>2453</v>
      </c>
      <c r="AC127" t="s" s="82">
        <v>197</v>
      </c>
      <c r="AD127" t="s" s="82">
        <v>2454</v>
      </c>
      <c r="AE127" t="s" s="82">
        <v>2455</v>
      </c>
      <c r="AF127" t="s" s="927">
        <v>2456</v>
      </c>
      <c r="AG127" s="928"/>
      <c r="AH127" s="928"/>
      <c r="AI127" s="928"/>
      <c r="AJ127" s="928"/>
      <c r="AK127" s="928"/>
      <c r="AL127" s="928"/>
      <c r="AM127" s="123"/>
      <c r="AN127" s="871"/>
      <c r="AO127" s="929">
        <v>0.75</v>
      </c>
      <c r="AP127" t="s" s="873">
        <v>2195</v>
      </c>
      <c r="AQ127" t="s" s="873">
        <v>2360</v>
      </c>
      <c r="AR127" t="s" s="873">
        <v>2457</v>
      </c>
      <c r="AS127" t="s" s="873">
        <v>2458</v>
      </c>
      <c r="AT127" t="s" s="873">
        <v>2458</v>
      </c>
      <c r="AU127" s="606"/>
      <c r="AV127" s="123"/>
      <c r="AW127" s="123"/>
      <c r="AX127" s="123"/>
      <c r="AY127" s="123"/>
      <c r="AZ127" s="123"/>
      <c r="BA127" s="123"/>
    </row>
    <row r="128" ht="15.75" customHeight="1">
      <c r="A128" s="19"/>
      <c r="B128" s="113"/>
      <c r="C128" t="s" s="727">
        <v>230</v>
      </c>
      <c r="D128" s="299">
        <v>72</v>
      </c>
      <c r="E128" s="762">
        <v>0</v>
      </c>
      <c r="F128" s="59"/>
      <c r="G128" s="59"/>
      <c r="H128" s="491"/>
      <c r="I128" s="59"/>
      <c r="J128" t="s" s="747">
        <v>357</v>
      </c>
      <c r="K128" s="744">
        <v>1</v>
      </c>
      <c r="L128" s="489">
        <f>400000/123.66</f>
        <v>3234.675723758690</v>
      </c>
      <c r="M128" s="490">
        <v>1192</v>
      </c>
      <c r="N128" s="489">
        <f>15000/123.66</f>
        <v>121.300339640951</v>
      </c>
      <c r="O128" s="490">
        <v>45</v>
      </c>
      <c r="P128" s="450">
        <v>2</v>
      </c>
      <c r="Q128" s="450">
        <v>1</v>
      </c>
      <c r="R128" s="465"/>
      <c r="S128" s="59"/>
      <c r="T128" s="59"/>
      <c r="U128" s="59"/>
      <c r="V128" s="59"/>
      <c r="W128" s="59"/>
      <c r="X128" s="59"/>
      <c r="Y128" s="59"/>
      <c r="Z128" s="491"/>
      <c r="AA128" s="59"/>
      <c r="AB128" s="930"/>
      <c r="AC128" s="59"/>
      <c r="AD128" t="s" s="931">
        <v>2459</v>
      </c>
      <c r="AE128" s="59"/>
      <c r="AF128" s="932"/>
      <c r="AG128" s="932"/>
      <c r="AH128" s="932"/>
      <c r="AI128" s="932"/>
      <c r="AJ128" s="932"/>
      <c r="AK128" s="932"/>
      <c r="AL128" s="932"/>
      <c r="AM128" s="59"/>
      <c r="AN128" s="355"/>
      <c r="AO128" t="s" s="368">
        <v>2460</v>
      </c>
      <c r="AP128" t="s" s="368">
        <v>2461</v>
      </c>
      <c r="AQ128" t="s" s="368">
        <v>2360</v>
      </c>
      <c r="AR128" t="s" s="368">
        <v>2462</v>
      </c>
      <c r="AS128" t="s" s="368">
        <v>2126</v>
      </c>
      <c r="AT128" t="s" s="368">
        <v>2126</v>
      </c>
      <c r="AU128" s="58"/>
      <c r="AV128" s="59"/>
      <c r="AW128" s="59"/>
      <c r="AX128" s="59"/>
      <c r="AY128" s="59"/>
      <c r="AZ128" s="59"/>
      <c r="BA128" s="59"/>
    </row>
    <row r="129" ht="15" customHeight="1">
      <c r="A129" s="19"/>
      <c r="B129" s="113"/>
      <c r="C129" t="s" s="727">
        <v>210</v>
      </c>
      <c r="D129" s="299">
        <v>1</v>
      </c>
      <c r="E129" t="s" s="303">
        <v>197</v>
      </c>
      <c r="F129" s="59"/>
      <c r="G129" s="59"/>
      <c r="H129" s="59"/>
      <c r="I129" s="59"/>
      <c r="J129" t="s" s="747">
        <v>337</v>
      </c>
      <c r="K129" s="744">
        <v>8</v>
      </c>
      <c r="L129" s="489">
        <f>30000/123.66</f>
        <v>242.600679281902</v>
      </c>
      <c r="M129" s="490">
        <v>89</v>
      </c>
      <c r="N129" s="447">
        <f t="shared" si="70" ref="N129:N133">5500/123.66</f>
        <v>44.476791201682</v>
      </c>
      <c r="O129" s="908">
        <v>16</v>
      </c>
      <c r="P129" s="450">
        <v>2</v>
      </c>
      <c r="Q129" s="450">
        <v>1</v>
      </c>
      <c r="R129" s="465"/>
      <c r="S129" s="59"/>
      <c r="T129" s="59"/>
      <c r="U129" s="59"/>
      <c r="V129" s="59"/>
      <c r="W129" s="59"/>
      <c r="X129" s="59"/>
      <c r="Y129" s="59"/>
      <c r="Z129" s="491"/>
      <c r="AA129" s="59"/>
      <c r="AB129" s="930"/>
      <c r="AC129" s="59"/>
      <c r="AD129" s="59"/>
      <c r="AE129" s="59"/>
      <c r="AF129" s="59"/>
      <c r="AG129" s="59"/>
      <c r="AH129" s="59"/>
      <c r="AI129" s="59"/>
      <c r="AJ129" s="59"/>
      <c r="AK129" s="59"/>
      <c r="AL129" s="59"/>
      <c r="AM129" s="59"/>
      <c r="AN129" s="355"/>
      <c r="AO129" s="371"/>
      <c r="AP129" t="s" s="368">
        <v>2463</v>
      </c>
      <c r="AQ129" s="371"/>
      <c r="AR129" s="371"/>
      <c r="AS129" s="371"/>
      <c r="AT129" s="371"/>
      <c r="AU129" s="58"/>
      <c r="AV129" s="59"/>
      <c r="AW129" s="59"/>
      <c r="AX129" s="59"/>
      <c r="AY129" s="59"/>
      <c r="AZ129" s="59"/>
      <c r="BA129" s="59"/>
    </row>
    <row r="130" ht="15" customHeight="1">
      <c r="A130" s="19"/>
      <c r="B130" s="113"/>
      <c r="C130" s="58"/>
      <c r="D130" s="59"/>
      <c r="E130" s="59"/>
      <c r="F130" s="59"/>
      <c r="G130" s="59"/>
      <c r="H130" s="59"/>
      <c r="I130" s="59"/>
      <c r="J130" t="s" s="747">
        <v>210</v>
      </c>
      <c r="K130" s="744">
        <v>2</v>
      </c>
      <c r="L130" s="489">
        <f>25000/123.66</f>
        <v>202.167232734918</v>
      </c>
      <c r="M130" s="490">
        <v>75</v>
      </c>
      <c r="N130" t="s" s="448">
        <v>2464</v>
      </c>
      <c r="O130" s="908"/>
      <c r="P130" t="s" s="531">
        <v>2465</v>
      </c>
      <c r="Q130" t="s" s="531">
        <v>197</v>
      </c>
      <c r="R130" s="59"/>
      <c r="S130" s="59"/>
      <c r="T130" s="59"/>
      <c r="U130" s="59"/>
      <c r="V130" s="59"/>
      <c r="W130" s="59"/>
      <c r="X130" s="59"/>
      <c r="Y130" s="59"/>
      <c r="Z130" s="491"/>
      <c r="AA130" s="59"/>
      <c r="AB130" s="930"/>
      <c r="AC130" s="59"/>
      <c r="AD130" s="59"/>
      <c r="AE130" s="59"/>
      <c r="AF130" s="59"/>
      <c r="AG130" s="59"/>
      <c r="AH130" s="59"/>
      <c r="AI130" s="59"/>
      <c r="AJ130" s="59"/>
      <c r="AK130" s="59"/>
      <c r="AL130" s="59"/>
      <c r="AM130" s="59"/>
      <c r="AN130" s="355"/>
      <c r="AO130" s="371"/>
      <c r="AP130" t="s" s="368">
        <v>2466</v>
      </c>
      <c r="AQ130" s="371"/>
      <c r="AR130" s="371"/>
      <c r="AS130" s="371"/>
      <c r="AT130" s="371"/>
      <c r="AU130" s="58"/>
      <c r="AV130" s="59"/>
      <c r="AW130" s="59"/>
      <c r="AX130" s="59"/>
      <c r="AY130" s="59"/>
      <c r="AZ130" s="59"/>
      <c r="BA130" s="59"/>
    </row>
    <row r="131" ht="15" customHeight="1">
      <c r="A131" s="19"/>
      <c r="B131" s="113"/>
      <c r="C131" s="58"/>
      <c r="D131" s="59"/>
      <c r="E131" s="59"/>
      <c r="F131" s="59"/>
      <c r="G131" s="59"/>
      <c r="H131" s="59"/>
      <c r="I131" s="59"/>
      <c r="J131" t="s" s="747">
        <v>227</v>
      </c>
      <c r="K131" s="744">
        <v>1</v>
      </c>
      <c r="L131" t="s" s="448">
        <v>375</v>
      </c>
      <c r="M131" s="908"/>
      <c r="N131" t="s" s="448">
        <v>2467</v>
      </c>
      <c r="O131" s="908"/>
      <c r="P131" t="s" s="531">
        <v>2468</v>
      </c>
      <c r="Q131" s="450">
        <v>2</v>
      </c>
      <c r="R131" s="59"/>
      <c r="S131" s="299">
        <v>2</v>
      </c>
      <c r="T131" s="59"/>
      <c r="U131" s="59"/>
      <c r="V131" s="59"/>
      <c r="W131" s="59"/>
      <c r="X131" s="59"/>
      <c r="Y131" s="59"/>
      <c r="Z131" s="491"/>
      <c r="AA131" s="59"/>
      <c r="AB131" s="930"/>
      <c r="AC131" s="59"/>
      <c r="AD131" s="59"/>
      <c r="AE131" s="59"/>
      <c r="AF131" s="59"/>
      <c r="AG131" s="59"/>
      <c r="AH131" s="59"/>
      <c r="AI131" s="59"/>
      <c r="AJ131" s="59"/>
      <c r="AK131" s="59"/>
      <c r="AL131" s="59"/>
      <c r="AM131" s="59"/>
      <c r="AN131" s="59"/>
      <c r="AO131" s="373"/>
      <c r="AP131" s="373"/>
      <c r="AQ131" s="373"/>
      <c r="AR131" s="373"/>
      <c r="AS131" s="373"/>
      <c r="AT131" s="373"/>
      <c r="AU131" s="59"/>
      <c r="AV131" s="59"/>
      <c r="AW131" s="59"/>
      <c r="AX131" s="59"/>
      <c r="AY131" s="59"/>
      <c r="AZ131" s="59"/>
      <c r="BA131" s="59"/>
    </row>
    <row r="132" ht="15" customHeight="1">
      <c r="A132" s="19"/>
      <c r="B132" s="113"/>
      <c r="C132" s="58"/>
      <c r="D132" s="59"/>
      <c r="E132" s="59"/>
      <c r="F132" s="59"/>
      <c r="G132" s="59"/>
      <c r="H132" s="59"/>
      <c r="I132" s="59"/>
      <c r="J132" t="s" s="747">
        <v>265</v>
      </c>
      <c r="K132" s="744">
        <v>2</v>
      </c>
      <c r="L132" t="s" s="448">
        <v>375</v>
      </c>
      <c r="M132" s="908"/>
      <c r="N132" t="s" s="448">
        <v>375</v>
      </c>
      <c r="O132" s="908"/>
      <c r="P132" t="s" s="448">
        <v>197</v>
      </c>
      <c r="Q132" t="s" s="448">
        <v>197</v>
      </c>
      <c r="R132" t="s" s="448">
        <v>197</v>
      </c>
      <c r="S132" t="s" s="448">
        <v>197</v>
      </c>
      <c r="T132" s="59"/>
      <c r="U132" s="59"/>
      <c r="V132" s="59"/>
      <c r="W132" s="59"/>
      <c r="X132" s="59"/>
      <c r="Y132" s="59"/>
      <c r="Z132" s="491"/>
      <c r="AA132" s="59"/>
      <c r="AB132" s="930"/>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row>
    <row r="133" ht="26.25" customHeight="1">
      <c r="A133" s="19"/>
      <c r="B133" s="113"/>
      <c r="C133" s="58"/>
      <c r="D133" s="59"/>
      <c r="E133" s="59"/>
      <c r="F133" s="59"/>
      <c r="G133" s="59"/>
      <c r="H133" s="59"/>
      <c r="I133" s="59"/>
      <c r="J133" t="s" s="747">
        <v>2469</v>
      </c>
      <c r="K133" s="744">
        <v>23</v>
      </c>
      <c r="L133" s="489">
        <f>160000/123.66</f>
        <v>1293.870289503480</v>
      </c>
      <c r="M133" s="490">
        <v>477</v>
      </c>
      <c r="N133" s="447">
        <f t="shared" si="70"/>
        <v>44.476791201682</v>
      </c>
      <c r="O133" s="908">
        <v>16</v>
      </c>
      <c r="P133" s="299">
        <v>2</v>
      </c>
      <c r="Q133" t="s" s="531">
        <v>351</v>
      </c>
      <c r="R133" t="s" s="448">
        <v>2470</v>
      </c>
      <c r="S133" t="s" s="303">
        <v>2471</v>
      </c>
      <c r="T133" s="59"/>
      <c r="U133" s="59"/>
      <c r="V133" s="59"/>
      <c r="W133" s="59"/>
      <c r="X133" s="59"/>
      <c r="Y133" s="59"/>
      <c r="Z133" s="59"/>
      <c r="AA133" s="59"/>
      <c r="AB133" s="930"/>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row>
    <row r="134" ht="15" customHeight="1">
      <c r="A134" s="19"/>
      <c r="B134" s="113"/>
      <c r="C134" s="58"/>
      <c r="D134" s="59"/>
      <c r="E134" s="59"/>
      <c r="F134" s="59"/>
      <c r="G134" s="59"/>
      <c r="H134" s="59"/>
      <c r="I134" s="59"/>
      <c r="J134" t="s" s="747">
        <v>2472</v>
      </c>
      <c r="K134" s="744">
        <v>2</v>
      </c>
      <c r="L134" t="s" s="448">
        <v>197</v>
      </c>
      <c r="M134" s="908"/>
      <c r="N134" t="s" s="448">
        <v>2473</v>
      </c>
      <c r="O134" s="908"/>
      <c r="P134" t="s" s="531">
        <v>2474</v>
      </c>
      <c r="Q134" s="450">
        <v>2</v>
      </c>
      <c r="R134" s="59"/>
      <c r="S134" t="s" s="303">
        <v>2475</v>
      </c>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row>
    <row r="135" ht="15" customHeight="1">
      <c r="A135" s="19"/>
      <c r="B135" s="113"/>
      <c r="C135" s="58"/>
      <c r="D135" s="59"/>
      <c r="E135" s="59"/>
      <c r="F135" s="59"/>
      <c r="G135" s="59"/>
      <c r="H135" s="59"/>
      <c r="I135" s="59"/>
      <c r="J135" s="59"/>
      <c r="K135" s="59"/>
      <c r="L135" s="59"/>
      <c r="M135" s="125"/>
      <c r="N135" s="59"/>
      <c r="O135" s="125"/>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row>
    <row r="136" ht="15" customHeight="1">
      <c r="A136" s="19"/>
      <c r="B136" s="113"/>
      <c r="C136" s="58"/>
      <c r="D136" s="59"/>
      <c r="E136" s="59"/>
      <c r="F136" s="59"/>
      <c r="G136" s="59"/>
      <c r="H136" s="59"/>
      <c r="I136" s="59"/>
      <c r="J136" s="59"/>
      <c r="K136" s="59"/>
      <c r="L136" s="59"/>
      <c r="M136" s="125"/>
      <c r="N136" s="59"/>
      <c r="O136" s="125"/>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row>
    <row r="137" ht="15" customHeight="1">
      <c r="A137" s="23"/>
      <c r="B137" s="114"/>
      <c r="C137" s="63"/>
      <c r="D137" s="64"/>
      <c r="E137" s="64"/>
      <c r="F137" s="64"/>
      <c r="G137" s="64"/>
      <c r="H137" s="64"/>
      <c r="I137" s="64"/>
      <c r="J137" s="64"/>
      <c r="K137" s="64"/>
      <c r="L137" s="64"/>
      <c r="M137" s="311"/>
      <c r="N137" s="64"/>
      <c r="O137" s="311"/>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59"/>
      <c r="AV137" s="59"/>
      <c r="AW137" s="59"/>
      <c r="AX137" s="59"/>
      <c r="AY137" s="59"/>
      <c r="AZ137" s="59"/>
      <c r="BA137" s="59"/>
    </row>
    <row r="138" ht="104.65" customHeight="1">
      <c r="A138" s="15">
        <v>14</v>
      </c>
      <c r="B138" t="s" s="115">
        <v>38</v>
      </c>
      <c r="C138" t="s" s="17">
        <v>200</v>
      </c>
      <c r="D138" s="559">
        <v>0.9</v>
      </c>
      <c r="E138" s="169"/>
      <c r="F138" t="s" s="18">
        <v>2476</v>
      </c>
      <c r="G138" t="s" s="18">
        <v>2477</v>
      </c>
      <c r="H138" t="s" s="18">
        <v>197</v>
      </c>
      <c r="I138" t="s" s="18">
        <v>197</v>
      </c>
      <c r="J138" t="s" s="18">
        <v>200</v>
      </c>
      <c r="K138" s="166">
        <v>9</v>
      </c>
      <c r="L138" s="172">
        <f>29000/19.93</f>
        <v>1455.0928248871</v>
      </c>
      <c r="M138" s="176">
        <v>470</v>
      </c>
      <c r="N138" s="172">
        <f>2150/19.98</f>
        <v>107.607607607608</v>
      </c>
      <c r="O138" s="176">
        <v>35</v>
      </c>
      <c r="P138" t="s" s="18">
        <v>2478</v>
      </c>
      <c r="Q138" s="166">
        <v>1</v>
      </c>
      <c r="R138" t="s" s="171">
        <v>2479</v>
      </c>
      <c r="S138" s="169"/>
      <c r="T138" t="s" s="18">
        <v>2476</v>
      </c>
      <c r="U138" t="s" s="171">
        <v>2480</v>
      </c>
      <c r="V138" t="s" s="18">
        <v>2481</v>
      </c>
      <c r="W138" t="s" s="18">
        <v>2482</v>
      </c>
      <c r="X138" s="166">
        <v>9</v>
      </c>
      <c r="Y138" s="166">
        <v>1</v>
      </c>
      <c r="Z138" t="s" s="170">
        <v>2483</v>
      </c>
      <c r="AA138" s="166">
        <v>1</v>
      </c>
      <c r="AB138" s="166">
        <v>1</v>
      </c>
      <c r="AC138" s="166">
        <v>1</v>
      </c>
      <c r="AD138" t="s" s="171">
        <v>2484</v>
      </c>
      <c r="AE138" t="s" s="171">
        <v>2485</v>
      </c>
      <c r="AF138" t="s" s="18">
        <v>2486</v>
      </c>
      <c r="AG138" s="166">
        <v>10</v>
      </c>
      <c r="AH138" t="s" s="171">
        <v>2487</v>
      </c>
      <c r="AI138" t="s" s="171">
        <v>2488</v>
      </c>
      <c r="AJ138" t="s" s="171">
        <v>2489</v>
      </c>
      <c r="AK138" t="s" s="171">
        <v>2484</v>
      </c>
      <c r="AL138" t="s" s="171">
        <v>2490</v>
      </c>
      <c r="AM138" t="s" s="18">
        <v>2491</v>
      </c>
      <c r="AN138" t="s" s="790">
        <v>2492</v>
      </c>
      <c r="AO138" s="802">
        <v>1</v>
      </c>
      <c r="AP138" t="s" s="779">
        <v>2123</v>
      </c>
      <c r="AQ138" t="s" s="779">
        <v>2387</v>
      </c>
      <c r="AR138" t="s" s="791">
        <v>2493</v>
      </c>
      <c r="AS138" t="s" s="779">
        <v>2198</v>
      </c>
      <c r="AT138" t="s" s="779">
        <v>2198</v>
      </c>
      <c r="AU138" s="58"/>
      <c r="AV138" s="59"/>
      <c r="AW138" s="59"/>
      <c r="AX138" s="59"/>
      <c r="AY138" s="59"/>
      <c r="AZ138" s="59"/>
      <c r="BA138" s="59"/>
    </row>
    <row r="139" ht="60" customHeight="1">
      <c r="A139" s="19"/>
      <c r="B139" s="116"/>
      <c r="C139" t="s" s="220">
        <v>230</v>
      </c>
      <c r="D139" s="517">
        <v>0.1</v>
      </c>
      <c r="E139" s="208">
        <v>0</v>
      </c>
      <c r="F139" s="22"/>
      <c r="G139" s="22"/>
      <c r="H139" s="22"/>
      <c r="I139" s="22"/>
      <c r="J139" t="s" s="209">
        <v>230</v>
      </c>
      <c r="K139" s="208">
        <v>49</v>
      </c>
      <c r="L139" s="202">
        <f>28500/19.93</f>
        <v>1430.005017561470</v>
      </c>
      <c r="M139" s="187">
        <v>462</v>
      </c>
      <c r="N139" t="s" s="182">
        <v>2494</v>
      </c>
      <c r="O139" t="s" s="182">
        <v>2495</v>
      </c>
      <c r="P139" t="s" s="209">
        <v>570</v>
      </c>
      <c r="Q139" s="208">
        <v>2</v>
      </c>
      <c r="R139" t="s" s="661">
        <v>2496</v>
      </c>
      <c r="S139" t="s" s="209">
        <v>317</v>
      </c>
      <c r="T139" s="22"/>
      <c r="U139" s="22"/>
      <c r="V139" s="22"/>
      <c r="W139" s="22"/>
      <c r="X139" s="22"/>
      <c r="Y139" s="22"/>
      <c r="Z139" s="211"/>
      <c r="AA139" s="22"/>
      <c r="AB139" s="22"/>
      <c r="AC139" s="22"/>
      <c r="AD139" s="22"/>
      <c r="AE139" s="22"/>
      <c r="AF139" s="22"/>
      <c r="AG139" s="22"/>
      <c r="AH139" s="22"/>
      <c r="AI139" s="22"/>
      <c r="AJ139" s="22"/>
      <c r="AK139" s="22"/>
      <c r="AL139" s="22"/>
      <c r="AM139" s="22"/>
      <c r="AN139" s="785"/>
      <c r="AO139" t="s" s="805">
        <v>2497</v>
      </c>
      <c r="AP139" t="s" s="497">
        <v>2108</v>
      </c>
      <c r="AQ139" t="s" s="497">
        <v>2387</v>
      </c>
      <c r="AR139" s="793"/>
      <c r="AS139" s="814"/>
      <c r="AT139" s="814"/>
      <c r="AU139" s="58"/>
      <c r="AV139" s="59"/>
      <c r="AW139" s="59"/>
      <c r="AX139" s="59"/>
      <c r="AY139" s="59"/>
      <c r="AZ139" s="59"/>
      <c r="BA139" s="59"/>
    </row>
    <row r="140" ht="24" customHeight="1">
      <c r="A140" s="19"/>
      <c r="B140" s="116"/>
      <c r="C140" s="21"/>
      <c r="D140" s="209"/>
      <c r="E140" s="22"/>
      <c r="F140" s="22"/>
      <c r="G140" s="22"/>
      <c r="H140" s="22"/>
      <c r="I140" s="22"/>
      <c r="J140" t="s" s="209">
        <v>337</v>
      </c>
      <c r="K140" s="208">
        <v>31</v>
      </c>
      <c r="L140" s="202">
        <f>4344/19.93</f>
        <v>217.962870045158</v>
      </c>
      <c r="M140" s="187">
        <v>70</v>
      </c>
      <c r="N140" t="s" s="182">
        <v>2498</v>
      </c>
      <c r="O140" t="s" s="182">
        <v>2499</v>
      </c>
      <c r="P140" t="s" s="209">
        <v>567</v>
      </c>
      <c r="Q140" s="208">
        <v>2</v>
      </c>
      <c r="R140" t="s" s="209">
        <v>197</v>
      </c>
      <c r="S140" t="s" s="209">
        <v>317</v>
      </c>
      <c r="T140" s="22"/>
      <c r="U140" s="22"/>
      <c r="V140" s="22"/>
      <c r="W140" s="22"/>
      <c r="X140" s="22"/>
      <c r="Y140" s="22"/>
      <c r="Z140" s="22"/>
      <c r="AA140" s="22"/>
      <c r="AB140" s="22"/>
      <c r="AC140" s="22"/>
      <c r="AD140" s="22"/>
      <c r="AE140" s="22"/>
      <c r="AF140" s="22"/>
      <c r="AG140" s="22"/>
      <c r="AH140" s="22"/>
      <c r="AI140" s="22"/>
      <c r="AJ140" s="22"/>
      <c r="AK140" s="22"/>
      <c r="AL140" s="22"/>
      <c r="AM140" s="22"/>
      <c r="AN140" s="22"/>
      <c r="AO140" s="784"/>
      <c r="AP140" t="s" s="497">
        <v>2109</v>
      </c>
      <c r="AQ140" s="799"/>
      <c r="AR140" s="787"/>
      <c r="AS140" s="787"/>
      <c r="AT140" s="787"/>
      <c r="AU140" s="59"/>
      <c r="AV140" s="59"/>
      <c r="AW140" s="59"/>
      <c r="AX140" s="59"/>
      <c r="AY140" s="59"/>
      <c r="AZ140" s="59"/>
      <c r="BA140" s="59"/>
    </row>
    <row r="141" ht="15" customHeight="1">
      <c r="A141" s="19"/>
      <c r="B141" s="116"/>
      <c r="C141" s="21"/>
      <c r="D141" s="22"/>
      <c r="E141" s="22"/>
      <c r="F141" s="22"/>
      <c r="G141" s="22"/>
      <c r="H141" s="22"/>
      <c r="I141" s="22"/>
      <c r="J141" t="s" s="209">
        <v>210</v>
      </c>
      <c r="K141" s="208">
        <v>10</v>
      </c>
      <c r="L141" s="202">
        <f>1000/19.93</f>
        <v>50.1756146512795</v>
      </c>
      <c r="M141" s="187">
        <v>16</v>
      </c>
      <c r="N141" s="202">
        <f>500/19.93</f>
        <v>25.0878073256397</v>
      </c>
      <c r="O141" s="187">
        <v>8</v>
      </c>
      <c r="P141" s="208">
        <v>1</v>
      </c>
      <c r="Q141" s="208">
        <v>2</v>
      </c>
      <c r="R141" t="s" s="209">
        <v>197</v>
      </c>
      <c r="S141" t="s" s="209">
        <v>317</v>
      </c>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787"/>
      <c r="AQ141" s="22"/>
      <c r="AR141" s="22"/>
      <c r="AS141" s="22"/>
      <c r="AT141" s="22"/>
      <c r="AU141" s="59"/>
      <c r="AV141" s="59"/>
      <c r="AW141" s="59"/>
      <c r="AX141" s="59"/>
      <c r="AY141" s="59"/>
      <c r="AZ141" s="59"/>
      <c r="BA141" s="59"/>
    </row>
    <row r="142" ht="15" customHeight="1">
      <c r="A142" s="19"/>
      <c r="B142" s="116"/>
      <c r="C142" s="21"/>
      <c r="D142" s="22"/>
      <c r="E142" s="22"/>
      <c r="F142" s="22"/>
      <c r="G142" s="22"/>
      <c r="H142" s="22"/>
      <c r="I142" s="22"/>
      <c r="J142" t="s" s="209">
        <v>265</v>
      </c>
      <c r="K142" s="208">
        <v>0.5</v>
      </c>
      <c r="L142" t="s" s="182">
        <v>375</v>
      </c>
      <c r="M142" s="187"/>
      <c r="N142" t="s" s="182">
        <v>375</v>
      </c>
      <c r="O142" s="187"/>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59"/>
      <c r="AV142" s="59"/>
      <c r="AW142" s="59"/>
      <c r="AX142" s="59"/>
      <c r="AY142" s="59"/>
      <c r="AZ142" s="59"/>
      <c r="BA142" s="59"/>
    </row>
    <row r="143" ht="15" customHeight="1">
      <c r="A143" s="933"/>
      <c r="B143" s="116"/>
      <c r="C143" s="21"/>
      <c r="D143" s="22"/>
      <c r="E143" s="22"/>
      <c r="F143" s="22"/>
      <c r="G143" s="22"/>
      <c r="H143" s="22"/>
      <c r="I143" s="22"/>
      <c r="J143" t="s" s="786">
        <v>2500</v>
      </c>
      <c r="K143" s="213">
        <v>0.5</v>
      </c>
      <c r="L143" s="202">
        <f>200000/19.93</f>
        <v>10035.1229302559</v>
      </c>
      <c r="M143" s="187">
        <v>3242</v>
      </c>
      <c r="N143" s="202">
        <f>1400/19.93</f>
        <v>70.24586051179131</v>
      </c>
      <c r="O143" s="187">
        <v>23</v>
      </c>
      <c r="P143" s="208">
        <v>2</v>
      </c>
      <c r="Q143" s="208">
        <v>2</v>
      </c>
      <c r="R143" t="s" s="209">
        <v>197</v>
      </c>
      <c r="S143" s="208">
        <v>3</v>
      </c>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59"/>
      <c r="AV143" s="59"/>
      <c r="AW143" s="59"/>
      <c r="AX143" s="59"/>
      <c r="AY143" s="59"/>
      <c r="AZ143" s="59"/>
      <c r="BA143" s="59"/>
    </row>
    <row r="144" ht="28.5" customHeight="1">
      <c r="A144" s="916"/>
      <c r="B144" s="117"/>
      <c r="C144" s="25"/>
      <c r="D144" s="26"/>
      <c r="E144" s="26"/>
      <c r="F144" s="26"/>
      <c r="G144" s="26"/>
      <c r="H144" s="26"/>
      <c r="I144" s="934"/>
      <c r="J144" t="s" s="935">
        <v>211</v>
      </c>
      <c r="K144" s="936">
        <v>0</v>
      </c>
      <c r="L144" s="937"/>
      <c r="M144" s="195"/>
      <c r="N144" s="938"/>
      <c r="O144" s="195"/>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64"/>
      <c r="AV144" s="64"/>
      <c r="AW144" s="64"/>
      <c r="AX144" s="64"/>
      <c r="AY144" s="64"/>
      <c r="AZ144" s="64"/>
      <c r="BA144" s="64"/>
    </row>
    <row r="145" ht="51.75" customHeight="1">
      <c r="A145" s="52">
        <v>15</v>
      </c>
      <c r="B145" t="s" s="111">
        <v>40</v>
      </c>
      <c r="C145" t="s" s="54">
        <v>200</v>
      </c>
      <c r="D145" s="285">
        <v>47</v>
      </c>
      <c r="E145" s="123"/>
      <c r="F145" t="s" s="383">
        <v>2501</v>
      </c>
      <c r="G145" s="123"/>
      <c r="H145" t="s" s="506">
        <v>2502</v>
      </c>
      <c r="I145" t="s" s="482">
        <v>2503</v>
      </c>
      <c r="J145" t="s" s="82">
        <v>230</v>
      </c>
      <c r="K145" s="285">
        <v>16</v>
      </c>
      <c r="L145" s="340">
        <f>500000/172.42</f>
        <v>2899.895603758260</v>
      </c>
      <c r="M145" s="341">
        <v>683</v>
      </c>
      <c r="N145" t="s" s="535">
        <v>2504</v>
      </c>
      <c r="O145" s="939">
        <v>25</v>
      </c>
      <c r="P145" s="285">
        <v>2</v>
      </c>
      <c r="Q145" s="285">
        <v>1</v>
      </c>
      <c r="R145" t="s" s="483">
        <v>2505</v>
      </c>
      <c r="S145" s="123"/>
      <c r="T145" t="s" s="112">
        <v>2506</v>
      </c>
      <c r="U145" t="s" s="112">
        <v>2507</v>
      </c>
      <c r="V145" s="284">
        <v>4</v>
      </c>
      <c r="W145" s="285">
        <v>1</v>
      </c>
      <c r="X145" s="477">
        <v>0</v>
      </c>
      <c r="Y145" s="285">
        <v>1</v>
      </c>
      <c r="Z145" t="s" s="482">
        <v>2508</v>
      </c>
      <c r="AA145" s="285">
        <v>1</v>
      </c>
      <c r="AB145" s="285">
        <v>1</v>
      </c>
      <c r="AC145" s="285">
        <v>1</v>
      </c>
      <c r="AD145" t="s" s="484">
        <v>2509</v>
      </c>
      <c r="AE145" t="s" s="483">
        <v>2510</v>
      </c>
      <c r="AF145" t="s" s="82">
        <v>2511</v>
      </c>
      <c r="AG145" s="477">
        <v>0.16</v>
      </c>
      <c r="AH145" t="s" s="112">
        <v>2512</v>
      </c>
      <c r="AI145" t="s" s="112">
        <v>197</v>
      </c>
      <c r="AJ145" t="s" s="483">
        <v>2513</v>
      </c>
      <c r="AK145" t="s" s="483">
        <v>2514</v>
      </c>
      <c r="AL145" t="s" s="112">
        <v>197</v>
      </c>
      <c r="AM145" t="s" s="112">
        <v>2515</v>
      </c>
      <c r="AN145" s="871"/>
      <c r="AO145" t="s" s="873">
        <v>197</v>
      </c>
      <c r="AP145" t="s" s="873">
        <v>2195</v>
      </c>
      <c r="AQ145" t="s" s="873">
        <v>2244</v>
      </c>
      <c r="AR145" t="s" s="873">
        <v>2516</v>
      </c>
      <c r="AS145" t="s" s="873">
        <v>197</v>
      </c>
      <c r="AT145" t="s" s="873">
        <v>197</v>
      </c>
      <c r="AU145" s="606"/>
      <c r="AV145" s="123"/>
      <c r="AW145" s="123"/>
      <c r="AX145" s="123"/>
      <c r="AY145" s="123"/>
      <c r="AZ145" s="123"/>
      <c r="BA145" s="123"/>
    </row>
    <row r="146" ht="28.5" customHeight="1">
      <c r="A146" s="56"/>
      <c r="B146" s="113"/>
      <c r="C146" t="s" s="727">
        <v>230</v>
      </c>
      <c r="D146" s="299">
        <v>51</v>
      </c>
      <c r="E146" s="59"/>
      <c r="F146" s="59"/>
      <c r="G146" s="59"/>
      <c r="H146" s="510"/>
      <c r="I146" s="488"/>
      <c r="J146" s="59"/>
      <c r="K146" s="22"/>
      <c r="L146" s="298"/>
      <c r="M146" s="251"/>
      <c r="N146" s="59"/>
      <c r="O146" s="251"/>
      <c r="P146" s="59"/>
      <c r="Q146" s="59"/>
      <c r="R146" s="643"/>
      <c r="S146" s="59"/>
      <c r="T146" t="s" s="637">
        <v>2517</v>
      </c>
      <c r="U146" s="59"/>
      <c r="V146" s="59"/>
      <c r="W146" s="59"/>
      <c r="X146" s="59"/>
      <c r="Y146" s="59"/>
      <c r="Z146" s="488"/>
      <c r="AA146" s="59"/>
      <c r="AB146" s="59"/>
      <c r="AC146" s="59"/>
      <c r="AD146" s="488"/>
      <c r="AE146" s="59"/>
      <c r="AF146" s="59"/>
      <c r="AG146" s="59"/>
      <c r="AH146" s="59"/>
      <c r="AI146" s="59"/>
      <c r="AJ146" s="59"/>
      <c r="AK146" s="59"/>
      <c r="AL146" s="59"/>
      <c r="AM146" s="59"/>
      <c r="AN146" s="59"/>
      <c r="AO146" s="874"/>
      <c r="AP146" s="371"/>
      <c r="AQ146" s="371"/>
      <c r="AR146" s="371"/>
      <c r="AS146" s="371"/>
      <c r="AT146" s="371"/>
      <c r="AU146" s="58"/>
      <c r="AV146" s="59"/>
      <c r="AW146" s="59"/>
      <c r="AX146" s="59"/>
      <c r="AY146" s="59"/>
      <c r="AZ146" s="59"/>
      <c r="BA146" s="59"/>
    </row>
    <row r="147" ht="26.1" customHeight="1">
      <c r="A147" s="56"/>
      <c r="B147" s="113"/>
      <c r="C147" t="s" s="727">
        <v>210</v>
      </c>
      <c r="D147" s="299">
        <v>2</v>
      </c>
      <c r="E147" s="59"/>
      <c r="F147" s="59"/>
      <c r="G147" s="59"/>
      <c r="H147" s="510"/>
      <c r="I147" s="488"/>
      <c r="J147" t="s" s="303">
        <v>357</v>
      </c>
      <c r="K147" s="299">
        <v>2</v>
      </c>
      <c r="L147" s="489">
        <f t="shared" si="83" ref="L147:L150">300000/172.42</f>
        <v>1739.937362254960</v>
      </c>
      <c r="M147" s="490">
        <v>410</v>
      </c>
      <c r="N147" t="s" s="940">
        <v>2518</v>
      </c>
      <c r="O147" s="941">
        <v>27</v>
      </c>
      <c r="P147" s="299">
        <v>3</v>
      </c>
      <c r="Q147" s="299">
        <v>2</v>
      </c>
      <c r="R147" s="59"/>
      <c r="S147" t="s" s="514">
        <v>2519</v>
      </c>
      <c r="T147" s="59"/>
      <c r="U147" s="59"/>
      <c r="V147" s="59"/>
      <c r="W147" s="59"/>
      <c r="X147" s="59"/>
      <c r="Y147" s="59"/>
      <c r="Z147" s="488"/>
      <c r="AA147" s="59"/>
      <c r="AB147" s="59"/>
      <c r="AC147" s="59"/>
      <c r="AD147" s="488"/>
      <c r="AE147" s="59"/>
      <c r="AF147" s="59"/>
      <c r="AG147" s="59"/>
      <c r="AH147" s="59"/>
      <c r="AI147" s="59"/>
      <c r="AJ147" s="59"/>
      <c r="AK147" s="59"/>
      <c r="AL147" s="59"/>
      <c r="AM147" s="59"/>
      <c r="AN147" s="59"/>
      <c r="AO147" s="355"/>
      <c r="AP147" t="s" s="368">
        <v>2359</v>
      </c>
      <c r="AQ147" t="s" s="368">
        <v>2244</v>
      </c>
      <c r="AR147" t="s" s="368">
        <v>2520</v>
      </c>
      <c r="AS147" t="s" s="368">
        <v>2198</v>
      </c>
      <c r="AT147" t="s" s="368">
        <v>2198</v>
      </c>
      <c r="AU147" s="58"/>
      <c r="AV147" s="59"/>
      <c r="AW147" s="59"/>
      <c r="AX147" s="59"/>
      <c r="AY147" s="59"/>
      <c r="AZ147" s="59"/>
      <c r="BA147" s="59"/>
    </row>
    <row r="148" ht="26.1" customHeight="1">
      <c r="A148" s="56"/>
      <c r="B148" s="113"/>
      <c r="C148" s="58"/>
      <c r="D148" s="59"/>
      <c r="E148" s="59"/>
      <c r="F148" s="59"/>
      <c r="G148" s="59"/>
      <c r="H148" s="59"/>
      <c r="I148" s="488"/>
      <c r="J148" t="s" s="303">
        <v>337</v>
      </c>
      <c r="K148" s="299">
        <v>2</v>
      </c>
      <c r="L148" s="489">
        <f>150000/172.42</f>
        <v>869.968681127479</v>
      </c>
      <c r="M148" s="490">
        <v>205</v>
      </c>
      <c r="N148" s="304"/>
      <c r="O148" s="941"/>
      <c r="P148" s="299">
        <v>3</v>
      </c>
      <c r="Q148" s="299">
        <v>2</v>
      </c>
      <c r="R148" s="59"/>
      <c r="S148" t="s" s="514">
        <v>2521</v>
      </c>
      <c r="T148" s="59"/>
      <c r="U148" s="59"/>
      <c r="V148" s="59"/>
      <c r="W148" s="59"/>
      <c r="X148" s="59"/>
      <c r="Y148" s="59"/>
      <c r="Z148" s="488"/>
      <c r="AA148" s="59"/>
      <c r="AB148" s="59"/>
      <c r="AC148" s="59"/>
      <c r="AD148" s="488"/>
      <c r="AE148" s="59"/>
      <c r="AF148" s="59"/>
      <c r="AG148" s="59"/>
      <c r="AH148" s="59"/>
      <c r="AI148" s="59"/>
      <c r="AJ148" s="59"/>
      <c r="AK148" s="59"/>
      <c r="AL148" s="59"/>
      <c r="AM148" s="59"/>
      <c r="AN148" s="59"/>
      <c r="AO148" s="355"/>
      <c r="AP148" t="s" s="368">
        <v>2522</v>
      </c>
      <c r="AQ148" s="942"/>
      <c r="AR148" s="373"/>
      <c r="AS148" s="373"/>
      <c r="AT148" s="373"/>
      <c r="AU148" s="59"/>
      <c r="AV148" s="59"/>
      <c r="AW148" s="59"/>
      <c r="AX148" s="59"/>
      <c r="AY148" s="59"/>
      <c r="AZ148" s="59"/>
      <c r="BA148" s="59"/>
    </row>
    <row r="149" ht="26.1" customHeight="1">
      <c r="A149" s="56"/>
      <c r="B149" s="113"/>
      <c r="C149" s="58"/>
      <c r="D149" s="59"/>
      <c r="E149" s="59"/>
      <c r="F149" s="59"/>
      <c r="G149" s="59"/>
      <c r="H149" s="59"/>
      <c r="I149" s="488"/>
      <c r="J149" t="s" s="303">
        <v>210</v>
      </c>
      <c r="K149" s="299">
        <v>80</v>
      </c>
      <c r="L149" s="943">
        <f>50000/172.42</f>
        <v>289.989560375826</v>
      </c>
      <c r="M149" s="944">
        <v>68</v>
      </c>
      <c r="N149" s="304"/>
      <c r="O149" s="941"/>
      <c r="P149" s="299">
        <v>5</v>
      </c>
      <c r="Q149" s="299">
        <v>2</v>
      </c>
      <c r="R149" s="59"/>
      <c r="S149" t="s" s="514">
        <v>2523</v>
      </c>
      <c r="T149" s="59"/>
      <c r="U149" s="59"/>
      <c r="V149" s="59"/>
      <c r="W149" s="59"/>
      <c r="X149" s="59"/>
      <c r="Y149" s="59"/>
      <c r="Z149" s="59"/>
      <c r="AA149" s="59"/>
      <c r="AB149" s="59"/>
      <c r="AC149" s="59"/>
      <c r="AD149" s="488"/>
      <c r="AE149" s="59"/>
      <c r="AF149" s="59"/>
      <c r="AG149" s="59"/>
      <c r="AH149" s="59"/>
      <c r="AI149" s="59"/>
      <c r="AJ149" s="59"/>
      <c r="AK149" s="59"/>
      <c r="AL149" s="59"/>
      <c r="AM149" s="59"/>
      <c r="AN149" s="59"/>
      <c r="AO149" s="59"/>
      <c r="AP149" s="373"/>
      <c r="AQ149" s="59"/>
      <c r="AR149" s="59"/>
      <c r="AS149" s="59"/>
      <c r="AT149" s="59"/>
      <c r="AU149" s="59"/>
      <c r="AV149" s="59"/>
      <c r="AW149" s="59"/>
      <c r="AX149" s="59"/>
      <c r="AY149" s="59"/>
      <c r="AZ149" s="59"/>
      <c r="BA149" s="59"/>
    </row>
    <row r="150" ht="28.5" customHeight="1">
      <c r="A150" s="56"/>
      <c r="B150" s="113"/>
      <c r="C150" s="58"/>
      <c r="D150" s="59"/>
      <c r="E150" s="59"/>
      <c r="F150" s="59"/>
      <c r="G150" s="59"/>
      <c r="H150" s="59"/>
      <c r="I150" s="488"/>
      <c r="J150" t="s" s="303">
        <v>462</v>
      </c>
      <c r="K150" t="s" s="945">
        <v>2524</v>
      </c>
      <c r="L150" s="946">
        <f t="shared" si="83"/>
        <v>1739.937362254960</v>
      </c>
      <c r="M150" s="217">
        <v>410</v>
      </c>
      <c r="N150" t="s" s="727">
        <v>2525</v>
      </c>
      <c r="O150" s="251"/>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t="s" s="303">
        <v>2526</v>
      </c>
      <c r="AO150" s="59"/>
      <c r="AP150" s="59"/>
      <c r="AQ150" s="59"/>
      <c r="AR150" s="59"/>
      <c r="AS150" s="59"/>
      <c r="AT150" s="59"/>
      <c r="AU150" s="59"/>
      <c r="AV150" s="59"/>
      <c r="AW150" s="59"/>
      <c r="AX150" s="59"/>
      <c r="AY150" s="59"/>
      <c r="AZ150" s="59"/>
      <c r="BA150" s="59"/>
    </row>
    <row r="151" ht="28.5" customHeight="1">
      <c r="A151" s="56"/>
      <c r="B151" s="113"/>
      <c r="C151" s="58"/>
      <c r="D151" s="59"/>
      <c r="E151" s="59"/>
      <c r="F151" s="59"/>
      <c r="G151" s="59"/>
      <c r="H151" s="59"/>
      <c r="I151" s="488"/>
      <c r="J151" s="353"/>
      <c r="K151" s="353"/>
      <c r="L151" s="947">
        <f>200000/172.42</f>
        <v>1159.958241503310</v>
      </c>
      <c r="M151" s="222">
        <v>273</v>
      </c>
      <c r="N151" s="59"/>
      <c r="O151" s="251"/>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row>
    <row r="152" ht="28.5" customHeight="1">
      <c r="A152" s="119"/>
      <c r="B152" s="114"/>
      <c r="C152" s="948"/>
      <c r="D152" s="64"/>
      <c r="E152" s="64"/>
      <c r="F152" s="64"/>
      <c r="G152" s="64"/>
      <c r="H152" s="64"/>
      <c r="I152" s="949"/>
      <c r="J152" t="s" s="950">
        <v>211</v>
      </c>
      <c r="K152" s="951">
        <v>0</v>
      </c>
      <c r="L152" s="63"/>
      <c r="M152" s="311"/>
      <c r="N152" s="64"/>
      <c r="O152" s="311"/>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59"/>
      <c r="AV152" s="59"/>
      <c r="AW152" s="59"/>
      <c r="AX152" s="59"/>
      <c r="AY152" s="59"/>
      <c r="AZ152" s="59"/>
      <c r="BA152" s="59"/>
    </row>
    <row r="153" ht="120" customHeight="1">
      <c r="A153" s="15">
        <v>16</v>
      </c>
      <c r="B153" t="s" s="115">
        <v>43</v>
      </c>
      <c r="C153" t="s" s="17">
        <v>200</v>
      </c>
      <c r="D153" s="167">
        <v>27</v>
      </c>
      <c r="E153" s="168"/>
      <c r="F153" t="s" s="18">
        <v>2527</v>
      </c>
      <c r="G153" s="169"/>
      <c r="H153" t="s" s="170">
        <v>2528</v>
      </c>
      <c r="I153" t="s" s="170">
        <v>2529</v>
      </c>
      <c r="J153" t="s" s="18">
        <v>200</v>
      </c>
      <c r="K153" s="952">
        <v>0.477</v>
      </c>
      <c r="L153" s="172">
        <f>10999/46.49</f>
        <v>236.588513658851</v>
      </c>
      <c r="M153" s="176">
        <v>104</v>
      </c>
      <c r="N153" s="172">
        <f>5000/46.49</f>
        <v>107.550010755001</v>
      </c>
      <c r="O153" s="176">
        <v>47</v>
      </c>
      <c r="P153" s="169"/>
      <c r="Q153" s="166">
        <v>1</v>
      </c>
      <c r="R153" t="s" s="700">
        <v>2530</v>
      </c>
      <c r="S153" s="169"/>
      <c r="T153" t="s" s="171">
        <v>2531</v>
      </c>
      <c r="U153" t="s" s="18">
        <v>2532</v>
      </c>
      <c r="V153" t="s" s="18">
        <v>2533</v>
      </c>
      <c r="W153" s="166">
        <v>1</v>
      </c>
      <c r="X153" s="167">
        <v>54</v>
      </c>
      <c r="Y153" s="166">
        <v>1</v>
      </c>
      <c r="Z153" t="s" s="170">
        <v>2534</v>
      </c>
      <c r="AA153" s="166">
        <v>1</v>
      </c>
      <c r="AB153" s="254">
        <v>24</v>
      </c>
      <c r="AC153" s="166">
        <v>2</v>
      </c>
      <c r="AD153" t="s" s="171">
        <v>197</v>
      </c>
      <c r="AE153" t="s" s="171">
        <v>197</v>
      </c>
      <c r="AF153" t="s" s="18">
        <v>2535</v>
      </c>
      <c r="AG153" s="166">
        <v>35</v>
      </c>
      <c r="AH153" t="s" s="171">
        <v>2536</v>
      </c>
      <c r="AI153" t="s" s="18">
        <v>2537</v>
      </c>
      <c r="AJ153" t="s" s="171">
        <v>2538</v>
      </c>
      <c r="AK153" t="s" s="18">
        <v>197</v>
      </c>
      <c r="AL153" t="s" s="18">
        <v>197</v>
      </c>
      <c r="AM153" t="s" s="171">
        <v>2539</v>
      </c>
      <c r="AN153" t="s" s="18">
        <v>2540</v>
      </c>
      <c r="AO153" t="s" s="790">
        <v>2541</v>
      </c>
      <c r="AP153" t="s" s="779">
        <v>2123</v>
      </c>
      <c r="AQ153" t="s" s="779">
        <v>2196</v>
      </c>
      <c r="AR153" t="s" s="780">
        <v>2542</v>
      </c>
      <c r="AS153" t="s" s="779">
        <v>2198</v>
      </c>
      <c r="AT153" t="s" s="779">
        <v>2198</v>
      </c>
      <c r="AU153" s="58"/>
      <c r="AV153" s="59"/>
      <c r="AW153" s="59"/>
      <c r="AX153" s="59"/>
      <c r="AY153" s="59"/>
      <c r="AZ153" s="59"/>
      <c r="BA153" s="59"/>
    </row>
    <row r="154" ht="36" customHeight="1">
      <c r="A154" s="19"/>
      <c r="B154" s="120"/>
      <c r="C154" t="s" s="220">
        <v>230</v>
      </c>
      <c r="D154" s="183">
        <v>45</v>
      </c>
      <c r="E154" t="s" s="243">
        <v>2543</v>
      </c>
      <c r="F154" s="211"/>
      <c r="G154" s="211"/>
      <c r="H154" s="211"/>
      <c r="I154" s="211"/>
      <c r="J154" t="s" s="209">
        <v>230</v>
      </c>
      <c r="K154" s="180">
        <v>0.081</v>
      </c>
      <c r="L154" s="202">
        <f>210000/46.49</f>
        <v>4517.100451710040</v>
      </c>
      <c r="M154" s="187">
        <v>1987</v>
      </c>
      <c r="N154" s="202">
        <f t="shared" si="91" ref="N154:N160">4500/46.49</f>
        <v>96.79500967950101</v>
      </c>
      <c r="O154" s="187">
        <v>43</v>
      </c>
      <c r="P154" s="208">
        <v>2</v>
      </c>
      <c r="Q154" s="208">
        <v>1</v>
      </c>
      <c r="R154" s="953"/>
      <c r="S154" s="22"/>
      <c r="T154" s="22"/>
      <c r="U154" s="22"/>
      <c r="V154" s="22"/>
      <c r="W154" s="22"/>
      <c r="X154" s="22"/>
      <c r="Y154" s="22"/>
      <c r="Z154" s="211"/>
      <c r="AA154" s="22"/>
      <c r="AB154" s="211"/>
      <c r="AC154" s="22"/>
      <c r="AD154" s="22"/>
      <c r="AE154" s="22"/>
      <c r="AF154" t="s" s="209">
        <v>2544</v>
      </c>
      <c r="AG154" s="208">
        <v>0</v>
      </c>
      <c r="AH154" t="s" s="209">
        <v>2545</v>
      </c>
      <c r="AI154" t="s" s="209">
        <v>197</v>
      </c>
      <c r="AJ154" s="22"/>
      <c r="AK154" t="s" s="209">
        <v>197</v>
      </c>
      <c r="AL154" t="s" s="209">
        <v>197</v>
      </c>
      <c r="AM154" s="22"/>
      <c r="AN154" s="22"/>
      <c r="AO154" s="785"/>
      <c r="AP154" t="s" s="497">
        <v>2108</v>
      </c>
      <c r="AQ154" s="814"/>
      <c r="AR154" s="814"/>
      <c r="AS154" s="814"/>
      <c r="AT154" s="814"/>
      <c r="AU154" s="58"/>
      <c r="AV154" s="59"/>
      <c r="AW154" s="59"/>
      <c r="AX154" s="59"/>
      <c r="AY154" s="59"/>
      <c r="AZ154" s="59"/>
      <c r="BA154" s="59"/>
    </row>
    <row r="155" ht="24" customHeight="1">
      <c r="A155" s="19"/>
      <c r="B155" s="120"/>
      <c r="C155" t="s" s="220">
        <v>229</v>
      </c>
      <c r="D155" s="183">
        <v>13.5</v>
      </c>
      <c r="E155" t="s" s="243">
        <v>2546</v>
      </c>
      <c r="F155" s="211"/>
      <c r="G155" s="211"/>
      <c r="H155" s="211"/>
      <c r="I155" s="211"/>
      <c r="J155" s="22"/>
      <c r="K155" t="s" s="209">
        <v>2547</v>
      </c>
      <c r="L155" s="210">
        <f>70000/46.49</f>
        <v>1505.700150570010</v>
      </c>
      <c r="M155" s="212">
        <v>662</v>
      </c>
      <c r="N155" s="22"/>
      <c r="O155" s="212"/>
      <c r="P155" s="22"/>
      <c r="Q155" s="22"/>
      <c r="R155" s="22"/>
      <c r="S155" s="22"/>
      <c r="T155" s="22"/>
      <c r="U155" s="22"/>
      <c r="V155" s="22"/>
      <c r="W155" s="22"/>
      <c r="X155" s="22"/>
      <c r="Y155" s="22"/>
      <c r="Z155" s="211"/>
      <c r="AA155" s="22"/>
      <c r="AB155" s="211"/>
      <c r="AC155" s="22"/>
      <c r="AD155" s="22"/>
      <c r="AE155" s="22"/>
      <c r="AF155" s="22"/>
      <c r="AG155" s="22"/>
      <c r="AH155" s="22"/>
      <c r="AI155" s="22"/>
      <c r="AJ155" s="22"/>
      <c r="AK155" s="22"/>
      <c r="AL155" s="22"/>
      <c r="AM155" s="22"/>
      <c r="AN155" s="22"/>
      <c r="AO155" s="785"/>
      <c r="AP155" t="s" s="497">
        <v>2548</v>
      </c>
      <c r="AQ155" t="s" s="497">
        <v>2387</v>
      </c>
      <c r="AR155" t="s" s="497">
        <v>2549</v>
      </c>
      <c r="AS155" t="s" s="497">
        <v>2198</v>
      </c>
      <c r="AT155" t="s" s="497">
        <v>2198</v>
      </c>
      <c r="AU155" s="58"/>
      <c r="AV155" s="59"/>
      <c r="AW155" s="59"/>
      <c r="AX155" s="59"/>
      <c r="AY155" s="59"/>
      <c r="AZ155" s="59"/>
      <c r="BA155" s="59"/>
    </row>
    <row r="156" ht="36" customHeight="1">
      <c r="A156" s="19"/>
      <c r="B156" s="120"/>
      <c r="C156" t="s" s="250">
        <v>357</v>
      </c>
      <c r="D156" s="717">
        <v>13.5</v>
      </c>
      <c r="E156" t="s" s="243">
        <v>2550</v>
      </c>
      <c r="F156" s="211"/>
      <c r="G156" s="211"/>
      <c r="H156" s="211"/>
      <c r="I156" s="211"/>
      <c r="J156" t="s" s="209">
        <v>229</v>
      </c>
      <c r="K156" s="203">
        <v>0.027</v>
      </c>
      <c r="L156" s="202">
        <f>300000/46.49</f>
        <v>6453.000645300060</v>
      </c>
      <c r="M156" s="187">
        <v>2838</v>
      </c>
      <c r="N156" s="202">
        <f t="shared" si="91"/>
        <v>96.79500967950101</v>
      </c>
      <c r="O156" s="187">
        <v>43</v>
      </c>
      <c r="P156" s="22"/>
      <c r="Q156" s="22"/>
      <c r="R156" s="22"/>
      <c r="S156" t="s" s="661">
        <v>2551</v>
      </c>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787"/>
      <c r="AQ156" s="787"/>
      <c r="AR156" s="787"/>
      <c r="AS156" s="787"/>
      <c r="AT156" s="787"/>
      <c r="AU156" s="59"/>
      <c r="AV156" s="59"/>
      <c r="AW156" s="59"/>
      <c r="AX156" s="59"/>
      <c r="AY156" s="59"/>
      <c r="AZ156" s="59"/>
      <c r="BA156" s="59"/>
    </row>
    <row r="157" ht="36" customHeight="1">
      <c r="A157" s="19"/>
      <c r="B157" s="120"/>
      <c r="C157" s="21"/>
      <c r="D157" s="22"/>
      <c r="E157" s="22"/>
      <c r="F157" s="22"/>
      <c r="G157" s="22"/>
      <c r="H157" s="211"/>
      <c r="I157" s="211"/>
      <c r="J157" t="s" s="209">
        <v>357</v>
      </c>
      <c r="K157" s="203">
        <v>0.027</v>
      </c>
      <c r="L157" s="202">
        <f>42500/46.49</f>
        <v>914.175091417509</v>
      </c>
      <c r="M157" s="187">
        <v>402</v>
      </c>
      <c r="N157" s="202">
        <f t="shared" si="91"/>
        <v>96.79500967950101</v>
      </c>
      <c r="O157" s="187">
        <v>43</v>
      </c>
      <c r="P157" t="s" s="182">
        <v>2552</v>
      </c>
      <c r="Q157" s="208">
        <v>2</v>
      </c>
      <c r="R157" s="22"/>
      <c r="S157" t="s" s="954">
        <v>2551</v>
      </c>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59"/>
      <c r="AV157" s="59"/>
      <c r="AW157" s="59"/>
      <c r="AX157" s="59"/>
      <c r="AY157" s="59"/>
      <c r="AZ157" s="59"/>
      <c r="BA157" s="59"/>
    </row>
    <row r="158" ht="24" customHeight="1">
      <c r="A158" s="19"/>
      <c r="B158" s="120"/>
      <c r="C158" s="21"/>
      <c r="D158" s="22"/>
      <c r="E158" s="22"/>
      <c r="F158" s="22"/>
      <c r="G158" s="22"/>
      <c r="H158" s="211"/>
      <c r="I158" s="22"/>
      <c r="J158" t="s" s="209">
        <v>337</v>
      </c>
      <c r="K158" s="203">
        <v>0.376</v>
      </c>
      <c r="L158" s="210">
        <f>40000/46.49</f>
        <v>860.400086040009</v>
      </c>
      <c r="M158" s="212">
        <v>378</v>
      </c>
      <c r="N158" s="202">
        <f t="shared" si="91"/>
        <v>96.79500967950101</v>
      </c>
      <c r="O158" s="187">
        <v>43</v>
      </c>
      <c r="P158" t="s" s="182">
        <v>2552</v>
      </c>
      <c r="Q158" s="208">
        <v>2</v>
      </c>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59"/>
      <c r="AV158" s="59"/>
      <c r="AW158" s="59"/>
      <c r="AX158" s="59"/>
      <c r="AY158" s="59"/>
      <c r="AZ158" s="59"/>
      <c r="BA158" s="59"/>
    </row>
    <row r="159" ht="28.5" customHeight="1">
      <c r="A159" s="19"/>
      <c r="B159" s="120"/>
      <c r="C159" s="21"/>
      <c r="D159" s="22"/>
      <c r="E159" s="22"/>
      <c r="F159" s="22"/>
      <c r="G159" s="22"/>
      <c r="H159" s="211"/>
      <c r="I159" s="22"/>
      <c r="J159" t="s" s="209">
        <v>210</v>
      </c>
      <c r="K159" s="22"/>
      <c r="L159" s="210"/>
      <c r="M159" s="212"/>
      <c r="N159" s="210"/>
      <c r="O159" s="212"/>
      <c r="P159" s="208">
        <v>1</v>
      </c>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59"/>
      <c r="AV159" s="59"/>
      <c r="AW159" s="59"/>
      <c r="AX159" s="59"/>
      <c r="AY159" s="59"/>
      <c r="AZ159" s="59"/>
      <c r="BA159" s="59"/>
    </row>
    <row r="160" ht="120" customHeight="1">
      <c r="A160" s="19"/>
      <c r="B160" s="120"/>
      <c r="C160" s="21"/>
      <c r="D160" s="22"/>
      <c r="E160" s="22"/>
      <c r="F160" s="22"/>
      <c r="G160" s="22"/>
      <c r="H160" s="22"/>
      <c r="I160" s="22"/>
      <c r="J160" t="s" s="786">
        <v>2553</v>
      </c>
      <c r="K160" s="955">
        <v>0.012</v>
      </c>
      <c r="L160" s="210">
        <f>260000/46.49</f>
        <v>5592.600559260060</v>
      </c>
      <c r="M160" s="212"/>
      <c r="N160" s="202">
        <f t="shared" si="91"/>
        <v>96.79500967950101</v>
      </c>
      <c r="O160" s="187"/>
      <c r="P160" s="208">
        <v>2</v>
      </c>
      <c r="Q160" s="208">
        <v>1</v>
      </c>
      <c r="R160" t="s" s="243">
        <v>2554</v>
      </c>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59"/>
      <c r="AV160" s="59"/>
      <c r="AW160" s="59"/>
      <c r="AX160" s="59"/>
      <c r="AY160" s="59"/>
      <c r="AZ160" s="59"/>
      <c r="BA160" s="59"/>
    </row>
    <row r="161" ht="28.5" customHeight="1">
      <c r="A161" s="19"/>
      <c r="B161" s="120"/>
      <c r="C161" s="21"/>
      <c r="D161" s="22"/>
      <c r="E161" s="22"/>
      <c r="F161" s="22"/>
      <c r="G161" s="22"/>
      <c r="H161" s="22"/>
      <c r="I161" s="785"/>
      <c r="J161" t="s" s="497">
        <v>211</v>
      </c>
      <c r="K161" t="s" s="497">
        <v>197</v>
      </c>
      <c r="L161" s="21"/>
      <c r="M161" s="212"/>
      <c r="N161" s="22"/>
      <c r="O161" s="212"/>
      <c r="P161" s="22"/>
      <c r="Q161" s="22"/>
      <c r="R161" s="211"/>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59"/>
      <c r="AV161" s="59"/>
      <c r="AW161" s="59"/>
      <c r="AX161" s="59"/>
      <c r="AY161" s="59"/>
      <c r="AZ161" s="59"/>
      <c r="BA161" s="59"/>
    </row>
    <row r="162" ht="28.5" customHeight="1">
      <c r="A162" s="19"/>
      <c r="B162" s="120"/>
      <c r="C162" s="21"/>
      <c r="D162" s="22"/>
      <c r="E162" s="22"/>
      <c r="F162" s="22"/>
      <c r="G162" s="22"/>
      <c r="H162" s="22"/>
      <c r="I162" s="22"/>
      <c r="J162" s="787"/>
      <c r="K162" s="956"/>
      <c r="L162" s="22"/>
      <c r="M162" s="212"/>
      <c r="N162" s="22"/>
      <c r="O162" s="212"/>
      <c r="P162" s="22"/>
      <c r="Q162" s="22"/>
      <c r="R162" s="211"/>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59"/>
      <c r="AV162" s="59"/>
      <c r="AW162" s="59"/>
      <c r="AX162" s="59"/>
      <c r="AY162" s="59"/>
      <c r="AZ162" s="59"/>
      <c r="BA162" s="59"/>
    </row>
    <row r="163" ht="28.5" customHeight="1">
      <c r="A163" s="19"/>
      <c r="B163" s="120"/>
      <c r="C163" s="21"/>
      <c r="D163" s="22"/>
      <c r="E163" s="22"/>
      <c r="F163" s="22"/>
      <c r="G163" s="22"/>
      <c r="H163" s="22"/>
      <c r="I163" s="22"/>
      <c r="J163" s="22"/>
      <c r="K163" s="203"/>
      <c r="L163" s="22"/>
      <c r="M163" s="212"/>
      <c r="N163" s="22"/>
      <c r="O163" s="212"/>
      <c r="P163" s="22"/>
      <c r="Q163" s="22"/>
      <c r="R163" s="211"/>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59"/>
      <c r="AV163" s="59"/>
      <c r="AW163" s="59"/>
      <c r="AX163" s="59"/>
      <c r="AY163" s="59"/>
      <c r="AZ163" s="59"/>
      <c r="BA163" s="59"/>
    </row>
    <row r="164" ht="28.5" customHeight="1">
      <c r="A164" s="23"/>
      <c r="B164" s="114"/>
      <c r="C164" s="63"/>
      <c r="D164" s="64"/>
      <c r="E164" s="64"/>
      <c r="F164" s="64"/>
      <c r="G164" s="64"/>
      <c r="H164" s="64"/>
      <c r="I164" s="64"/>
      <c r="J164" s="64"/>
      <c r="K164" s="64"/>
      <c r="L164" s="64"/>
      <c r="M164" s="311"/>
      <c r="N164" s="64"/>
      <c r="O164" s="311"/>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59"/>
      <c r="AV164" s="59"/>
      <c r="AW164" s="59"/>
      <c r="AX164" s="59"/>
      <c r="AY164" s="59"/>
      <c r="AZ164" s="59"/>
      <c r="BA164" s="59"/>
    </row>
    <row r="165" ht="28.5" customHeight="1">
      <c r="A165" s="121"/>
      <c r="B165" s="122"/>
      <c r="C165" s="123"/>
      <c r="D165" s="123"/>
      <c r="E165" s="123"/>
      <c r="F165" s="123"/>
      <c r="G165" s="123"/>
      <c r="H165" s="123"/>
      <c r="I165" s="123"/>
      <c r="J165" s="123"/>
      <c r="K165" s="123"/>
      <c r="L165" s="123"/>
      <c r="M165" s="122"/>
      <c r="N165" s="123"/>
      <c r="O165" s="122"/>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59"/>
      <c r="AV165" s="59"/>
      <c r="AW165" s="59"/>
      <c r="AX165" s="59"/>
      <c r="AY165" s="59"/>
      <c r="AZ165" s="59"/>
      <c r="BA165" s="59"/>
    </row>
    <row r="166" ht="28.5" customHeight="1">
      <c r="A166" s="124"/>
      <c r="B166" s="125"/>
      <c r="C166" s="59"/>
      <c r="D166" s="59"/>
      <c r="E166" s="59"/>
      <c r="F166" s="59"/>
      <c r="G166" s="59"/>
      <c r="H166" s="59"/>
      <c r="I166" s="59"/>
      <c r="J166" s="59"/>
      <c r="K166" s="59"/>
      <c r="L166" s="59"/>
      <c r="M166" s="125"/>
      <c r="N166" s="59"/>
      <c r="O166" s="125"/>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row>
    <row r="167" ht="28.5" customHeight="1">
      <c r="A167" s="124"/>
      <c r="B167" s="125"/>
      <c r="C167" s="59"/>
      <c r="D167" s="59"/>
      <c r="E167" s="59"/>
      <c r="F167" s="59"/>
      <c r="G167" s="59"/>
      <c r="H167" s="59"/>
      <c r="I167" s="59"/>
      <c r="J167" s="59"/>
      <c r="K167" s="59"/>
      <c r="L167" s="59"/>
      <c r="M167" s="125"/>
      <c r="N167" s="59"/>
      <c r="O167" s="125"/>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row>
    <row r="168" ht="28.5" customHeight="1">
      <c r="A168" s="124"/>
      <c r="B168" s="125"/>
      <c r="C168" s="59"/>
      <c r="D168" s="59"/>
      <c r="E168" s="59"/>
      <c r="F168" s="59"/>
      <c r="G168" s="59"/>
      <c r="H168" s="59"/>
      <c r="I168" s="59"/>
      <c r="J168" s="59"/>
      <c r="K168" s="59"/>
      <c r="L168" s="59"/>
      <c r="M168" s="125"/>
      <c r="N168" s="59"/>
      <c r="O168" s="125"/>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row>
    <row r="169" ht="28.5" customHeight="1">
      <c r="A169" s="124"/>
      <c r="B169" s="125"/>
      <c r="C169" s="59"/>
      <c r="D169" s="59"/>
      <c r="E169" s="59"/>
      <c r="F169" s="59"/>
      <c r="G169" s="59"/>
      <c r="H169" s="59"/>
      <c r="I169" s="59"/>
      <c r="J169" s="59"/>
      <c r="K169" s="59"/>
      <c r="L169" s="59"/>
      <c r="M169" s="125"/>
      <c r="N169" s="59"/>
      <c r="O169" s="125"/>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row>
    <row r="170" ht="28.5" customHeight="1">
      <c r="A170" s="124"/>
      <c r="B170" s="125"/>
      <c r="C170" s="59"/>
      <c r="D170" s="59"/>
      <c r="E170" s="59"/>
      <c r="F170" s="59"/>
      <c r="G170" s="59"/>
      <c r="H170" s="59"/>
      <c r="I170" s="59"/>
      <c r="J170" s="59"/>
      <c r="K170" s="59"/>
      <c r="L170" s="59"/>
      <c r="M170" s="125"/>
      <c r="N170" s="59"/>
      <c r="O170" s="125"/>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row>
    <row r="171" ht="28.5" customHeight="1">
      <c r="A171" s="124"/>
      <c r="B171" s="125"/>
      <c r="C171" s="59"/>
      <c r="D171" s="59"/>
      <c r="E171" s="59"/>
      <c r="F171" s="59"/>
      <c r="G171" s="59"/>
      <c r="H171" s="59"/>
      <c r="I171" s="59"/>
      <c r="J171" s="59"/>
      <c r="K171" s="59"/>
      <c r="L171" s="59"/>
      <c r="M171" s="125"/>
      <c r="N171" s="59"/>
      <c r="O171" s="125"/>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row>
    <row r="172" ht="28.5" customHeight="1">
      <c r="A172" s="124"/>
      <c r="B172" s="125"/>
      <c r="C172" s="59"/>
      <c r="D172" s="59"/>
      <c r="E172" s="59"/>
      <c r="F172" s="59"/>
      <c r="G172" s="59"/>
      <c r="H172" s="59"/>
      <c r="I172" s="59"/>
      <c r="J172" s="59"/>
      <c r="K172" s="59"/>
      <c r="L172" s="59"/>
      <c r="M172" s="125"/>
      <c r="N172" s="59"/>
      <c r="O172" s="125"/>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row>
    <row r="173" ht="28.5" customHeight="1">
      <c r="A173" s="124"/>
      <c r="B173" s="125"/>
      <c r="C173" s="59"/>
      <c r="D173" s="59"/>
      <c r="E173" s="59"/>
      <c r="F173" s="59"/>
      <c r="G173" s="59"/>
      <c r="H173" s="59"/>
      <c r="I173" s="59"/>
      <c r="J173" s="59"/>
      <c r="K173" s="59"/>
      <c r="L173" s="59"/>
      <c r="M173" s="125"/>
      <c r="N173" s="59"/>
      <c r="O173" s="125"/>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row>
    <row r="174" ht="28.5" customHeight="1">
      <c r="A174" s="124"/>
      <c r="B174" s="125"/>
      <c r="C174" s="59"/>
      <c r="D174" s="59"/>
      <c r="E174" s="59"/>
      <c r="F174" s="59"/>
      <c r="G174" s="59"/>
      <c r="H174" s="59"/>
      <c r="I174" s="59"/>
      <c r="J174" s="59"/>
      <c r="K174" s="59"/>
      <c r="L174" s="59"/>
      <c r="M174" s="125"/>
      <c r="N174" s="59"/>
      <c r="O174" s="125"/>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row>
    <row r="175" ht="28.5" customHeight="1">
      <c r="A175" s="124"/>
      <c r="B175" s="125"/>
      <c r="C175" s="59"/>
      <c r="D175" s="59"/>
      <c r="E175" s="59"/>
      <c r="F175" s="59"/>
      <c r="G175" s="59"/>
      <c r="H175" s="59"/>
      <c r="I175" s="59"/>
      <c r="J175" s="59"/>
      <c r="K175" s="59"/>
      <c r="L175" s="59"/>
      <c r="M175" s="125"/>
      <c r="N175" s="59"/>
      <c r="O175" s="125"/>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row>
    <row r="176" ht="28.5" customHeight="1">
      <c r="A176" s="124"/>
      <c r="B176" s="125"/>
      <c r="C176" s="59"/>
      <c r="D176" s="59"/>
      <c r="E176" s="59"/>
      <c r="F176" s="59"/>
      <c r="G176" s="59"/>
      <c r="H176" s="59"/>
      <c r="I176" s="59"/>
      <c r="J176" s="59"/>
      <c r="K176" s="59"/>
      <c r="L176" s="59"/>
      <c r="M176" s="125"/>
      <c r="N176" s="59"/>
      <c r="O176" s="125"/>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row>
    <row r="177" ht="28.5" customHeight="1">
      <c r="A177" s="124"/>
      <c r="B177" s="125"/>
      <c r="C177" s="59"/>
      <c r="D177" s="59"/>
      <c r="E177" s="59"/>
      <c r="F177" s="59"/>
      <c r="G177" s="59"/>
      <c r="H177" s="59"/>
      <c r="I177" s="59"/>
      <c r="J177" s="59"/>
      <c r="K177" s="59"/>
      <c r="L177" s="59"/>
      <c r="M177" s="125"/>
      <c r="N177" s="59"/>
      <c r="O177" s="125"/>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row>
    <row r="178" ht="28.5" customHeight="1">
      <c r="A178" s="124"/>
      <c r="B178" s="125"/>
      <c r="C178" s="59"/>
      <c r="D178" s="59"/>
      <c r="E178" s="59"/>
      <c r="F178" s="59"/>
      <c r="G178" s="59"/>
      <c r="H178" s="59"/>
      <c r="I178" s="59"/>
      <c r="J178" s="59"/>
      <c r="K178" s="59"/>
      <c r="L178" s="59"/>
      <c r="M178" s="125"/>
      <c r="N178" s="59"/>
      <c r="O178" s="125"/>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row>
    <row r="179" ht="28.5" customHeight="1">
      <c r="A179" s="124"/>
      <c r="B179" s="125"/>
      <c r="C179" s="59"/>
      <c r="D179" s="59"/>
      <c r="E179" s="59"/>
      <c r="F179" s="59"/>
      <c r="G179" s="59"/>
      <c r="H179" s="59"/>
      <c r="I179" s="59"/>
      <c r="J179" s="59"/>
      <c r="K179" s="59"/>
      <c r="L179" s="59"/>
      <c r="M179" s="125"/>
      <c r="N179" s="59"/>
      <c r="O179" s="125"/>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row>
    <row r="180" ht="28.5" customHeight="1">
      <c r="A180" s="124"/>
      <c r="B180" s="125"/>
      <c r="C180" s="59"/>
      <c r="D180" s="59"/>
      <c r="E180" s="59"/>
      <c r="F180" s="59"/>
      <c r="G180" s="59"/>
      <c r="H180" s="59"/>
      <c r="I180" s="59"/>
      <c r="J180" s="59"/>
      <c r="K180" s="59"/>
      <c r="L180" s="59"/>
      <c r="M180" s="125"/>
      <c r="N180" s="59"/>
      <c r="O180" s="125"/>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row>
    <row r="181" ht="28.5" customHeight="1">
      <c r="A181" s="124"/>
      <c r="B181" s="125"/>
      <c r="C181" s="59"/>
      <c r="D181" s="59"/>
      <c r="E181" s="59"/>
      <c r="F181" s="59"/>
      <c r="G181" s="59"/>
      <c r="H181" s="59"/>
      <c r="I181" s="59"/>
      <c r="J181" s="59"/>
      <c r="K181" s="59"/>
      <c r="L181" s="59"/>
      <c r="M181" s="125"/>
      <c r="N181" s="59"/>
      <c r="O181" s="125"/>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row>
  </sheetData>
  <mergeCells count="112">
    <mergeCell ref="M3:M4"/>
    <mergeCell ref="O3:O4"/>
    <mergeCell ref="O147:O149"/>
    <mergeCell ref="B119:B125"/>
    <mergeCell ref="A127:A137"/>
    <mergeCell ref="A138:A143"/>
    <mergeCell ref="A153:A158"/>
    <mergeCell ref="C2:E2"/>
    <mergeCell ref="F2:G2"/>
    <mergeCell ref="A56:A58"/>
    <mergeCell ref="A70:A80"/>
    <mergeCell ref="A81:A82"/>
    <mergeCell ref="A90:A92"/>
    <mergeCell ref="A110:A118"/>
    <mergeCell ref="A119:A125"/>
    <mergeCell ref="B2:B4"/>
    <mergeCell ref="A5:A12"/>
    <mergeCell ref="A13:A18"/>
    <mergeCell ref="A19:A42"/>
    <mergeCell ref="A43:A47"/>
    <mergeCell ref="A48:A55"/>
    <mergeCell ref="L3:L4"/>
    <mergeCell ref="N3:N4"/>
    <mergeCell ref="I56:I58"/>
    <mergeCell ref="P3:P4"/>
    <mergeCell ref="Q3:Q4"/>
    <mergeCell ref="R3:R4"/>
    <mergeCell ref="S3:S4"/>
    <mergeCell ref="AO2:AT2"/>
    <mergeCell ref="C3:C4"/>
    <mergeCell ref="D3:D4"/>
    <mergeCell ref="E3:E4"/>
    <mergeCell ref="F3:F4"/>
    <mergeCell ref="G3:G4"/>
    <mergeCell ref="H3:H4"/>
    <mergeCell ref="I3:I4"/>
    <mergeCell ref="J3:J4"/>
    <mergeCell ref="K3:K4"/>
    <mergeCell ref="H2:I2"/>
    <mergeCell ref="J2:S2"/>
    <mergeCell ref="T2:U2"/>
    <mergeCell ref="X2:AE2"/>
    <mergeCell ref="AF2:AL2"/>
    <mergeCell ref="AM2:AN2"/>
    <mergeCell ref="AL3:AL4"/>
    <mergeCell ref="AM3:AM4"/>
    <mergeCell ref="AN3:AN4"/>
    <mergeCell ref="AO3:AO4"/>
    <mergeCell ref="AP3:AT3"/>
    <mergeCell ref="T5:U5"/>
    <mergeCell ref="AF3:AF4"/>
    <mergeCell ref="AG3:AG4"/>
    <mergeCell ref="AH3:AH4"/>
    <mergeCell ref="AI3:AI4"/>
    <mergeCell ref="AJ3:AJ4"/>
    <mergeCell ref="AK3:AK4"/>
    <mergeCell ref="Z3:Z4"/>
    <mergeCell ref="AA3:AA4"/>
    <mergeCell ref="AB3:AB4"/>
    <mergeCell ref="AC3:AC4"/>
    <mergeCell ref="AD3:AD4"/>
    <mergeCell ref="AE3:AE4"/>
    <mergeCell ref="T3:T4"/>
    <mergeCell ref="U3:U4"/>
    <mergeCell ref="V3:V4"/>
    <mergeCell ref="W3:W4"/>
    <mergeCell ref="X3:X4"/>
    <mergeCell ref="Y3:Y4"/>
    <mergeCell ref="Z56:Z59"/>
    <mergeCell ref="AH60:AL67"/>
    <mergeCell ref="H70:H71"/>
    <mergeCell ref="I70:I71"/>
    <mergeCell ref="Z70:Z71"/>
    <mergeCell ref="Z13:Z14"/>
    <mergeCell ref="AR13:AR14"/>
    <mergeCell ref="Z19:Z23"/>
    <mergeCell ref="AB19:AB20"/>
    <mergeCell ref="J43:J44"/>
    <mergeCell ref="H48:H50"/>
    <mergeCell ref="I48:I54"/>
    <mergeCell ref="J48:J49"/>
    <mergeCell ref="Z48:Z50"/>
    <mergeCell ref="AJ48:AJ50"/>
    <mergeCell ref="AR19:AR27"/>
    <mergeCell ref="AR103:AR106"/>
    <mergeCell ref="H110:H112"/>
    <mergeCell ref="I110:I118"/>
    <mergeCell ref="T110:U110"/>
    <mergeCell ref="AD113:AH113"/>
    <mergeCell ref="Z119:Z120"/>
    <mergeCell ref="H81:H83"/>
    <mergeCell ref="I81:I86"/>
    <mergeCell ref="R81:R83"/>
    <mergeCell ref="Z81:Z82"/>
    <mergeCell ref="H90:H97"/>
    <mergeCell ref="H102:H106"/>
    <mergeCell ref="I102:I107"/>
    <mergeCell ref="Z102:Z105"/>
    <mergeCell ref="AR138:AR139"/>
    <mergeCell ref="H153:H159"/>
    <mergeCell ref="I153:I157"/>
    <mergeCell ref="R153:R154"/>
    <mergeCell ref="Z153:Z155"/>
    <mergeCell ref="H127:H128"/>
    <mergeCell ref="R127:R129"/>
    <mergeCell ref="Z127:Z132"/>
    <mergeCell ref="AF127:AL128"/>
    <mergeCell ref="Z138:Z139"/>
    <mergeCell ref="H145:H146"/>
    <mergeCell ref="I145:I152"/>
    <mergeCell ref="Z145:Z148"/>
    <mergeCell ref="N147:N149"/>
  </mergeCells>
  <hyperlinks>
    <hyperlink ref="T81" r:id="rId1" location="" tooltip="" display="www.punecorporation.org"/>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2"/>
  <legacyDrawing r:id="rId3"/>
</worksheet>
</file>

<file path=xl/worksheets/sheet8.xml><?xml version="1.0" encoding="utf-8"?>
<worksheet xmlns:r="http://schemas.openxmlformats.org/officeDocument/2006/relationships" xmlns="http://schemas.openxmlformats.org/spreadsheetml/2006/main">
  <dimension ref="A1:R178"/>
  <sheetViews>
    <sheetView workbookViewId="0" showGridLines="0" defaultGridColor="1"/>
  </sheetViews>
  <sheetFormatPr defaultColWidth="8.83333" defaultRowHeight="28.5" customHeight="1" outlineLevelRow="0" outlineLevelCol="0"/>
  <cols>
    <col min="1" max="1" width="6.35156" style="957" customWidth="1"/>
    <col min="2" max="3" width="13.5" style="957" customWidth="1"/>
    <col min="4" max="4" width="13.3516" style="957" customWidth="1"/>
    <col min="5" max="5" width="26.5" style="957" customWidth="1"/>
    <col min="6" max="6" width="12.5" style="957" customWidth="1"/>
    <col min="7" max="7" width="8.17188" style="957" customWidth="1"/>
    <col min="8" max="8" width="14.1719" style="957" customWidth="1"/>
    <col min="9" max="9" width="12.5" style="957" customWidth="1"/>
    <col min="10" max="10" width="18.6719" style="957" customWidth="1"/>
    <col min="11" max="11" width="11" style="957" customWidth="1"/>
    <col min="12" max="12" width="8.85156" style="957" customWidth="1"/>
    <col min="13" max="13" width="17.5" style="957" customWidth="1"/>
    <col min="14" max="14" width="12" style="957" customWidth="1"/>
    <col min="15" max="15" width="27" style="957" customWidth="1"/>
    <col min="16" max="16" width="26.5" style="957" customWidth="1"/>
    <col min="17" max="17" width="27.8516" style="957" customWidth="1"/>
    <col min="18" max="18" width="29.3516" style="957" customWidth="1"/>
    <col min="19" max="16384" width="8.85156" style="957" customWidth="1"/>
  </cols>
  <sheetData>
    <row r="1" ht="27" customHeight="1">
      <c r="A1" s="2"/>
      <c r="B1" s="3"/>
      <c r="C1" t="s" s="520">
        <v>2555</v>
      </c>
      <c r="D1" t="s" s="520">
        <v>2556</v>
      </c>
      <c r="E1" t="s" s="520">
        <v>2557</v>
      </c>
      <c r="F1" t="s" s="520">
        <v>2558</v>
      </c>
      <c r="G1" s="133"/>
      <c r="H1" t="s" s="520">
        <v>2559</v>
      </c>
      <c r="I1" t="s" s="520">
        <v>2560</v>
      </c>
      <c r="J1" t="s" s="520">
        <v>2561</v>
      </c>
      <c r="K1" t="s" s="520">
        <v>2562</v>
      </c>
      <c r="L1" t="s" s="520">
        <v>2563</v>
      </c>
      <c r="M1" t="s" s="520">
        <v>2564</v>
      </c>
      <c r="N1" t="s" s="520">
        <v>2565</v>
      </c>
      <c r="O1" t="s" s="520">
        <v>2566</v>
      </c>
      <c r="P1" t="s" s="520">
        <v>2567</v>
      </c>
      <c r="Q1" t="s" s="520">
        <v>2568</v>
      </c>
      <c r="R1" t="s" s="520">
        <v>2569</v>
      </c>
    </row>
    <row r="2" ht="27" customHeight="1">
      <c r="A2" s="6"/>
      <c r="B2" t="s" s="7">
        <v>2</v>
      </c>
      <c r="C2" t="s" s="142">
        <v>2570</v>
      </c>
      <c r="D2" s="143"/>
      <c r="E2" s="143"/>
      <c r="F2" s="143"/>
      <c r="G2" s="143"/>
      <c r="H2" s="143"/>
      <c r="I2" s="143"/>
      <c r="J2" s="143"/>
      <c r="K2" s="143"/>
      <c r="L2" s="143"/>
      <c r="M2" s="143"/>
      <c r="N2" s="143"/>
      <c r="O2" s="143"/>
      <c r="P2" s="143"/>
      <c r="Q2" s="143"/>
      <c r="R2" s="144"/>
    </row>
    <row r="3" ht="27" customHeight="1">
      <c r="A3" s="6"/>
      <c r="B3" s="10"/>
      <c r="C3" t="s" s="7">
        <v>2571</v>
      </c>
      <c r="D3" t="s" s="7">
        <v>2572</v>
      </c>
      <c r="E3" t="s" s="7">
        <v>2573</v>
      </c>
      <c r="F3" t="s" s="158">
        <v>2574</v>
      </c>
      <c r="G3" s="163"/>
      <c r="H3" t="s" s="7">
        <v>2575</v>
      </c>
      <c r="I3" t="s" s="7">
        <v>2576</v>
      </c>
      <c r="J3" t="s" s="152">
        <v>2577</v>
      </c>
      <c r="K3" t="s" s="152">
        <v>2578</v>
      </c>
      <c r="L3" t="s" s="152">
        <v>2579</v>
      </c>
      <c r="M3" t="s" s="152">
        <v>2580</v>
      </c>
      <c r="N3" t="s" s="152">
        <v>2581</v>
      </c>
      <c r="O3" t="s" s="152">
        <v>2582</v>
      </c>
      <c r="P3" t="s" s="152">
        <v>2583</v>
      </c>
      <c r="Q3" t="s" s="152">
        <v>2584</v>
      </c>
      <c r="R3" t="s" s="152">
        <v>2585</v>
      </c>
    </row>
    <row r="4" ht="27" customHeight="1">
      <c r="A4" s="13"/>
      <c r="B4" s="10"/>
      <c r="C4" s="10"/>
      <c r="D4" s="10"/>
      <c r="E4" s="10"/>
      <c r="F4" s="163"/>
      <c r="G4" s="163"/>
      <c r="H4" s="10"/>
      <c r="I4" s="10"/>
      <c r="J4" s="160"/>
      <c r="K4" s="160"/>
      <c r="L4" s="160"/>
      <c r="M4" s="160"/>
      <c r="N4" s="160"/>
      <c r="O4" s="160"/>
      <c r="P4" s="160"/>
      <c r="Q4" s="160"/>
      <c r="R4" s="160"/>
    </row>
    <row r="5" ht="48" customHeight="1">
      <c r="A5" s="15">
        <v>1</v>
      </c>
      <c r="B5" t="s" s="16">
        <v>6</v>
      </c>
      <c r="C5" s="625">
        <v>1</v>
      </c>
      <c r="D5" t="s" s="170">
        <v>2586</v>
      </c>
      <c r="E5" t="s" s="170">
        <v>2587</v>
      </c>
      <c r="F5" t="s" s="171">
        <v>2588</v>
      </c>
      <c r="G5" s="168"/>
      <c r="H5" t="s" s="170">
        <v>2589</v>
      </c>
      <c r="I5" t="s" s="171">
        <v>2590</v>
      </c>
      <c r="J5" t="s" s="170">
        <v>2591</v>
      </c>
      <c r="K5" t="s" s="171">
        <v>2592</v>
      </c>
      <c r="L5" s="166">
        <v>2</v>
      </c>
      <c r="M5" s="169"/>
      <c r="N5" s="169"/>
      <c r="O5" s="169"/>
      <c r="P5" t="s" s="170">
        <v>2593</v>
      </c>
      <c r="Q5" t="s" s="170">
        <v>2594</v>
      </c>
      <c r="R5" t="s" s="171">
        <v>2595</v>
      </c>
    </row>
    <row r="6" ht="15" customHeight="1">
      <c r="A6" s="19"/>
      <c r="B6" s="20"/>
      <c r="C6" s="21"/>
      <c r="D6" s="211"/>
      <c r="E6" s="211"/>
      <c r="F6" s="22"/>
      <c r="G6" s="22"/>
      <c r="H6" s="211"/>
      <c r="I6" s="22"/>
      <c r="J6" s="211"/>
      <c r="K6" s="22"/>
      <c r="L6" s="22"/>
      <c r="M6" s="22"/>
      <c r="N6" s="22"/>
      <c r="O6" s="22"/>
      <c r="P6" s="211"/>
      <c r="Q6" s="211"/>
      <c r="R6" s="22"/>
    </row>
    <row r="7" ht="15" customHeight="1">
      <c r="A7" s="19"/>
      <c r="B7" s="20"/>
      <c r="C7" s="21"/>
      <c r="D7" s="211"/>
      <c r="E7" s="22"/>
      <c r="F7" s="22"/>
      <c r="G7" s="22"/>
      <c r="H7" s="22"/>
      <c r="I7" s="22"/>
      <c r="J7" s="211"/>
      <c r="K7" s="22"/>
      <c r="L7" s="22"/>
      <c r="M7" s="22"/>
      <c r="N7" s="22"/>
      <c r="O7" s="22"/>
      <c r="P7" s="211"/>
      <c r="Q7" s="211"/>
      <c r="R7" s="22"/>
    </row>
    <row r="8" ht="15" customHeight="1">
      <c r="A8" s="19"/>
      <c r="B8" s="20"/>
      <c r="C8" s="21"/>
      <c r="D8" s="22"/>
      <c r="E8" s="22"/>
      <c r="F8" s="22"/>
      <c r="G8" s="22"/>
      <c r="H8" s="22"/>
      <c r="I8" s="22"/>
      <c r="J8" s="22"/>
      <c r="K8" s="22"/>
      <c r="L8" s="22"/>
      <c r="M8" s="22"/>
      <c r="N8" s="22"/>
      <c r="O8" s="22"/>
      <c r="P8" s="211"/>
      <c r="Q8" s="211"/>
      <c r="R8" s="22"/>
    </row>
    <row r="9" ht="15" customHeight="1">
      <c r="A9" s="19"/>
      <c r="B9" s="20"/>
      <c r="C9" s="21"/>
      <c r="D9" s="22"/>
      <c r="E9" s="22"/>
      <c r="F9" s="22"/>
      <c r="G9" s="22"/>
      <c r="H9" s="22"/>
      <c r="I9" s="22"/>
      <c r="J9" s="22"/>
      <c r="K9" s="22"/>
      <c r="L9" s="22"/>
      <c r="M9" s="22"/>
      <c r="N9" s="22"/>
      <c r="O9" s="22"/>
      <c r="P9" s="22"/>
      <c r="Q9" s="22"/>
      <c r="R9" s="22"/>
    </row>
    <row r="10" ht="15" customHeight="1">
      <c r="A10" s="19"/>
      <c r="B10" s="20"/>
      <c r="C10" s="21"/>
      <c r="D10" s="22"/>
      <c r="E10" s="22"/>
      <c r="F10" s="22"/>
      <c r="G10" s="22"/>
      <c r="H10" s="22"/>
      <c r="I10" s="22"/>
      <c r="J10" s="22"/>
      <c r="K10" s="22"/>
      <c r="L10" s="22"/>
      <c r="M10" s="22"/>
      <c r="N10" s="22"/>
      <c r="O10" s="22"/>
      <c r="P10" s="22"/>
      <c r="Q10" s="22"/>
      <c r="R10" s="22"/>
    </row>
    <row r="11" ht="15" customHeight="1">
      <c r="A11" s="19"/>
      <c r="B11" s="20"/>
      <c r="C11" s="21"/>
      <c r="D11" s="22"/>
      <c r="E11" s="22"/>
      <c r="F11" s="22"/>
      <c r="G11" s="22"/>
      <c r="H11" s="22"/>
      <c r="I11" s="22"/>
      <c r="J11" s="22"/>
      <c r="K11" s="22"/>
      <c r="L11" s="22"/>
      <c r="M11" s="22"/>
      <c r="N11" s="22"/>
      <c r="O11" s="22"/>
      <c r="P11" s="22"/>
      <c r="Q11" s="22"/>
      <c r="R11" s="22"/>
    </row>
    <row r="12" ht="15" customHeight="1">
      <c r="A12" s="23"/>
      <c r="B12" s="24"/>
      <c r="C12" s="25"/>
      <c r="D12" s="26"/>
      <c r="E12" s="26"/>
      <c r="F12" s="26"/>
      <c r="G12" s="26"/>
      <c r="H12" s="26"/>
      <c r="I12" s="26"/>
      <c r="J12" s="26"/>
      <c r="K12" s="26"/>
      <c r="L12" s="26"/>
      <c r="M12" s="26"/>
      <c r="N12" s="26"/>
      <c r="O12" s="26"/>
      <c r="P12" s="26"/>
      <c r="Q12" s="26"/>
      <c r="R12" s="26"/>
    </row>
    <row r="13" ht="24" customHeight="1">
      <c r="A13" s="27">
        <v>2</v>
      </c>
      <c r="B13" t="s" s="28">
        <v>10</v>
      </c>
      <c r="C13" s="620">
        <v>1</v>
      </c>
      <c r="D13" t="s" s="171">
        <v>2596</v>
      </c>
      <c r="E13" t="s" s="170">
        <v>2597</v>
      </c>
      <c r="F13" s="172">
        <f>20/3.44</f>
        <v>5.81395348837209</v>
      </c>
      <c r="G13" t="s" s="171">
        <v>215</v>
      </c>
      <c r="H13" t="s" s="171">
        <v>2598</v>
      </c>
      <c r="I13" s="167">
        <v>0</v>
      </c>
      <c r="J13" t="s" s="171">
        <v>2599</v>
      </c>
      <c r="K13" t="s" s="171">
        <v>218</v>
      </c>
      <c r="L13" s="167">
        <v>2</v>
      </c>
      <c r="M13" t="s" s="171">
        <v>223</v>
      </c>
      <c r="N13" t="s" s="171">
        <v>223</v>
      </c>
      <c r="O13" t="s" s="171">
        <v>223</v>
      </c>
      <c r="P13" t="s" s="171">
        <v>223</v>
      </c>
      <c r="Q13" t="s" s="170">
        <v>2600</v>
      </c>
      <c r="R13" t="s" s="170">
        <v>2601</v>
      </c>
    </row>
    <row r="14" ht="15" customHeight="1">
      <c r="A14" s="31"/>
      <c r="B14" s="32"/>
      <c r="C14" s="33"/>
      <c r="D14" s="34"/>
      <c r="E14" s="211"/>
      <c r="F14" s="34"/>
      <c r="G14" s="34"/>
      <c r="H14" s="34"/>
      <c r="I14" s="34"/>
      <c r="J14" t="s" s="182">
        <v>2602</v>
      </c>
      <c r="K14" s="34"/>
      <c r="L14" s="34"/>
      <c r="M14" s="34"/>
      <c r="N14" s="34"/>
      <c r="O14" s="34"/>
      <c r="P14" s="34"/>
      <c r="Q14" s="211"/>
      <c r="R14" s="211"/>
    </row>
    <row r="15" ht="15" customHeight="1">
      <c r="A15" s="31"/>
      <c r="B15" s="32"/>
      <c r="C15" s="33"/>
      <c r="D15" s="34"/>
      <c r="E15" s="211"/>
      <c r="F15" s="34"/>
      <c r="G15" s="34"/>
      <c r="H15" s="34"/>
      <c r="I15" s="34"/>
      <c r="J15" s="34"/>
      <c r="K15" s="34"/>
      <c r="L15" s="34"/>
      <c r="M15" s="34"/>
      <c r="N15" s="34"/>
      <c r="O15" s="34"/>
      <c r="P15" s="34"/>
      <c r="Q15" s="211"/>
      <c r="R15" s="211"/>
    </row>
    <row r="16" ht="15" customHeight="1">
      <c r="A16" s="31"/>
      <c r="B16" s="32"/>
      <c r="C16" s="33"/>
      <c r="D16" s="34"/>
      <c r="E16" s="211"/>
      <c r="F16" s="34"/>
      <c r="G16" s="34"/>
      <c r="H16" s="34"/>
      <c r="I16" s="34"/>
      <c r="J16" s="34"/>
      <c r="K16" s="34"/>
      <c r="L16" s="34"/>
      <c r="M16" s="34"/>
      <c r="N16" s="34"/>
      <c r="O16" s="34"/>
      <c r="P16" s="34"/>
      <c r="Q16" s="211"/>
      <c r="R16" s="211"/>
    </row>
    <row r="17" ht="15" customHeight="1">
      <c r="A17" s="31"/>
      <c r="B17" s="32"/>
      <c r="C17" s="33"/>
      <c r="D17" s="34"/>
      <c r="E17" s="211"/>
      <c r="F17" s="34"/>
      <c r="G17" s="34"/>
      <c r="H17" s="34"/>
      <c r="I17" s="34"/>
      <c r="J17" s="34"/>
      <c r="K17" s="34"/>
      <c r="L17" s="34"/>
      <c r="M17" s="34"/>
      <c r="N17" s="34"/>
      <c r="O17" s="34"/>
      <c r="P17" s="34"/>
      <c r="Q17" s="211"/>
      <c r="R17" s="211"/>
    </row>
    <row r="18" ht="15" customHeight="1">
      <c r="A18" s="35"/>
      <c r="B18" s="24"/>
      <c r="C18" s="25"/>
      <c r="D18" s="26"/>
      <c r="E18" s="26"/>
      <c r="F18" s="26"/>
      <c r="G18" s="26"/>
      <c r="H18" s="26"/>
      <c r="I18" s="26"/>
      <c r="J18" s="26"/>
      <c r="K18" s="26"/>
      <c r="L18" s="26"/>
      <c r="M18" s="26"/>
      <c r="N18" s="26"/>
      <c r="O18" s="26"/>
      <c r="P18" s="26"/>
      <c r="Q18" s="252"/>
      <c r="R18" s="252"/>
    </row>
    <row r="19" ht="96" customHeight="1">
      <c r="A19" s="15">
        <v>3</v>
      </c>
      <c r="B19" t="s" s="16">
        <v>12</v>
      </c>
      <c r="C19" s="625">
        <v>4</v>
      </c>
      <c r="D19" t="s" s="170">
        <v>2603</v>
      </c>
      <c r="E19" t="s" s="170">
        <v>2604</v>
      </c>
      <c r="F19" t="s" s="171">
        <v>2605</v>
      </c>
      <c r="G19" s="168"/>
      <c r="H19" t="s" s="171">
        <v>2606</v>
      </c>
      <c r="I19" s="167">
        <v>2</v>
      </c>
      <c r="J19" t="s" s="171">
        <v>2607</v>
      </c>
      <c r="K19" t="s" s="171">
        <v>2608</v>
      </c>
      <c r="L19" s="166">
        <v>1</v>
      </c>
      <c r="M19" t="s" s="171">
        <v>2609</v>
      </c>
      <c r="N19" t="s" s="171">
        <v>2610</v>
      </c>
      <c r="O19" t="s" s="171">
        <v>2611</v>
      </c>
      <c r="P19" t="s" s="170">
        <v>2612</v>
      </c>
      <c r="Q19" t="s" s="170">
        <v>2613</v>
      </c>
      <c r="R19" t="s" s="170">
        <v>2614</v>
      </c>
    </row>
    <row r="20" ht="15" customHeight="1">
      <c r="A20" s="19"/>
      <c r="B20" s="32"/>
      <c r="C20" s="21"/>
      <c r="D20" s="211"/>
      <c r="E20" s="211"/>
      <c r="F20" s="22"/>
      <c r="G20" s="22"/>
      <c r="H20" s="22"/>
      <c r="I20" s="22"/>
      <c r="J20" s="22"/>
      <c r="K20" s="22"/>
      <c r="L20" s="22"/>
      <c r="M20" s="22"/>
      <c r="N20" s="22"/>
      <c r="O20" s="22"/>
      <c r="P20" s="211"/>
      <c r="Q20" s="211"/>
      <c r="R20" s="211"/>
    </row>
    <row r="21" ht="15" customHeight="1">
      <c r="A21" s="19"/>
      <c r="B21" s="32"/>
      <c r="C21" s="21"/>
      <c r="D21" s="211"/>
      <c r="E21" s="211"/>
      <c r="F21" s="22"/>
      <c r="G21" s="22"/>
      <c r="H21" s="22"/>
      <c r="I21" s="22"/>
      <c r="J21" s="22"/>
      <c r="K21" s="22"/>
      <c r="L21" s="22"/>
      <c r="M21" s="22"/>
      <c r="N21" s="22"/>
      <c r="O21" s="22"/>
      <c r="P21" s="211"/>
      <c r="Q21" s="211"/>
      <c r="R21" s="211"/>
    </row>
    <row r="22" ht="15" customHeight="1">
      <c r="A22" s="19"/>
      <c r="B22" s="32"/>
      <c r="C22" s="21"/>
      <c r="D22" s="22"/>
      <c r="E22" s="22"/>
      <c r="F22" s="22"/>
      <c r="G22" s="22"/>
      <c r="H22" s="22"/>
      <c r="I22" s="22"/>
      <c r="J22" s="22"/>
      <c r="K22" s="22"/>
      <c r="L22" s="22"/>
      <c r="M22" s="22"/>
      <c r="N22" s="22"/>
      <c r="O22" s="22"/>
      <c r="P22" s="211"/>
      <c r="Q22" s="22"/>
      <c r="R22" s="211"/>
    </row>
    <row r="23" ht="15" customHeight="1">
      <c r="A23" s="19"/>
      <c r="B23" s="32"/>
      <c r="C23" s="21"/>
      <c r="D23" s="22"/>
      <c r="E23" s="22"/>
      <c r="F23" s="22"/>
      <c r="G23" s="22"/>
      <c r="H23" s="22"/>
      <c r="I23" s="22"/>
      <c r="J23" s="22"/>
      <c r="K23" s="22"/>
      <c r="L23" s="22"/>
      <c r="M23" s="22"/>
      <c r="N23" s="22"/>
      <c r="O23" s="22"/>
      <c r="P23" s="22"/>
      <c r="Q23" s="22"/>
      <c r="R23" s="22"/>
    </row>
    <row r="24" ht="15" customHeight="1">
      <c r="A24" s="19"/>
      <c r="B24" s="32"/>
      <c r="C24" s="21"/>
      <c r="D24" s="22"/>
      <c r="E24" s="22"/>
      <c r="F24" s="22"/>
      <c r="G24" s="22"/>
      <c r="H24" s="22"/>
      <c r="I24" s="22"/>
      <c r="J24" s="22"/>
      <c r="K24" s="22"/>
      <c r="L24" s="22"/>
      <c r="M24" s="22"/>
      <c r="N24" s="22"/>
      <c r="O24" s="22"/>
      <c r="P24" s="22"/>
      <c r="Q24" s="22"/>
      <c r="R24" s="22"/>
    </row>
    <row r="25" ht="15" customHeight="1">
      <c r="A25" s="19"/>
      <c r="B25" s="32"/>
      <c r="C25" s="21"/>
      <c r="D25" s="22"/>
      <c r="E25" s="22"/>
      <c r="F25" s="22"/>
      <c r="G25" s="22"/>
      <c r="H25" s="22"/>
      <c r="I25" s="22"/>
      <c r="J25" s="22"/>
      <c r="K25" s="22"/>
      <c r="L25" s="22"/>
      <c r="M25" s="22"/>
      <c r="N25" s="22"/>
      <c r="O25" s="22"/>
      <c r="P25" s="22"/>
      <c r="Q25" s="22"/>
      <c r="R25" s="22"/>
    </row>
    <row r="26" ht="15" customHeight="1">
      <c r="A26" s="19"/>
      <c r="B26" s="32"/>
      <c r="C26" s="21"/>
      <c r="D26" s="22"/>
      <c r="E26" s="22"/>
      <c r="F26" s="22"/>
      <c r="G26" s="22"/>
      <c r="H26" s="22"/>
      <c r="I26" s="22"/>
      <c r="J26" s="22"/>
      <c r="K26" s="22"/>
      <c r="L26" s="22"/>
      <c r="M26" s="22"/>
      <c r="N26" s="22"/>
      <c r="O26" s="22"/>
      <c r="P26" s="22"/>
      <c r="Q26" s="22"/>
      <c r="R26" s="22"/>
    </row>
    <row r="27" ht="15" customHeight="1">
      <c r="A27" s="19"/>
      <c r="B27" s="32"/>
      <c r="C27" s="21"/>
      <c r="D27" s="22"/>
      <c r="E27" s="22"/>
      <c r="F27" s="22"/>
      <c r="G27" s="22"/>
      <c r="H27" s="22"/>
      <c r="I27" s="22"/>
      <c r="J27" s="22"/>
      <c r="K27" s="22"/>
      <c r="L27" s="22"/>
      <c r="M27" s="22"/>
      <c r="N27" s="22"/>
      <c r="O27" s="22"/>
      <c r="P27" s="22"/>
      <c r="Q27" s="22"/>
      <c r="R27" s="22"/>
    </row>
    <row r="28" ht="15" customHeight="1">
      <c r="A28" s="19"/>
      <c r="B28" s="32"/>
      <c r="C28" s="21"/>
      <c r="D28" s="22"/>
      <c r="E28" s="22"/>
      <c r="F28" s="22"/>
      <c r="G28" s="22"/>
      <c r="H28" s="22"/>
      <c r="I28" s="22"/>
      <c r="J28" s="22"/>
      <c r="K28" s="22"/>
      <c r="L28" s="22"/>
      <c r="M28" s="22"/>
      <c r="N28" s="22"/>
      <c r="O28" s="22"/>
      <c r="P28" s="22"/>
      <c r="Q28" s="22"/>
      <c r="R28" s="22"/>
    </row>
    <row r="29" ht="15" customHeight="1">
      <c r="A29" s="19"/>
      <c r="B29" s="32"/>
      <c r="C29" s="21"/>
      <c r="D29" s="22"/>
      <c r="E29" s="22"/>
      <c r="F29" s="22"/>
      <c r="G29" s="22"/>
      <c r="H29" s="22"/>
      <c r="I29" s="22"/>
      <c r="J29" s="22"/>
      <c r="K29" s="22"/>
      <c r="L29" s="22"/>
      <c r="M29" s="22"/>
      <c r="N29" s="22"/>
      <c r="O29" s="22"/>
      <c r="P29" s="22"/>
      <c r="Q29" s="22"/>
      <c r="R29" s="22"/>
    </row>
    <row r="30" ht="15" customHeight="1">
      <c r="A30" s="19"/>
      <c r="B30" s="32"/>
      <c r="C30" s="21"/>
      <c r="D30" s="22"/>
      <c r="E30" s="22"/>
      <c r="F30" s="22"/>
      <c r="G30" s="22"/>
      <c r="H30" s="22"/>
      <c r="I30" s="22"/>
      <c r="J30" s="22"/>
      <c r="K30" s="22"/>
      <c r="L30" s="22"/>
      <c r="M30" s="22"/>
      <c r="N30" s="22"/>
      <c r="O30" s="22"/>
      <c r="P30" s="22"/>
      <c r="Q30" s="22"/>
      <c r="R30" s="22"/>
    </row>
    <row r="31" ht="15" customHeight="1">
      <c r="A31" s="19"/>
      <c r="B31" s="32"/>
      <c r="C31" s="21"/>
      <c r="D31" s="22"/>
      <c r="E31" s="22"/>
      <c r="F31" s="22"/>
      <c r="G31" s="22"/>
      <c r="H31" s="22"/>
      <c r="I31" s="22"/>
      <c r="J31" s="22"/>
      <c r="K31" s="22"/>
      <c r="L31" s="22"/>
      <c r="M31" s="22"/>
      <c r="N31" s="22"/>
      <c r="O31" s="22"/>
      <c r="P31" s="22"/>
      <c r="Q31" s="22"/>
      <c r="R31" s="22"/>
    </row>
    <row r="32" ht="15" customHeight="1">
      <c r="A32" s="19"/>
      <c r="B32" s="32"/>
      <c r="C32" s="21"/>
      <c r="D32" s="22"/>
      <c r="E32" s="22"/>
      <c r="F32" s="22"/>
      <c r="G32" s="22"/>
      <c r="H32" s="22"/>
      <c r="I32" s="22"/>
      <c r="J32" s="22"/>
      <c r="K32" s="22"/>
      <c r="L32" s="22"/>
      <c r="M32" s="22"/>
      <c r="N32" s="22"/>
      <c r="O32" s="22"/>
      <c r="P32" s="22"/>
      <c r="Q32" s="22"/>
      <c r="R32" s="22"/>
    </row>
    <row r="33" ht="15" customHeight="1">
      <c r="A33" s="19"/>
      <c r="B33" s="32"/>
      <c r="C33" s="21"/>
      <c r="D33" s="22"/>
      <c r="E33" s="22"/>
      <c r="F33" s="22"/>
      <c r="G33" s="22"/>
      <c r="H33" s="22"/>
      <c r="I33" s="22"/>
      <c r="J33" s="22"/>
      <c r="K33" s="22"/>
      <c r="L33" s="22"/>
      <c r="M33" s="22"/>
      <c r="N33" s="22"/>
      <c r="O33" s="22"/>
      <c r="P33" s="22"/>
      <c r="Q33" s="22"/>
      <c r="R33" s="22"/>
    </row>
    <row r="34" ht="15" customHeight="1">
      <c r="A34" s="19"/>
      <c r="B34" s="32"/>
      <c r="C34" s="21"/>
      <c r="D34" s="22"/>
      <c r="E34" s="22"/>
      <c r="F34" s="22"/>
      <c r="G34" s="22"/>
      <c r="H34" s="22"/>
      <c r="I34" s="22"/>
      <c r="J34" s="22"/>
      <c r="K34" s="22"/>
      <c r="L34" s="22"/>
      <c r="M34" s="22"/>
      <c r="N34" s="22"/>
      <c r="O34" s="22"/>
      <c r="P34" s="22"/>
      <c r="Q34" s="22"/>
      <c r="R34" s="22"/>
    </row>
    <row r="35" ht="15" customHeight="1">
      <c r="A35" s="19"/>
      <c r="B35" s="37"/>
      <c r="C35" s="538"/>
      <c r="D35" s="227"/>
      <c r="E35" s="227"/>
      <c r="F35" s="227"/>
      <c r="G35" s="227"/>
      <c r="H35" s="227"/>
      <c r="I35" s="227"/>
      <c r="J35" s="227"/>
      <c r="K35" s="227"/>
      <c r="L35" s="227"/>
      <c r="M35" s="227"/>
      <c r="N35" s="227"/>
      <c r="O35" s="227"/>
      <c r="P35" s="227"/>
      <c r="Q35" s="227"/>
      <c r="R35" s="227"/>
    </row>
    <row r="36" ht="15" customHeight="1">
      <c r="A36" s="19"/>
      <c r="B36" s="37"/>
      <c r="C36" s="538"/>
      <c r="D36" s="227"/>
      <c r="E36" s="227"/>
      <c r="F36" s="227"/>
      <c r="G36" s="227"/>
      <c r="H36" s="227"/>
      <c r="I36" s="227"/>
      <c r="J36" s="227"/>
      <c r="K36" s="227"/>
      <c r="L36" s="227"/>
      <c r="M36" s="227"/>
      <c r="N36" s="227"/>
      <c r="O36" s="227"/>
      <c r="P36" s="227"/>
      <c r="Q36" s="227"/>
      <c r="R36" s="227"/>
    </row>
    <row r="37" ht="15" customHeight="1">
      <c r="A37" s="19"/>
      <c r="B37" s="37"/>
      <c r="C37" s="538"/>
      <c r="D37" s="227"/>
      <c r="E37" s="227"/>
      <c r="F37" s="227"/>
      <c r="G37" s="227"/>
      <c r="H37" s="227"/>
      <c r="I37" s="227"/>
      <c r="J37" s="227"/>
      <c r="K37" s="227"/>
      <c r="L37" s="227"/>
      <c r="M37" s="227"/>
      <c r="N37" s="227"/>
      <c r="O37" s="227"/>
      <c r="P37" s="227"/>
      <c r="Q37" s="227"/>
      <c r="R37" s="227"/>
    </row>
    <row r="38" ht="15" customHeight="1">
      <c r="A38" s="19"/>
      <c r="B38" s="37"/>
      <c r="C38" s="538"/>
      <c r="D38" s="227"/>
      <c r="E38" s="227"/>
      <c r="F38" s="227"/>
      <c r="G38" s="227"/>
      <c r="H38" s="227"/>
      <c r="I38" s="227"/>
      <c r="J38" s="227"/>
      <c r="K38" s="227"/>
      <c r="L38" s="227"/>
      <c r="M38" s="227"/>
      <c r="N38" s="227"/>
      <c r="O38" s="227"/>
      <c r="P38" s="227"/>
      <c r="Q38" s="227"/>
      <c r="R38" s="227"/>
    </row>
    <row r="39" ht="15" customHeight="1">
      <c r="A39" s="19"/>
      <c r="B39" s="37"/>
      <c r="C39" s="538"/>
      <c r="D39" s="227"/>
      <c r="E39" s="227"/>
      <c r="F39" s="227"/>
      <c r="G39" s="227"/>
      <c r="H39" s="227"/>
      <c r="I39" s="227"/>
      <c r="J39" s="227"/>
      <c r="K39" s="227"/>
      <c r="L39" s="227"/>
      <c r="M39" s="227"/>
      <c r="N39" s="227"/>
      <c r="O39" s="227"/>
      <c r="P39" s="227"/>
      <c r="Q39" s="227"/>
      <c r="R39" s="227"/>
    </row>
    <row r="40" ht="15" customHeight="1">
      <c r="A40" s="19"/>
      <c r="B40" s="37"/>
      <c r="C40" s="538"/>
      <c r="D40" s="227"/>
      <c r="E40" s="227"/>
      <c r="F40" s="227"/>
      <c r="G40" s="227"/>
      <c r="H40" s="227"/>
      <c r="I40" s="227"/>
      <c r="J40" s="227"/>
      <c r="K40" s="227"/>
      <c r="L40" s="227"/>
      <c r="M40" s="227"/>
      <c r="N40" s="227"/>
      <c r="O40" s="227"/>
      <c r="P40" s="227"/>
      <c r="Q40" s="227"/>
      <c r="R40" s="227"/>
    </row>
    <row r="41" ht="15" customHeight="1">
      <c r="A41" s="19"/>
      <c r="B41" s="37"/>
      <c r="C41" s="538"/>
      <c r="D41" s="227"/>
      <c r="E41" s="227"/>
      <c r="F41" s="227"/>
      <c r="G41" s="227"/>
      <c r="H41" s="227"/>
      <c r="I41" s="227"/>
      <c r="J41" s="227"/>
      <c r="K41" s="227"/>
      <c r="L41" s="227"/>
      <c r="M41" s="227"/>
      <c r="N41" s="227"/>
      <c r="O41" s="227"/>
      <c r="P41" s="227"/>
      <c r="Q41" s="227"/>
      <c r="R41" s="227"/>
    </row>
    <row r="42" ht="15" customHeight="1">
      <c r="A42" s="23"/>
      <c r="B42" s="40"/>
      <c r="C42" s="540"/>
      <c r="D42" s="231"/>
      <c r="E42" s="231"/>
      <c r="F42" s="231"/>
      <c r="G42" s="231"/>
      <c r="H42" s="231"/>
      <c r="I42" s="231"/>
      <c r="J42" s="231"/>
      <c r="K42" s="231"/>
      <c r="L42" s="231"/>
      <c r="M42" s="231"/>
      <c r="N42" s="231"/>
      <c r="O42" s="231"/>
      <c r="P42" s="231"/>
      <c r="Q42" s="231"/>
      <c r="R42" s="231"/>
    </row>
    <row r="43" ht="84" customHeight="1">
      <c r="A43" s="15">
        <v>4</v>
      </c>
      <c r="B43" t="s" s="16">
        <v>14</v>
      </c>
      <c r="C43" s="625">
        <v>4</v>
      </c>
      <c r="D43" t="s" s="171">
        <v>2615</v>
      </c>
      <c r="E43" t="s" s="171">
        <v>2616</v>
      </c>
      <c r="F43" t="s" s="171">
        <v>2617</v>
      </c>
      <c r="G43" s="168"/>
      <c r="H43" t="s" s="171">
        <v>2618</v>
      </c>
      <c r="I43" s="166">
        <v>4</v>
      </c>
      <c r="J43" t="s" s="171">
        <v>2619</v>
      </c>
      <c r="K43" s="166">
        <v>0</v>
      </c>
      <c r="L43" s="166">
        <v>1</v>
      </c>
      <c r="M43" t="s" s="171">
        <v>2620</v>
      </c>
      <c r="N43" t="s" s="171">
        <v>2621</v>
      </c>
      <c r="O43" t="s" s="171">
        <v>2622</v>
      </c>
      <c r="P43" s="169"/>
      <c r="Q43" t="s" s="171">
        <v>2623</v>
      </c>
      <c r="R43" t="s" s="170">
        <v>2624</v>
      </c>
    </row>
    <row r="44" ht="15" customHeight="1">
      <c r="A44" s="19"/>
      <c r="B44" s="44"/>
      <c r="C44" t="s" s="220">
        <v>2625</v>
      </c>
      <c r="D44" s="22"/>
      <c r="E44" s="22"/>
      <c r="F44" s="22"/>
      <c r="G44" s="22"/>
      <c r="H44" s="22"/>
      <c r="I44" s="22"/>
      <c r="J44" s="22"/>
      <c r="K44" s="22"/>
      <c r="L44" s="22"/>
      <c r="M44" s="22"/>
      <c r="N44" s="22"/>
      <c r="O44" s="22"/>
      <c r="P44" s="22"/>
      <c r="Q44" s="22"/>
      <c r="R44" s="211"/>
    </row>
    <row r="45" ht="15" customHeight="1">
      <c r="A45" s="19"/>
      <c r="B45" s="44"/>
      <c r="C45" s="21"/>
      <c r="D45" s="22"/>
      <c r="E45" s="22"/>
      <c r="F45" s="22"/>
      <c r="G45" s="22"/>
      <c r="H45" s="22"/>
      <c r="I45" s="22"/>
      <c r="J45" s="22"/>
      <c r="K45" s="22"/>
      <c r="L45" s="22"/>
      <c r="M45" s="22"/>
      <c r="N45" s="22"/>
      <c r="O45" s="22"/>
      <c r="P45" s="22"/>
      <c r="Q45" s="22"/>
      <c r="R45" s="22"/>
    </row>
    <row r="46" ht="15" customHeight="1">
      <c r="A46" s="19"/>
      <c r="B46" s="44"/>
      <c r="C46" s="21"/>
      <c r="D46" s="22"/>
      <c r="E46" s="22"/>
      <c r="F46" s="22"/>
      <c r="G46" s="22"/>
      <c r="H46" s="22"/>
      <c r="I46" s="22"/>
      <c r="J46" s="22"/>
      <c r="K46" s="22"/>
      <c r="L46" s="22"/>
      <c r="M46" s="22"/>
      <c r="N46" s="22"/>
      <c r="O46" s="22"/>
      <c r="P46" s="22"/>
      <c r="Q46" s="22"/>
      <c r="R46" s="22"/>
    </row>
    <row r="47" ht="15" customHeight="1">
      <c r="A47" s="23"/>
      <c r="B47" s="45"/>
      <c r="C47" s="25"/>
      <c r="D47" s="26"/>
      <c r="E47" s="26"/>
      <c r="F47" s="26"/>
      <c r="G47" s="26"/>
      <c r="H47" s="26"/>
      <c r="I47" s="26"/>
      <c r="J47" s="26"/>
      <c r="K47" s="26"/>
      <c r="L47" s="26"/>
      <c r="M47" s="26"/>
      <c r="N47" s="26"/>
      <c r="O47" s="26"/>
      <c r="P47" s="26"/>
      <c r="Q47" s="26"/>
      <c r="R47" s="26"/>
    </row>
    <row r="48" ht="15" customHeight="1">
      <c r="A48" s="27">
        <v>5</v>
      </c>
      <c r="B48" t="s" s="28">
        <v>16</v>
      </c>
      <c r="C48" t="s" s="544">
        <v>2626</v>
      </c>
      <c r="D48" s="420"/>
      <c r="E48" s="168"/>
      <c r="F48" s="168"/>
      <c r="G48" s="168"/>
      <c r="H48" s="168"/>
      <c r="I48" s="168"/>
      <c r="J48" s="168"/>
      <c r="K48" s="168"/>
      <c r="L48" s="168"/>
      <c r="M48" s="168"/>
      <c r="N48" s="168"/>
      <c r="O48" s="168"/>
      <c r="P48" s="168"/>
      <c r="Q48" s="168"/>
      <c r="R48" s="168"/>
    </row>
    <row r="49" ht="15" customHeight="1">
      <c r="A49" s="31"/>
      <c r="B49" s="46"/>
      <c r="C49" s="47"/>
      <c r="D49" s="48"/>
      <c r="E49" s="48"/>
      <c r="F49" s="48"/>
      <c r="G49" s="48"/>
      <c r="H49" s="48"/>
      <c r="I49" s="48"/>
      <c r="J49" s="48"/>
      <c r="K49" s="48"/>
      <c r="L49" s="48"/>
      <c r="M49" s="48"/>
      <c r="N49" s="48"/>
      <c r="O49" s="48"/>
      <c r="P49" s="48"/>
      <c r="Q49" s="48"/>
      <c r="R49" s="48"/>
    </row>
    <row r="50" ht="15" customHeight="1">
      <c r="A50" s="31"/>
      <c r="B50" s="46"/>
      <c r="C50" s="47"/>
      <c r="D50" s="48"/>
      <c r="E50" s="48"/>
      <c r="F50" s="48"/>
      <c r="G50" s="48"/>
      <c r="H50" s="48"/>
      <c r="I50" s="48"/>
      <c r="J50" s="48"/>
      <c r="K50" s="48"/>
      <c r="L50" s="48"/>
      <c r="M50" s="48"/>
      <c r="N50" s="48"/>
      <c r="O50" s="48"/>
      <c r="P50" s="48"/>
      <c r="Q50" s="48"/>
      <c r="R50" s="48"/>
    </row>
    <row r="51" ht="15" customHeight="1">
      <c r="A51" s="31"/>
      <c r="B51" s="46"/>
      <c r="C51" s="47"/>
      <c r="D51" s="48"/>
      <c r="E51" s="48"/>
      <c r="F51" s="48"/>
      <c r="G51" s="48"/>
      <c r="H51" s="48"/>
      <c r="I51" s="48"/>
      <c r="J51" s="48"/>
      <c r="K51" s="48"/>
      <c r="L51" s="48"/>
      <c r="M51" s="48"/>
      <c r="N51" s="48"/>
      <c r="O51" s="48"/>
      <c r="P51" s="48"/>
      <c r="Q51" s="48"/>
      <c r="R51" s="48"/>
    </row>
    <row r="52" ht="15" customHeight="1">
      <c r="A52" s="31"/>
      <c r="B52" s="46"/>
      <c r="C52" s="47"/>
      <c r="D52" s="48"/>
      <c r="E52" s="48"/>
      <c r="F52" s="48"/>
      <c r="G52" s="48"/>
      <c r="H52" s="48"/>
      <c r="I52" s="48"/>
      <c r="J52" s="48"/>
      <c r="K52" s="48"/>
      <c r="L52" s="48"/>
      <c r="M52" s="48"/>
      <c r="N52" s="48"/>
      <c r="O52" s="48"/>
      <c r="P52" s="48"/>
      <c r="Q52" s="48"/>
      <c r="R52" s="48"/>
    </row>
    <row r="53" ht="15" customHeight="1">
      <c r="A53" s="31"/>
      <c r="B53" s="46"/>
      <c r="C53" s="47"/>
      <c r="D53" s="48"/>
      <c r="E53" s="48"/>
      <c r="F53" s="48"/>
      <c r="G53" s="48"/>
      <c r="H53" s="48"/>
      <c r="I53" s="48"/>
      <c r="J53" s="48"/>
      <c r="K53" s="48"/>
      <c r="L53" s="48"/>
      <c r="M53" s="48"/>
      <c r="N53" s="48"/>
      <c r="O53" s="48"/>
      <c r="P53" s="48"/>
      <c r="Q53" s="48"/>
      <c r="R53" s="48"/>
    </row>
    <row r="54" ht="15" customHeight="1">
      <c r="A54" s="31"/>
      <c r="B54" s="46"/>
      <c r="C54" s="47"/>
      <c r="D54" s="48"/>
      <c r="E54" s="48"/>
      <c r="F54" s="48"/>
      <c r="G54" s="48"/>
      <c r="H54" s="48"/>
      <c r="I54" s="48"/>
      <c r="J54" s="48"/>
      <c r="K54" s="48"/>
      <c r="L54" s="48"/>
      <c r="M54" s="48"/>
      <c r="N54" s="48"/>
      <c r="O54" s="48"/>
      <c r="P54" s="48"/>
      <c r="Q54" s="48"/>
      <c r="R54" s="48"/>
    </row>
    <row r="55" ht="15" customHeight="1">
      <c r="A55" s="35"/>
      <c r="B55" s="49"/>
      <c r="C55" s="50"/>
      <c r="D55" s="51"/>
      <c r="E55" s="51"/>
      <c r="F55" s="51"/>
      <c r="G55" s="51"/>
      <c r="H55" s="51"/>
      <c r="I55" s="51"/>
      <c r="J55" s="51"/>
      <c r="K55" s="51"/>
      <c r="L55" s="51"/>
      <c r="M55" s="51"/>
      <c r="N55" s="51"/>
      <c r="O55" s="51"/>
      <c r="P55" s="51"/>
      <c r="Q55" s="51"/>
      <c r="R55" s="51"/>
    </row>
    <row r="56" ht="75" customHeight="1">
      <c r="A56" s="52">
        <v>6</v>
      </c>
      <c r="B56" t="s" s="53">
        <v>19</v>
      </c>
      <c r="C56" t="s" s="958">
        <v>2627</v>
      </c>
      <c r="D56" t="s" s="82">
        <v>2628</v>
      </c>
      <c r="E56" t="s" s="82">
        <v>2629</v>
      </c>
      <c r="F56" t="s" s="959">
        <v>2630</v>
      </c>
      <c r="G56" t="s" s="292">
        <v>2631</v>
      </c>
      <c r="H56" t="s" s="82">
        <v>2632</v>
      </c>
      <c r="I56" t="s" s="283">
        <v>2633</v>
      </c>
      <c r="J56" s="337">
        <v>0.75</v>
      </c>
      <c r="K56" s="123"/>
      <c r="L56" s="287">
        <v>2</v>
      </c>
      <c r="M56" t="s" s="296">
        <v>2634</v>
      </c>
      <c r="N56" t="s" s="82">
        <v>2635</v>
      </c>
      <c r="O56" t="s" s="292">
        <v>2636</v>
      </c>
      <c r="P56" s="123"/>
      <c r="Q56" t="s" s="292">
        <v>2637</v>
      </c>
      <c r="R56" t="s" s="292">
        <v>2638</v>
      </c>
    </row>
    <row r="57" ht="15" customHeight="1">
      <c r="A57" s="56"/>
      <c r="B57" s="57"/>
      <c r="C57" s="58"/>
      <c r="D57" s="59"/>
      <c r="E57" s="59"/>
      <c r="F57" s="638"/>
      <c r="G57" s="302"/>
      <c r="H57" s="59"/>
      <c r="I57" s="59"/>
      <c r="J57" s="59"/>
      <c r="K57" s="59"/>
      <c r="L57" s="59"/>
      <c r="M57" s="305"/>
      <c r="N57" s="59"/>
      <c r="O57" s="302"/>
      <c r="P57" s="59"/>
      <c r="Q57" s="302"/>
      <c r="R57" s="302"/>
    </row>
    <row r="58" ht="15" customHeight="1">
      <c r="A58" s="56"/>
      <c r="B58" s="57"/>
      <c r="C58" s="58"/>
      <c r="D58" s="59"/>
      <c r="E58" s="59"/>
      <c r="F58" s="638"/>
      <c r="G58" s="302"/>
      <c r="H58" s="59"/>
      <c r="I58" s="59"/>
      <c r="J58" s="59"/>
      <c r="K58" s="59"/>
      <c r="L58" s="59"/>
      <c r="M58" s="305"/>
      <c r="N58" s="59"/>
      <c r="O58" s="302"/>
      <c r="P58" s="59"/>
      <c r="Q58" s="302"/>
      <c r="R58" s="302"/>
    </row>
    <row r="59" ht="13.55" customHeight="1">
      <c r="A59" s="60"/>
      <c r="B59" s="57"/>
      <c r="C59" s="58"/>
      <c r="D59" s="59"/>
      <c r="E59" s="59"/>
      <c r="F59" s="638"/>
      <c r="G59" s="302"/>
      <c r="H59" s="59"/>
      <c r="I59" s="59"/>
      <c r="J59" s="59"/>
      <c r="K59" s="59"/>
      <c r="L59" s="59"/>
      <c r="M59" s="305"/>
      <c r="N59" s="59"/>
      <c r="O59" s="302"/>
      <c r="P59" s="59"/>
      <c r="Q59" s="302"/>
      <c r="R59" s="302"/>
    </row>
    <row r="60" ht="13.55" customHeight="1">
      <c r="A60" s="60"/>
      <c r="B60" s="57"/>
      <c r="C60" s="58"/>
      <c r="D60" s="59"/>
      <c r="E60" s="59"/>
      <c r="F60" s="638"/>
      <c r="G60" s="302"/>
      <c r="H60" s="59"/>
      <c r="I60" s="59"/>
      <c r="J60" s="59"/>
      <c r="K60" s="59"/>
      <c r="L60" s="59"/>
      <c r="M60" s="305"/>
      <c r="N60" s="59"/>
      <c r="O60" s="302"/>
      <c r="P60" s="59"/>
      <c r="Q60" s="302"/>
      <c r="R60" s="302"/>
    </row>
    <row r="61" ht="13.55" customHeight="1">
      <c r="A61" s="60"/>
      <c r="B61" s="57"/>
      <c r="C61" s="58"/>
      <c r="D61" s="59"/>
      <c r="E61" s="59"/>
      <c r="F61" s="59"/>
      <c r="G61" s="59"/>
      <c r="H61" s="59"/>
      <c r="I61" s="59"/>
      <c r="J61" s="59"/>
      <c r="K61" s="59"/>
      <c r="L61" s="59"/>
      <c r="M61" s="305"/>
      <c r="N61" s="59"/>
      <c r="O61" s="302"/>
      <c r="P61" s="59"/>
      <c r="Q61" s="302"/>
      <c r="R61" s="302"/>
    </row>
    <row r="62" ht="13.55" customHeight="1">
      <c r="A62" s="60"/>
      <c r="B62" s="57"/>
      <c r="C62" s="58"/>
      <c r="D62" s="59"/>
      <c r="E62" s="59"/>
      <c r="F62" s="59"/>
      <c r="G62" s="59"/>
      <c r="H62" s="59"/>
      <c r="I62" s="59"/>
      <c r="J62" s="59"/>
      <c r="K62" s="59"/>
      <c r="L62" s="59"/>
      <c r="M62" s="305"/>
      <c r="N62" s="59"/>
      <c r="O62" s="302"/>
      <c r="P62" s="59"/>
      <c r="Q62" s="302"/>
      <c r="R62" s="302"/>
    </row>
    <row r="63" ht="13.55" customHeight="1">
      <c r="A63" s="60"/>
      <c r="B63" s="57"/>
      <c r="C63" s="58"/>
      <c r="D63" s="59"/>
      <c r="E63" s="59"/>
      <c r="F63" s="59"/>
      <c r="G63" s="59"/>
      <c r="H63" s="59"/>
      <c r="I63" s="59"/>
      <c r="J63" s="59"/>
      <c r="K63" s="59"/>
      <c r="L63" s="59"/>
      <c r="M63" s="305"/>
      <c r="N63" s="59"/>
      <c r="O63" s="302"/>
      <c r="P63" s="59"/>
      <c r="Q63" s="302"/>
      <c r="R63" s="302"/>
    </row>
    <row r="64" ht="542.7" customHeight="1">
      <c r="A64" s="60"/>
      <c r="B64" s="57"/>
      <c r="C64" s="58"/>
      <c r="D64" s="59"/>
      <c r="E64" s="59"/>
      <c r="F64" s="59"/>
      <c r="G64" s="59"/>
      <c r="H64" s="59"/>
      <c r="I64" s="59"/>
      <c r="J64" s="59"/>
      <c r="K64" s="59"/>
      <c r="L64" s="59"/>
      <c r="M64" s="305"/>
      <c r="N64" s="59"/>
      <c r="O64" s="302"/>
      <c r="P64" s="59"/>
      <c r="Q64" s="302"/>
      <c r="R64" s="302"/>
    </row>
    <row r="65" ht="13.55" customHeight="1">
      <c r="A65" s="60"/>
      <c r="B65" s="57"/>
      <c r="C65" s="58"/>
      <c r="D65" s="59"/>
      <c r="E65" s="59"/>
      <c r="F65" s="59"/>
      <c r="G65" s="59"/>
      <c r="H65" s="59"/>
      <c r="I65" s="59"/>
      <c r="J65" s="59"/>
      <c r="K65" s="59"/>
      <c r="L65" s="59"/>
      <c r="M65" s="59"/>
      <c r="N65" s="59"/>
      <c r="O65" s="59"/>
      <c r="P65" s="59"/>
      <c r="Q65" s="302"/>
      <c r="R65" s="302"/>
    </row>
    <row r="66" ht="13.55" customHeight="1">
      <c r="A66" s="60"/>
      <c r="B66" s="57"/>
      <c r="C66" s="58"/>
      <c r="D66" s="59"/>
      <c r="E66" s="59"/>
      <c r="F66" s="59"/>
      <c r="G66" s="59"/>
      <c r="H66" s="59"/>
      <c r="I66" s="59"/>
      <c r="J66" s="59"/>
      <c r="K66" s="59"/>
      <c r="L66" s="59"/>
      <c r="M66" s="59"/>
      <c r="N66" s="59"/>
      <c r="O66" s="59"/>
      <c r="P66" s="59"/>
      <c r="Q66" s="59"/>
      <c r="R66" s="302"/>
    </row>
    <row r="67" ht="13.55" customHeight="1">
      <c r="A67" s="60"/>
      <c r="B67" s="57"/>
      <c r="C67" s="58"/>
      <c r="D67" s="59"/>
      <c r="E67" s="59"/>
      <c r="F67" s="59"/>
      <c r="G67" s="59"/>
      <c r="H67" s="59"/>
      <c r="I67" s="59"/>
      <c r="J67" s="59"/>
      <c r="K67" s="59"/>
      <c r="L67" s="59"/>
      <c r="M67" s="59"/>
      <c r="N67" s="59"/>
      <c r="O67" s="59"/>
      <c r="P67" s="59"/>
      <c r="Q67" s="59"/>
      <c r="R67" s="59"/>
    </row>
    <row r="68" ht="13.55" customHeight="1">
      <c r="A68" s="60"/>
      <c r="B68" s="57"/>
      <c r="C68" s="58"/>
      <c r="D68" s="59"/>
      <c r="E68" s="59"/>
      <c r="F68" s="59"/>
      <c r="G68" s="59"/>
      <c r="H68" s="59"/>
      <c r="I68" s="59"/>
      <c r="J68" s="59"/>
      <c r="K68" s="59"/>
      <c r="L68" s="59"/>
      <c r="M68" s="59"/>
      <c r="N68" s="59"/>
      <c r="O68" s="59"/>
      <c r="P68" s="59"/>
      <c r="Q68" s="59"/>
      <c r="R68" s="59"/>
    </row>
    <row r="69" ht="13.55" customHeight="1">
      <c r="A69" s="61"/>
      <c r="B69" s="62"/>
      <c r="C69" s="63"/>
      <c r="D69" s="64"/>
      <c r="E69" s="64"/>
      <c r="F69" s="64"/>
      <c r="G69" s="64"/>
      <c r="H69" s="64"/>
      <c r="I69" s="64"/>
      <c r="J69" s="64"/>
      <c r="K69" s="64"/>
      <c r="L69" s="64"/>
      <c r="M69" s="64"/>
      <c r="N69" s="64"/>
      <c r="O69" s="64"/>
      <c r="P69" s="64"/>
      <c r="Q69" s="64"/>
      <c r="R69" s="64"/>
    </row>
    <row r="70" ht="60" customHeight="1">
      <c r="A70" s="15">
        <v>7</v>
      </c>
      <c r="B70" t="s" s="65">
        <v>21</v>
      </c>
      <c r="C70" s="625">
        <v>1</v>
      </c>
      <c r="D70" t="s" s="171">
        <v>2639</v>
      </c>
      <c r="E70" t="s" s="18">
        <v>2640</v>
      </c>
      <c r="F70" t="s" s="171">
        <v>2641</v>
      </c>
      <c r="G70" s="168"/>
      <c r="H70" t="s" s="170">
        <v>2642</v>
      </c>
      <c r="I70" s="167">
        <v>7</v>
      </c>
      <c r="J70" t="s" s="408">
        <v>2643</v>
      </c>
      <c r="K70" t="s" s="18">
        <v>2644</v>
      </c>
      <c r="L70" s="166">
        <v>1</v>
      </c>
      <c r="M70" t="s" s="170">
        <v>2645</v>
      </c>
      <c r="N70" t="s" s="171">
        <v>2646</v>
      </c>
      <c r="O70" t="s" s="170">
        <v>2647</v>
      </c>
      <c r="P70" t="s" s="170">
        <v>2648</v>
      </c>
      <c r="Q70" t="s" s="171">
        <v>2649</v>
      </c>
      <c r="R70" t="s" s="170">
        <v>2650</v>
      </c>
    </row>
    <row r="71" ht="15" customHeight="1">
      <c r="A71" s="19"/>
      <c r="B71" s="67"/>
      <c r="C71" s="21"/>
      <c r="D71" s="22"/>
      <c r="E71" s="22"/>
      <c r="F71" s="22"/>
      <c r="G71" s="22"/>
      <c r="H71" s="211"/>
      <c r="I71" s="22"/>
      <c r="J71" s="316"/>
      <c r="K71" s="22"/>
      <c r="L71" s="22"/>
      <c r="M71" s="211"/>
      <c r="N71" s="22"/>
      <c r="O71" s="211"/>
      <c r="P71" s="211"/>
      <c r="Q71" s="22"/>
      <c r="R71" s="211"/>
    </row>
    <row r="72" ht="15" customHeight="1">
      <c r="A72" s="19"/>
      <c r="B72" s="67"/>
      <c r="C72" s="21"/>
      <c r="D72" s="22"/>
      <c r="E72" s="22"/>
      <c r="F72" s="22"/>
      <c r="G72" s="22"/>
      <c r="H72" s="22"/>
      <c r="I72" s="22"/>
      <c r="J72" s="22"/>
      <c r="K72" s="22"/>
      <c r="L72" s="22"/>
      <c r="M72" s="211"/>
      <c r="N72" s="22"/>
      <c r="O72" s="211"/>
      <c r="P72" s="22"/>
      <c r="Q72" s="22"/>
      <c r="R72" s="22"/>
    </row>
    <row r="73" ht="15" customHeight="1">
      <c r="A73" s="19"/>
      <c r="B73" s="67"/>
      <c r="C73" s="21"/>
      <c r="D73" s="22"/>
      <c r="E73" s="22"/>
      <c r="F73" s="22"/>
      <c r="G73" s="22"/>
      <c r="H73" s="22"/>
      <c r="I73" s="22"/>
      <c r="J73" s="22"/>
      <c r="K73" s="22"/>
      <c r="L73" s="22"/>
      <c r="M73" s="22"/>
      <c r="N73" s="22"/>
      <c r="O73" s="22"/>
      <c r="P73" s="22"/>
      <c r="Q73" s="22"/>
      <c r="R73" s="22"/>
    </row>
    <row r="74" ht="15" customHeight="1">
      <c r="A74" s="19"/>
      <c r="B74" s="67"/>
      <c r="C74" s="21"/>
      <c r="D74" s="22"/>
      <c r="E74" s="22"/>
      <c r="F74" s="22"/>
      <c r="G74" s="22"/>
      <c r="H74" s="22"/>
      <c r="I74" s="22"/>
      <c r="J74" s="22"/>
      <c r="K74" s="22"/>
      <c r="L74" s="22"/>
      <c r="M74" s="22"/>
      <c r="N74" s="22"/>
      <c r="O74" s="22"/>
      <c r="P74" s="22"/>
      <c r="Q74" s="22"/>
      <c r="R74" s="22"/>
    </row>
    <row r="75" ht="15" customHeight="1">
      <c r="A75" s="19"/>
      <c r="B75" s="67"/>
      <c r="C75" s="21"/>
      <c r="D75" s="22"/>
      <c r="E75" s="22"/>
      <c r="F75" s="22"/>
      <c r="G75" s="22"/>
      <c r="H75" s="22"/>
      <c r="I75" s="22"/>
      <c r="J75" s="22"/>
      <c r="K75" s="22"/>
      <c r="L75" s="22"/>
      <c r="M75" s="22"/>
      <c r="N75" s="22"/>
      <c r="O75" s="22"/>
      <c r="P75" s="22"/>
      <c r="Q75" s="22"/>
      <c r="R75" s="22"/>
    </row>
    <row r="76" ht="15" customHeight="1">
      <c r="A76" s="19"/>
      <c r="B76" s="67"/>
      <c r="C76" s="21"/>
      <c r="D76" s="22"/>
      <c r="E76" s="22"/>
      <c r="F76" s="22"/>
      <c r="G76" s="22"/>
      <c r="H76" s="22"/>
      <c r="I76" s="22"/>
      <c r="J76" s="22"/>
      <c r="K76" s="22"/>
      <c r="L76" s="22"/>
      <c r="M76" s="22"/>
      <c r="N76" s="22"/>
      <c r="O76" s="22"/>
      <c r="P76" s="22"/>
      <c r="Q76" s="22"/>
      <c r="R76" s="22"/>
    </row>
    <row r="77" ht="15" customHeight="1">
      <c r="A77" s="19"/>
      <c r="B77" s="67"/>
      <c r="C77" s="21"/>
      <c r="D77" s="22"/>
      <c r="E77" s="22"/>
      <c r="F77" s="22"/>
      <c r="G77" s="22"/>
      <c r="H77" s="22"/>
      <c r="I77" s="22"/>
      <c r="J77" s="22"/>
      <c r="K77" s="22"/>
      <c r="L77" s="22"/>
      <c r="M77" s="22"/>
      <c r="N77" s="22"/>
      <c r="O77" s="22"/>
      <c r="P77" s="22"/>
      <c r="Q77" s="22"/>
      <c r="R77" s="22"/>
    </row>
    <row r="78" ht="15" customHeight="1">
      <c r="A78" s="19"/>
      <c r="B78" s="67"/>
      <c r="C78" s="21"/>
      <c r="D78" s="22"/>
      <c r="E78" s="22"/>
      <c r="F78" s="22"/>
      <c r="G78" s="22"/>
      <c r="H78" s="22"/>
      <c r="I78" s="22"/>
      <c r="J78" s="22"/>
      <c r="K78" s="22"/>
      <c r="L78" s="22"/>
      <c r="M78" s="22"/>
      <c r="N78" s="22"/>
      <c r="O78" s="22"/>
      <c r="P78" s="22"/>
      <c r="Q78" s="22"/>
      <c r="R78" s="22"/>
    </row>
    <row r="79" ht="15" customHeight="1">
      <c r="A79" s="19"/>
      <c r="B79" s="67"/>
      <c r="C79" s="21"/>
      <c r="D79" s="22"/>
      <c r="E79" s="22"/>
      <c r="F79" s="22"/>
      <c r="G79" s="22"/>
      <c r="H79" s="22"/>
      <c r="I79" s="22"/>
      <c r="J79" s="22"/>
      <c r="K79" s="22"/>
      <c r="L79" s="22"/>
      <c r="M79" s="22"/>
      <c r="N79" s="22"/>
      <c r="O79" s="22"/>
      <c r="P79" s="22"/>
      <c r="Q79" s="22"/>
      <c r="R79" s="22"/>
    </row>
    <row r="80" ht="15" customHeight="1">
      <c r="A80" s="23"/>
      <c r="B80" s="68"/>
      <c r="C80" s="25"/>
      <c r="D80" s="26"/>
      <c r="E80" s="26"/>
      <c r="F80" s="26"/>
      <c r="G80" s="26"/>
      <c r="H80" s="26"/>
      <c r="I80" s="26"/>
      <c r="J80" s="26"/>
      <c r="K80" s="26"/>
      <c r="L80" s="26"/>
      <c r="M80" s="26"/>
      <c r="N80" s="26"/>
      <c r="O80" s="26"/>
      <c r="P80" s="26"/>
      <c r="Q80" s="26"/>
      <c r="R80" s="26"/>
    </row>
    <row r="81" ht="90" customHeight="1">
      <c r="A81" s="71">
        <v>8</v>
      </c>
      <c r="B81" t="s" s="72">
        <v>22</v>
      </c>
      <c r="C81" t="s" s="562">
        <v>2651</v>
      </c>
      <c r="D81" t="s" s="75">
        <v>2652</v>
      </c>
      <c r="E81" t="s" s="292">
        <v>2653</v>
      </c>
      <c r="F81" t="s" s="292">
        <v>2654</v>
      </c>
      <c r="G81" s="325"/>
      <c r="H81" t="s" s="75">
        <v>2655</v>
      </c>
      <c r="I81" s="729">
        <v>2</v>
      </c>
      <c r="J81" t="s" s="75">
        <v>197</v>
      </c>
      <c r="K81" t="s" s="320">
        <v>197</v>
      </c>
      <c r="L81" t="s" s="320">
        <v>2656</v>
      </c>
      <c r="M81" t="s" s="292">
        <v>2657</v>
      </c>
      <c r="N81" t="s" s="320">
        <v>2658</v>
      </c>
      <c r="O81" t="s" s="320">
        <v>2659</v>
      </c>
      <c r="P81" s="325"/>
      <c r="Q81" s="325"/>
      <c r="R81" s="325"/>
    </row>
    <row r="82" ht="15" customHeight="1">
      <c r="A82" s="960"/>
      <c r="B82" s="961"/>
      <c r="C82" s="962"/>
      <c r="D82" s="963"/>
      <c r="E82" s="763"/>
      <c r="F82" s="763"/>
      <c r="G82" s="963"/>
      <c r="H82" s="963"/>
      <c r="I82" s="963"/>
      <c r="J82" s="963"/>
      <c r="K82" s="963"/>
      <c r="L82" s="963"/>
      <c r="M82" s="763"/>
      <c r="N82" s="963"/>
      <c r="O82" s="963"/>
      <c r="P82" s="963"/>
      <c r="Q82" s="963"/>
      <c r="R82" s="963"/>
    </row>
    <row r="83" ht="9" customHeight="1" hidden="1">
      <c r="A83" s="964"/>
      <c r="B83" s="965"/>
      <c r="C83" s="966"/>
      <c r="D83" s="967"/>
      <c r="E83" s="967"/>
      <c r="F83" s="967"/>
      <c r="G83" s="967"/>
      <c r="H83" s="967"/>
      <c r="I83" s="967"/>
      <c r="J83" s="967"/>
      <c r="K83" s="967"/>
      <c r="L83" s="967"/>
      <c r="M83" s="967"/>
      <c r="N83" s="967"/>
      <c r="O83" s="967"/>
      <c r="P83" s="967"/>
      <c r="Q83" s="967"/>
      <c r="R83" s="967"/>
    </row>
    <row r="84" ht="9" customHeight="1" hidden="1">
      <c r="A84" s="968"/>
      <c r="B84" s="969"/>
      <c r="C84" s="966"/>
      <c r="D84" s="967"/>
      <c r="E84" s="967"/>
      <c r="F84" s="967"/>
      <c r="G84" s="967"/>
      <c r="H84" s="967"/>
      <c r="I84" s="967"/>
      <c r="J84" s="967"/>
      <c r="K84" s="967"/>
      <c r="L84" s="967"/>
      <c r="M84" s="967"/>
      <c r="N84" s="967"/>
      <c r="O84" s="967"/>
      <c r="P84" s="967"/>
      <c r="Q84" s="967"/>
      <c r="R84" s="967"/>
    </row>
    <row r="85" ht="9" customHeight="1" hidden="1">
      <c r="A85" s="968"/>
      <c r="B85" s="969"/>
      <c r="C85" s="970"/>
      <c r="D85" s="971"/>
      <c r="E85" s="971"/>
      <c r="F85" s="971"/>
      <c r="G85" s="971"/>
      <c r="H85" s="971"/>
      <c r="I85" s="971"/>
      <c r="J85" s="971"/>
      <c r="K85" s="971"/>
      <c r="L85" s="971"/>
      <c r="M85" s="971"/>
      <c r="N85" s="971"/>
      <c r="O85" s="971"/>
      <c r="P85" s="971"/>
      <c r="Q85" s="971"/>
      <c r="R85" s="971"/>
    </row>
    <row r="86" ht="9" customHeight="1" hidden="1">
      <c r="A86" s="968"/>
      <c r="B86" s="969"/>
      <c r="C86" s="970"/>
      <c r="D86" s="971"/>
      <c r="E86" s="971"/>
      <c r="F86" s="971"/>
      <c r="G86" s="971"/>
      <c r="H86" s="971"/>
      <c r="I86" s="971"/>
      <c r="J86" s="971"/>
      <c r="K86" s="971"/>
      <c r="L86" s="971"/>
      <c r="M86" s="971"/>
      <c r="N86" s="971"/>
      <c r="O86" s="971"/>
      <c r="P86" s="971"/>
      <c r="Q86" s="971"/>
      <c r="R86" s="971"/>
    </row>
    <row r="87" ht="9" customHeight="1" hidden="1">
      <c r="A87" s="968"/>
      <c r="B87" s="969"/>
      <c r="C87" s="970"/>
      <c r="D87" s="971"/>
      <c r="E87" s="971"/>
      <c r="F87" s="971"/>
      <c r="G87" s="971"/>
      <c r="H87" s="971"/>
      <c r="I87" s="971"/>
      <c r="J87" s="971"/>
      <c r="K87" s="971"/>
      <c r="L87" s="971"/>
      <c r="M87" s="971"/>
      <c r="N87" s="971"/>
      <c r="O87" s="971"/>
      <c r="P87" s="971"/>
      <c r="Q87" s="971"/>
      <c r="R87" s="971"/>
    </row>
    <row r="88" ht="9" customHeight="1" hidden="1">
      <c r="A88" s="968"/>
      <c r="B88" s="969"/>
      <c r="C88" s="970"/>
      <c r="D88" s="971"/>
      <c r="E88" s="971"/>
      <c r="F88" s="971"/>
      <c r="G88" s="971"/>
      <c r="H88" s="971"/>
      <c r="I88" s="971"/>
      <c r="J88" s="971"/>
      <c r="K88" s="971"/>
      <c r="L88" s="971"/>
      <c r="M88" s="971"/>
      <c r="N88" s="971"/>
      <c r="O88" s="971"/>
      <c r="P88" s="971"/>
      <c r="Q88" s="971"/>
      <c r="R88" s="971"/>
    </row>
    <row r="89" ht="9" customHeight="1" hidden="1">
      <c r="A89" s="968"/>
      <c r="B89" s="969"/>
      <c r="C89" s="970"/>
      <c r="D89" s="971"/>
      <c r="E89" s="971"/>
      <c r="F89" s="971"/>
      <c r="G89" s="971"/>
      <c r="H89" s="971"/>
      <c r="I89" s="971"/>
      <c r="J89" s="971"/>
      <c r="K89" s="971"/>
      <c r="L89" s="971"/>
      <c r="M89" s="971"/>
      <c r="N89" s="971"/>
      <c r="O89" s="971"/>
      <c r="P89" s="971"/>
      <c r="Q89" s="971"/>
      <c r="R89" s="971"/>
    </row>
    <row r="90" ht="30" customHeight="1">
      <c r="A90" s="52">
        <v>9</v>
      </c>
      <c r="B90" t="s" s="53">
        <v>24</v>
      </c>
      <c r="C90" t="s" s="54">
        <v>2660</v>
      </c>
      <c r="D90" t="s" s="82">
        <v>2661</v>
      </c>
      <c r="E90" t="s" s="82">
        <v>2662</v>
      </c>
      <c r="F90" t="s" s="82">
        <v>2663</v>
      </c>
      <c r="G90" t="s" s="82">
        <v>498</v>
      </c>
      <c r="H90" t="s" s="82">
        <v>2664</v>
      </c>
      <c r="I90" t="s" s="82">
        <v>2665</v>
      </c>
      <c r="J90" s="123"/>
      <c r="K90" s="123"/>
      <c r="L90" s="285">
        <v>1</v>
      </c>
      <c r="M90" t="s" s="283">
        <v>2666</v>
      </c>
      <c r="N90" t="s" s="82">
        <v>2667</v>
      </c>
      <c r="O90" t="s" s="293">
        <v>2668</v>
      </c>
      <c r="P90" s="123"/>
      <c r="Q90" s="123"/>
      <c r="R90" s="123"/>
    </row>
    <row r="91" ht="15" customHeight="1">
      <c r="A91" s="56"/>
      <c r="B91" s="57"/>
      <c r="C91" s="58"/>
      <c r="D91" s="59"/>
      <c r="E91" s="59"/>
      <c r="F91" s="59"/>
      <c r="G91" s="59"/>
      <c r="H91" s="59"/>
      <c r="I91" s="59"/>
      <c r="J91" s="59"/>
      <c r="K91" s="59"/>
      <c r="L91" s="59"/>
      <c r="M91" s="59"/>
      <c r="N91" s="59"/>
      <c r="O91" s="304"/>
      <c r="P91" s="59"/>
      <c r="Q91" s="59"/>
      <c r="R91" s="59"/>
    </row>
    <row r="92" ht="15" customHeight="1">
      <c r="A92" s="56"/>
      <c r="B92" s="57"/>
      <c r="C92" s="58"/>
      <c r="D92" s="59"/>
      <c r="E92" s="59"/>
      <c r="F92" s="59"/>
      <c r="G92" s="59"/>
      <c r="H92" s="59"/>
      <c r="I92" s="59"/>
      <c r="J92" s="59"/>
      <c r="K92" s="59"/>
      <c r="L92" s="59"/>
      <c r="M92" s="59"/>
      <c r="N92" s="59"/>
      <c r="O92" s="304"/>
      <c r="P92" s="59"/>
      <c r="Q92" s="59"/>
      <c r="R92" s="59"/>
    </row>
    <row r="93" ht="13.55" customHeight="1">
      <c r="A93" s="60"/>
      <c r="B93" s="57"/>
      <c r="C93" s="58"/>
      <c r="D93" s="59"/>
      <c r="E93" s="59"/>
      <c r="F93" s="59"/>
      <c r="G93" s="59"/>
      <c r="H93" s="59"/>
      <c r="I93" s="59"/>
      <c r="J93" s="59"/>
      <c r="K93" s="59"/>
      <c r="L93" s="59"/>
      <c r="M93" s="59"/>
      <c r="N93" s="59"/>
      <c r="O93" s="638"/>
      <c r="P93" s="59"/>
      <c r="Q93" s="59"/>
      <c r="R93" s="59"/>
    </row>
    <row r="94" ht="13.55" customHeight="1">
      <c r="A94" s="60"/>
      <c r="B94" s="57"/>
      <c r="C94" s="58"/>
      <c r="D94" s="59"/>
      <c r="E94" s="59"/>
      <c r="F94" s="59"/>
      <c r="G94" s="59"/>
      <c r="H94" s="59"/>
      <c r="I94" s="59"/>
      <c r="J94" s="59"/>
      <c r="K94" s="59"/>
      <c r="L94" s="59"/>
      <c r="M94" s="59"/>
      <c r="N94" s="59"/>
      <c r="O94" s="638"/>
      <c r="P94" s="59"/>
      <c r="Q94" s="59"/>
      <c r="R94" s="59"/>
    </row>
    <row r="95" ht="13.55" customHeight="1">
      <c r="A95" s="60"/>
      <c r="B95" s="57"/>
      <c r="C95" s="58"/>
      <c r="D95" s="59"/>
      <c r="E95" s="59"/>
      <c r="F95" s="59"/>
      <c r="G95" s="59"/>
      <c r="H95" s="59"/>
      <c r="I95" s="59"/>
      <c r="J95" s="59"/>
      <c r="K95" s="59"/>
      <c r="L95" s="59"/>
      <c r="M95" s="59"/>
      <c r="N95" s="59"/>
      <c r="O95" s="638"/>
      <c r="P95" s="59"/>
      <c r="Q95" s="59"/>
      <c r="R95" s="59"/>
    </row>
    <row r="96" ht="13.55" customHeight="1">
      <c r="A96" s="60"/>
      <c r="B96" s="57"/>
      <c r="C96" s="58"/>
      <c r="D96" s="59"/>
      <c r="E96" s="59"/>
      <c r="F96" s="59"/>
      <c r="G96" s="59"/>
      <c r="H96" s="59"/>
      <c r="I96" s="59"/>
      <c r="J96" s="59"/>
      <c r="K96" s="59"/>
      <c r="L96" s="59"/>
      <c r="M96" s="59"/>
      <c r="N96" s="59"/>
      <c r="O96" s="59"/>
      <c r="P96" s="59"/>
      <c r="Q96" s="59"/>
      <c r="R96" s="59"/>
    </row>
    <row r="97" ht="13.55" customHeight="1">
      <c r="A97" s="60"/>
      <c r="B97" s="57"/>
      <c r="C97" s="58"/>
      <c r="D97" s="59"/>
      <c r="E97" s="59"/>
      <c r="F97" s="59"/>
      <c r="G97" s="59"/>
      <c r="H97" s="59"/>
      <c r="I97" s="59"/>
      <c r="J97" s="59"/>
      <c r="K97" s="59"/>
      <c r="L97" s="59"/>
      <c r="M97" s="59"/>
      <c r="N97" s="59"/>
      <c r="O97" s="59"/>
      <c r="P97" s="59"/>
      <c r="Q97" s="59"/>
      <c r="R97" s="59"/>
    </row>
    <row r="98" ht="13.55" customHeight="1">
      <c r="A98" s="60"/>
      <c r="B98" s="57"/>
      <c r="C98" s="58"/>
      <c r="D98" s="59"/>
      <c r="E98" s="59"/>
      <c r="F98" s="59"/>
      <c r="G98" s="59"/>
      <c r="H98" s="59"/>
      <c r="I98" s="59"/>
      <c r="J98" s="59"/>
      <c r="K98" s="59"/>
      <c r="L98" s="59"/>
      <c r="M98" s="59"/>
      <c r="N98" s="59"/>
      <c r="O98" s="59"/>
      <c r="P98" s="59"/>
      <c r="Q98" s="59"/>
      <c r="R98" s="59"/>
    </row>
    <row r="99" ht="13.55" customHeight="1">
      <c r="A99" s="60"/>
      <c r="B99" s="57"/>
      <c r="C99" s="58"/>
      <c r="D99" s="59"/>
      <c r="E99" s="59"/>
      <c r="F99" s="59"/>
      <c r="G99" s="59"/>
      <c r="H99" s="59"/>
      <c r="I99" s="59"/>
      <c r="J99" s="59"/>
      <c r="K99" s="59"/>
      <c r="L99" s="59"/>
      <c r="M99" s="59"/>
      <c r="N99" s="59"/>
      <c r="O99" s="59"/>
      <c r="P99" s="59"/>
      <c r="Q99" s="59"/>
      <c r="R99" s="59"/>
    </row>
    <row r="100" ht="13.55" customHeight="1">
      <c r="A100" s="60"/>
      <c r="B100" s="57"/>
      <c r="C100" s="58"/>
      <c r="D100" s="59"/>
      <c r="E100" s="59"/>
      <c r="F100" s="59"/>
      <c r="G100" s="59"/>
      <c r="H100" s="59"/>
      <c r="I100" s="59"/>
      <c r="J100" s="59"/>
      <c r="K100" s="59"/>
      <c r="L100" s="59"/>
      <c r="M100" s="59"/>
      <c r="N100" s="59"/>
      <c r="O100" s="59"/>
      <c r="P100" s="59"/>
      <c r="Q100" s="59"/>
      <c r="R100" s="59"/>
    </row>
    <row r="101" ht="13.55" customHeight="1">
      <c r="A101" s="61"/>
      <c r="B101" s="62"/>
      <c r="C101" s="63"/>
      <c r="D101" s="64"/>
      <c r="E101" s="64"/>
      <c r="F101" s="64"/>
      <c r="G101" s="64"/>
      <c r="H101" s="64"/>
      <c r="I101" s="64"/>
      <c r="J101" s="64"/>
      <c r="K101" s="64"/>
      <c r="L101" s="64"/>
      <c r="M101" s="64"/>
      <c r="N101" s="64"/>
      <c r="O101" s="64"/>
      <c r="P101" s="64"/>
      <c r="Q101" s="64"/>
      <c r="R101" s="64"/>
    </row>
    <row r="102" ht="48.75" customHeight="1">
      <c r="A102" s="84">
        <v>10</v>
      </c>
      <c r="B102" t="s" s="85">
        <v>28</v>
      </c>
      <c r="C102" s="695">
        <v>4</v>
      </c>
      <c r="D102" t="s" s="377">
        <v>2669</v>
      </c>
      <c r="E102" t="s" s="481">
        <v>2670</v>
      </c>
      <c r="F102" t="s" s="377">
        <v>2671</v>
      </c>
      <c r="G102" s="384"/>
      <c r="H102" t="s" s="383">
        <v>2672</v>
      </c>
      <c r="I102" t="s" s="377">
        <v>2673</v>
      </c>
      <c r="J102" t="s" s="481">
        <v>2674</v>
      </c>
      <c r="K102" s="380">
        <v>0.05</v>
      </c>
      <c r="L102" s="375">
        <v>2</v>
      </c>
      <c r="M102" s="384"/>
      <c r="N102" s="384"/>
      <c r="O102" s="384"/>
      <c r="P102" s="384"/>
      <c r="Q102" t="s" s="377">
        <v>2675</v>
      </c>
      <c r="R102" t="s" s="377">
        <v>2676</v>
      </c>
    </row>
    <row r="103" ht="15" customHeight="1">
      <c r="A103" s="88"/>
      <c r="B103" s="89"/>
      <c r="C103" t="s" s="734">
        <v>2677</v>
      </c>
      <c r="D103" s="91"/>
      <c r="E103" s="91"/>
      <c r="F103" s="91"/>
      <c r="G103" s="91"/>
      <c r="H103" s="91"/>
      <c r="I103" s="91"/>
      <c r="J103" s="91"/>
      <c r="K103" s="91"/>
      <c r="L103" s="91"/>
      <c r="M103" s="91"/>
      <c r="N103" s="91"/>
      <c r="O103" s="91"/>
      <c r="P103" s="91"/>
      <c r="Q103" s="91"/>
      <c r="R103" s="91"/>
    </row>
    <row r="104" ht="15" customHeight="1">
      <c r="A104" s="88"/>
      <c r="B104" s="89"/>
      <c r="C104" s="90"/>
      <c r="D104" s="91"/>
      <c r="E104" s="91"/>
      <c r="F104" s="91"/>
      <c r="G104" s="91"/>
      <c r="H104" s="91"/>
      <c r="I104" s="91"/>
      <c r="J104" s="91"/>
      <c r="K104" s="91"/>
      <c r="L104" s="91"/>
      <c r="M104" s="91"/>
      <c r="N104" s="91"/>
      <c r="O104" s="91"/>
      <c r="P104" s="91"/>
      <c r="Q104" s="91"/>
      <c r="R104" s="91"/>
    </row>
    <row r="105" ht="15" customHeight="1">
      <c r="A105" s="88"/>
      <c r="B105" s="89"/>
      <c r="C105" s="90"/>
      <c r="D105" s="91"/>
      <c r="E105" s="91"/>
      <c r="F105" s="91"/>
      <c r="G105" s="91"/>
      <c r="H105" s="91"/>
      <c r="I105" s="91"/>
      <c r="J105" s="91"/>
      <c r="K105" s="91"/>
      <c r="L105" s="91"/>
      <c r="M105" s="91"/>
      <c r="N105" s="91"/>
      <c r="O105" s="91"/>
      <c r="P105" s="91"/>
      <c r="Q105" s="91"/>
      <c r="R105" s="91"/>
    </row>
    <row r="106" ht="15" customHeight="1">
      <c r="A106" s="92"/>
      <c r="B106" s="89"/>
      <c r="C106" s="90"/>
      <c r="D106" s="91"/>
      <c r="E106" s="91"/>
      <c r="F106" s="91"/>
      <c r="G106" s="91"/>
      <c r="H106" s="91"/>
      <c r="I106" s="91"/>
      <c r="J106" s="91"/>
      <c r="K106" s="91"/>
      <c r="L106" s="91"/>
      <c r="M106" s="91"/>
      <c r="N106" s="91"/>
      <c r="O106" s="91"/>
      <c r="P106" s="91"/>
      <c r="Q106" s="91"/>
      <c r="R106" s="91"/>
    </row>
    <row r="107" ht="15" customHeight="1">
      <c r="A107" s="92"/>
      <c r="B107" s="89"/>
      <c r="C107" s="90"/>
      <c r="D107" s="91"/>
      <c r="E107" s="91"/>
      <c r="F107" s="91"/>
      <c r="G107" s="91"/>
      <c r="H107" s="91"/>
      <c r="I107" s="91"/>
      <c r="J107" s="91"/>
      <c r="K107" s="91"/>
      <c r="L107" s="91"/>
      <c r="M107" s="91"/>
      <c r="N107" s="91"/>
      <c r="O107" s="91"/>
      <c r="P107" s="91"/>
      <c r="Q107" s="91"/>
      <c r="R107" s="91"/>
    </row>
    <row r="108" ht="15" customHeight="1">
      <c r="A108" s="92"/>
      <c r="B108" s="89"/>
      <c r="C108" s="90"/>
      <c r="D108" s="91"/>
      <c r="E108" s="91"/>
      <c r="F108" s="91"/>
      <c r="G108" s="91"/>
      <c r="H108" s="91"/>
      <c r="I108" s="91"/>
      <c r="J108" s="91"/>
      <c r="K108" s="91"/>
      <c r="L108" s="91"/>
      <c r="M108" s="91"/>
      <c r="N108" s="91"/>
      <c r="O108" s="91"/>
      <c r="P108" s="91"/>
      <c r="Q108" s="91"/>
      <c r="R108" s="91"/>
    </row>
    <row r="109" ht="15" customHeight="1">
      <c r="A109" s="93"/>
      <c r="B109" s="94"/>
      <c r="C109" s="95"/>
      <c r="D109" s="96"/>
      <c r="E109" s="96"/>
      <c r="F109" s="96"/>
      <c r="G109" s="96"/>
      <c r="H109" s="96"/>
      <c r="I109" s="96"/>
      <c r="J109" s="96"/>
      <c r="K109" s="96"/>
      <c r="L109" s="96"/>
      <c r="M109" s="96"/>
      <c r="N109" s="96"/>
      <c r="O109" s="96"/>
      <c r="P109" s="96"/>
      <c r="Q109" s="96"/>
      <c r="R109" s="96"/>
    </row>
    <row r="110" ht="60" customHeight="1">
      <c r="A110" s="15">
        <v>11</v>
      </c>
      <c r="B110" t="s" s="97">
        <v>30</v>
      </c>
      <c r="C110" s="644">
        <v>1</v>
      </c>
      <c r="D110" t="s" s="170">
        <v>2678</v>
      </c>
      <c r="E110" t="s" s="407">
        <v>2679</v>
      </c>
      <c r="F110" t="s" s="407">
        <v>2680</v>
      </c>
      <c r="G110" s="410"/>
      <c r="H110" t="s" s="407">
        <v>2681</v>
      </c>
      <c r="I110" s="645">
        <v>24</v>
      </c>
      <c r="J110" t="s" s="170">
        <v>2682</v>
      </c>
      <c r="K110" t="s" s="170">
        <v>2683</v>
      </c>
      <c r="L110" s="645">
        <v>2</v>
      </c>
      <c r="M110" t="s" s="170">
        <v>2684</v>
      </c>
      <c r="N110" t="s" s="408">
        <v>2685</v>
      </c>
      <c r="O110" s="410"/>
      <c r="P110" t="s" s="170">
        <v>2686</v>
      </c>
      <c r="Q110" t="s" s="408">
        <v>2687</v>
      </c>
      <c r="R110" t="s" s="408">
        <v>2688</v>
      </c>
    </row>
    <row r="111" ht="15" customHeight="1">
      <c r="A111" s="19"/>
      <c r="B111" s="100"/>
      <c r="C111" s="21"/>
      <c r="D111" s="211"/>
      <c r="E111" s="22"/>
      <c r="F111" s="22"/>
      <c r="G111" s="22"/>
      <c r="H111" s="22"/>
      <c r="I111" s="22"/>
      <c r="J111" s="211"/>
      <c r="K111" s="211"/>
      <c r="L111" s="22"/>
      <c r="M111" s="211"/>
      <c r="N111" s="22"/>
      <c r="O111" s="22"/>
      <c r="P111" s="211"/>
      <c r="Q111" s="22"/>
      <c r="R111" s="22"/>
    </row>
    <row r="112" ht="15" customHeight="1">
      <c r="A112" s="19"/>
      <c r="B112" s="100"/>
      <c r="C112" s="21"/>
      <c r="D112" s="211"/>
      <c r="E112" s="22"/>
      <c r="F112" s="22"/>
      <c r="G112" s="22"/>
      <c r="H112" s="22"/>
      <c r="I112" s="22"/>
      <c r="J112" s="211"/>
      <c r="K112" s="22"/>
      <c r="L112" s="22"/>
      <c r="M112" s="22"/>
      <c r="N112" s="22"/>
      <c r="O112" s="22"/>
      <c r="P112" s="22"/>
      <c r="Q112" s="22"/>
      <c r="R112" s="22"/>
    </row>
    <row r="113" ht="15" customHeight="1">
      <c r="A113" s="19"/>
      <c r="B113" s="100"/>
      <c r="C113" s="21"/>
      <c r="D113" s="211"/>
      <c r="E113" s="22"/>
      <c r="F113" s="22"/>
      <c r="G113" s="22"/>
      <c r="H113" s="22"/>
      <c r="I113" s="22"/>
      <c r="J113" s="22"/>
      <c r="K113" s="22"/>
      <c r="L113" s="22"/>
      <c r="M113" s="22"/>
      <c r="N113" s="22"/>
      <c r="O113" s="22"/>
      <c r="P113" s="22"/>
      <c r="Q113" s="22"/>
      <c r="R113" s="22"/>
    </row>
    <row r="114" ht="15" customHeight="1">
      <c r="A114" s="19"/>
      <c r="B114" s="100"/>
      <c r="C114" s="21"/>
      <c r="D114" s="22"/>
      <c r="E114" s="22"/>
      <c r="F114" s="22"/>
      <c r="G114" s="22"/>
      <c r="H114" s="22"/>
      <c r="I114" s="22"/>
      <c r="J114" s="22"/>
      <c r="K114" s="22"/>
      <c r="L114" s="22"/>
      <c r="M114" s="22"/>
      <c r="N114" s="22"/>
      <c r="O114" s="22"/>
      <c r="P114" s="22"/>
      <c r="Q114" s="22"/>
      <c r="R114" s="22"/>
    </row>
    <row r="115" ht="15" customHeight="1">
      <c r="A115" s="19"/>
      <c r="B115" s="100"/>
      <c r="C115" s="21"/>
      <c r="D115" s="22"/>
      <c r="E115" s="22"/>
      <c r="F115" s="22"/>
      <c r="G115" s="22"/>
      <c r="H115" s="22"/>
      <c r="I115" s="22"/>
      <c r="J115" s="22"/>
      <c r="K115" s="22"/>
      <c r="L115" s="22"/>
      <c r="M115" s="22"/>
      <c r="N115" s="22"/>
      <c r="O115" s="22"/>
      <c r="P115" s="22"/>
      <c r="Q115" s="22"/>
      <c r="R115" s="22"/>
    </row>
    <row r="116" ht="15" customHeight="1">
      <c r="A116" s="19"/>
      <c r="B116" s="100"/>
      <c r="C116" s="21"/>
      <c r="D116" s="22"/>
      <c r="E116" s="22"/>
      <c r="F116" s="22"/>
      <c r="G116" s="22"/>
      <c r="H116" s="22"/>
      <c r="I116" s="22"/>
      <c r="J116" s="22"/>
      <c r="K116" s="22"/>
      <c r="L116" s="22"/>
      <c r="M116" s="22"/>
      <c r="N116" s="22"/>
      <c r="O116" s="22"/>
      <c r="P116" s="22"/>
      <c r="Q116" s="22"/>
      <c r="R116" s="22"/>
    </row>
    <row r="117" ht="15" customHeight="1">
      <c r="A117" s="19"/>
      <c r="B117" s="100"/>
      <c r="C117" s="21"/>
      <c r="D117" s="22"/>
      <c r="E117" s="22"/>
      <c r="F117" s="22"/>
      <c r="G117" s="22"/>
      <c r="H117" s="22"/>
      <c r="I117" s="22"/>
      <c r="J117" s="22"/>
      <c r="K117" s="22"/>
      <c r="L117" s="22"/>
      <c r="M117" s="22"/>
      <c r="N117" s="22"/>
      <c r="O117" s="22"/>
      <c r="P117" s="22"/>
      <c r="Q117" s="22"/>
      <c r="R117" s="22"/>
    </row>
    <row r="118" ht="15" customHeight="1">
      <c r="A118" s="23"/>
      <c r="B118" s="101"/>
      <c r="C118" s="25"/>
      <c r="D118" s="26"/>
      <c r="E118" s="26"/>
      <c r="F118" s="26"/>
      <c r="G118" s="26"/>
      <c r="H118" s="26"/>
      <c r="I118" s="26"/>
      <c r="J118" s="26"/>
      <c r="K118" s="26"/>
      <c r="L118" s="26"/>
      <c r="M118" s="26"/>
      <c r="N118" s="26"/>
      <c r="O118" s="26"/>
      <c r="P118" s="26"/>
      <c r="Q118" s="26"/>
      <c r="R118" s="26"/>
    </row>
    <row r="119" ht="38.25" customHeight="1">
      <c r="A119" s="15">
        <v>12</v>
      </c>
      <c r="B119" t="s" s="102">
        <v>32</v>
      </c>
      <c r="C119" s="647">
        <v>1</v>
      </c>
      <c r="D119" t="s" s="430">
        <v>2689</v>
      </c>
      <c r="E119" t="s" s="431">
        <v>2690</v>
      </c>
      <c r="F119" t="s" s="430">
        <v>2691</v>
      </c>
      <c r="G119" s="438"/>
      <c r="H119" t="s" s="430">
        <v>2692</v>
      </c>
      <c r="I119" s="429">
        <v>2</v>
      </c>
      <c r="J119" t="s" s="430">
        <v>2693</v>
      </c>
      <c r="K119" s="429">
        <v>1</v>
      </c>
      <c r="L119" s="429">
        <v>2</v>
      </c>
      <c r="M119" s="438"/>
      <c r="N119" s="438"/>
      <c r="O119" s="438"/>
      <c r="P119" s="438"/>
      <c r="Q119" t="s" s="432">
        <v>2694</v>
      </c>
      <c r="R119" t="s" s="430">
        <v>2695</v>
      </c>
    </row>
    <row r="120" ht="15" customHeight="1">
      <c r="A120" s="19"/>
      <c r="B120" s="105"/>
      <c r="C120" s="106"/>
      <c r="D120" s="107"/>
      <c r="E120" s="107"/>
      <c r="F120" s="107"/>
      <c r="G120" s="107"/>
      <c r="H120" s="107"/>
      <c r="I120" s="107"/>
      <c r="J120" s="107"/>
      <c r="K120" s="107"/>
      <c r="L120" s="107"/>
      <c r="M120" s="107"/>
      <c r="N120" s="107"/>
      <c r="O120" s="107"/>
      <c r="P120" s="107"/>
      <c r="Q120" s="454"/>
      <c r="R120" s="107"/>
    </row>
    <row r="121" ht="15" customHeight="1">
      <c r="A121" s="19"/>
      <c r="B121" s="105"/>
      <c r="C121" s="106"/>
      <c r="D121" s="107"/>
      <c r="E121" s="107"/>
      <c r="F121" s="107"/>
      <c r="G121" s="107"/>
      <c r="H121" s="107"/>
      <c r="I121" s="107"/>
      <c r="J121" s="107"/>
      <c r="K121" s="107"/>
      <c r="L121" s="107"/>
      <c r="M121" s="107"/>
      <c r="N121" s="107"/>
      <c r="O121" s="107"/>
      <c r="P121" s="107"/>
      <c r="Q121" s="107"/>
      <c r="R121" s="107"/>
    </row>
    <row r="122" ht="15" customHeight="1">
      <c r="A122" s="19"/>
      <c r="B122" s="105"/>
      <c r="C122" s="106"/>
      <c r="D122" s="107"/>
      <c r="E122" s="107"/>
      <c r="F122" s="107"/>
      <c r="G122" s="107"/>
      <c r="H122" s="107"/>
      <c r="I122" s="107"/>
      <c r="J122" s="107"/>
      <c r="K122" s="107"/>
      <c r="L122" s="107"/>
      <c r="M122" s="107"/>
      <c r="N122" s="107"/>
      <c r="O122" s="107"/>
      <c r="P122" s="107"/>
      <c r="Q122" s="107"/>
      <c r="R122" s="107"/>
    </row>
    <row r="123" ht="15" customHeight="1">
      <c r="A123" s="19"/>
      <c r="B123" s="105"/>
      <c r="C123" s="106"/>
      <c r="D123" s="107"/>
      <c r="E123" s="107"/>
      <c r="F123" s="107"/>
      <c r="G123" s="107"/>
      <c r="H123" s="107"/>
      <c r="I123" s="107"/>
      <c r="J123" s="107"/>
      <c r="K123" s="107"/>
      <c r="L123" s="107"/>
      <c r="M123" s="107"/>
      <c r="N123" s="107"/>
      <c r="O123" s="107"/>
      <c r="P123" s="107"/>
      <c r="Q123" s="107"/>
      <c r="R123" s="107"/>
    </row>
    <row r="124" ht="15" customHeight="1">
      <c r="A124" s="19"/>
      <c r="B124" s="105"/>
      <c r="C124" s="106"/>
      <c r="D124" s="107"/>
      <c r="E124" s="107"/>
      <c r="F124" s="107"/>
      <c r="G124" s="107"/>
      <c r="H124" s="107"/>
      <c r="I124" s="107"/>
      <c r="J124" s="107"/>
      <c r="K124" s="107"/>
      <c r="L124" s="107"/>
      <c r="M124" s="107"/>
      <c r="N124" s="107"/>
      <c r="O124" s="107"/>
      <c r="P124" s="107"/>
      <c r="Q124" s="107"/>
      <c r="R124" s="107"/>
    </row>
    <row r="125" ht="15" customHeight="1">
      <c r="A125" s="23"/>
      <c r="B125" s="108"/>
      <c r="C125" s="109"/>
      <c r="D125" s="110"/>
      <c r="E125" s="110"/>
      <c r="F125" s="110"/>
      <c r="G125" s="110"/>
      <c r="H125" s="110"/>
      <c r="I125" s="110"/>
      <c r="J125" s="110"/>
      <c r="K125" s="110"/>
      <c r="L125" s="110"/>
      <c r="M125" s="110"/>
      <c r="N125" s="110"/>
      <c r="O125" s="110"/>
      <c r="P125" s="110"/>
      <c r="Q125" s="110"/>
      <c r="R125" s="110"/>
    </row>
    <row r="126" ht="48.75" customHeight="1">
      <c r="A126" s="15">
        <v>13</v>
      </c>
      <c r="B126" t="s" s="111">
        <v>34</v>
      </c>
      <c r="C126" t="s" s="653">
        <v>2696</v>
      </c>
      <c r="D126" t="s" s="112">
        <v>2697</v>
      </c>
      <c r="E126" t="s" s="506">
        <v>2698</v>
      </c>
      <c r="F126" t="s" s="385">
        <v>2699</v>
      </c>
      <c r="G126" s="972"/>
      <c r="H126" t="s" s="385">
        <v>2700</v>
      </c>
      <c r="I126" s="285">
        <v>0</v>
      </c>
      <c r="J126" t="s" s="635">
        <v>2701</v>
      </c>
      <c r="K126" s="285">
        <v>0</v>
      </c>
      <c r="L126" s="285">
        <v>2</v>
      </c>
      <c r="M126" s="123"/>
      <c r="N126" s="123"/>
      <c r="O126" s="123"/>
      <c r="P126" t="s" s="635">
        <v>2702</v>
      </c>
      <c r="Q126" t="s" s="485">
        <v>2703</v>
      </c>
      <c r="R126" t="s" s="635">
        <v>2704</v>
      </c>
    </row>
    <row r="127" ht="15" customHeight="1">
      <c r="A127" s="19"/>
      <c r="B127" s="113"/>
      <c r="C127" s="58"/>
      <c r="D127" s="59"/>
      <c r="E127" s="510"/>
      <c r="F127" s="394"/>
      <c r="G127" s="394"/>
      <c r="H127" s="394"/>
      <c r="I127" s="59"/>
      <c r="J127" s="465"/>
      <c r="K127" s="59"/>
      <c r="L127" s="59"/>
      <c r="M127" s="59"/>
      <c r="N127" s="59"/>
      <c r="O127" s="59"/>
      <c r="P127" s="465"/>
      <c r="Q127" s="59"/>
      <c r="R127" s="465"/>
    </row>
    <row r="128" ht="15" customHeight="1">
      <c r="A128" s="19"/>
      <c r="B128" s="113"/>
      <c r="C128" s="58"/>
      <c r="D128" s="59"/>
      <c r="E128" s="510"/>
      <c r="F128" s="394"/>
      <c r="G128" s="394"/>
      <c r="H128" s="59"/>
      <c r="I128" s="59"/>
      <c r="J128" s="465"/>
      <c r="K128" s="59"/>
      <c r="L128" s="59"/>
      <c r="M128" s="59"/>
      <c r="N128" s="59"/>
      <c r="O128" s="59"/>
      <c r="P128" s="59"/>
      <c r="Q128" s="59"/>
      <c r="R128" s="59"/>
    </row>
    <row r="129" ht="15" customHeight="1">
      <c r="A129" s="19"/>
      <c r="B129" s="113"/>
      <c r="C129" s="58"/>
      <c r="D129" s="59"/>
      <c r="E129" s="59"/>
      <c r="F129" s="394"/>
      <c r="G129" s="394"/>
      <c r="H129" s="59"/>
      <c r="I129" s="59"/>
      <c r="J129" s="59"/>
      <c r="K129" s="59"/>
      <c r="L129" s="59"/>
      <c r="M129" s="59"/>
      <c r="N129" s="59"/>
      <c r="O129" s="59"/>
      <c r="P129" s="59"/>
      <c r="Q129" s="59"/>
      <c r="R129" s="59"/>
    </row>
    <row r="130" ht="15" customHeight="1">
      <c r="A130" s="19"/>
      <c r="B130" s="113"/>
      <c r="C130" s="58"/>
      <c r="D130" s="59"/>
      <c r="E130" s="59"/>
      <c r="F130" s="394"/>
      <c r="G130" s="394"/>
      <c r="H130" s="59"/>
      <c r="I130" s="59"/>
      <c r="J130" s="59"/>
      <c r="K130" s="59"/>
      <c r="L130" s="59"/>
      <c r="M130" s="59"/>
      <c r="N130" s="59"/>
      <c r="O130" s="59"/>
      <c r="P130" s="59"/>
      <c r="Q130" s="59"/>
      <c r="R130" s="59"/>
    </row>
    <row r="131" ht="15" customHeight="1">
      <c r="A131" s="19"/>
      <c r="B131" s="113"/>
      <c r="C131" s="58"/>
      <c r="D131" s="59"/>
      <c r="E131" s="59"/>
      <c r="F131" s="394"/>
      <c r="G131" s="394"/>
      <c r="H131" s="59"/>
      <c r="I131" s="59"/>
      <c r="J131" s="59"/>
      <c r="K131" s="59"/>
      <c r="L131" s="59"/>
      <c r="M131" s="59"/>
      <c r="N131" s="59"/>
      <c r="O131" s="59"/>
      <c r="P131" s="59"/>
      <c r="Q131" s="59"/>
      <c r="R131" s="59"/>
    </row>
    <row r="132" ht="15" customHeight="1">
      <c r="A132" s="19"/>
      <c r="B132" s="113"/>
      <c r="C132" s="58"/>
      <c r="D132" s="59"/>
      <c r="E132" s="59"/>
      <c r="F132" s="394"/>
      <c r="G132" s="394"/>
      <c r="H132" s="59"/>
      <c r="I132" s="59"/>
      <c r="J132" s="59"/>
      <c r="K132" s="59"/>
      <c r="L132" s="59"/>
      <c r="M132" s="59"/>
      <c r="N132" s="59"/>
      <c r="O132" s="59"/>
      <c r="P132" s="59"/>
      <c r="Q132" s="59"/>
      <c r="R132" s="59"/>
    </row>
    <row r="133" ht="15" customHeight="1">
      <c r="A133" s="19"/>
      <c r="B133" s="113"/>
      <c r="C133" s="58"/>
      <c r="D133" s="59"/>
      <c r="E133" s="59"/>
      <c r="F133" s="59"/>
      <c r="G133" s="59"/>
      <c r="H133" s="59"/>
      <c r="I133" s="59"/>
      <c r="J133" s="59"/>
      <c r="K133" s="59"/>
      <c r="L133" s="59"/>
      <c r="M133" s="59"/>
      <c r="N133" s="59"/>
      <c r="O133" s="59"/>
      <c r="P133" s="59"/>
      <c r="Q133" s="59"/>
      <c r="R133" s="59"/>
    </row>
    <row r="134" ht="15" customHeight="1">
      <c r="A134" s="19"/>
      <c r="B134" s="113"/>
      <c r="C134" s="58"/>
      <c r="D134" s="59"/>
      <c r="E134" s="59"/>
      <c r="F134" s="59"/>
      <c r="G134" s="59"/>
      <c r="H134" s="59"/>
      <c r="I134" s="59"/>
      <c r="J134" s="59"/>
      <c r="K134" s="59"/>
      <c r="L134" s="59"/>
      <c r="M134" s="59"/>
      <c r="N134" s="59"/>
      <c r="O134" s="59"/>
      <c r="P134" s="59"/>
      <c r="Q134" s="59"/>
      <c r="R134" s="59"/>
    </row>
    <row r="135" ht="15" customHeight="1">
      <c r="A135" s="19"/>
      <c r="B135" s="113"/>
      <c r="C135" s="58"/>
      <c r="D135" s="59"/>
      <c r="E135" s="59"/>
      <c r="F135" s="59"/>
      <c r="G135" s="59"/>
      <c r="H135" s="59"/>
      <c r="I135" s="59"/>
      <c r="J135" s="59"/>
      <c r="K135" s="59"/>
      <c r="L135" s="59"/>
      <c r="M135" s="59"/>
      <c r="N135" s="59"/>
      <c r="O135" s="59"/>
      <c r="P135" s="59"/>
      <c r="Q135" s="59"/>
      <c r="R135" s="59"/>
    </row>
    <row r="136" ht="15" customHeight="1">
      <c r="A136" s="23"/>
      <c r="B136" s="114"/>
      <c r="C136" s="63"/>
      <c r="D136" s="64"/>
      <c r="E136" s="64"/>
      <c r="F136" s="64"/>
      <c r="G136" s="64"/>
      <c r="H136" s="64"/>
      <c r="I136" s="64"/>
      <c r="J136" s="64"/>
      <c r="K136" s="64"/>
      <c r="L136" s="64"/>
      <c r="M136" s="64"/>
      <c r="N136" s="64"/>
      <c r="O136" s="64"/>
      <c r="P136" s="64"/>
      <c r="Q136" s="64"/>
      <c r="R136" s="64"/>
    </row>
    <row r="137" ht="48" customHeight="1">
      <c r="A137" s="15">
        <v>14</v>
      </c>
      <c r="B137" t="s" s="115">
        <v>38</v>
      </c>
      <c r="C137" s="625">
        <v>1</v>
      </c>
      <c r="D137" t="s" s="171">
        <v>2705</v>
      </c>
      <c r="E137" t="s" s="18">
        <v>2706</v>
      </c>
      <c r="F137" t="s" s="18">
        <v>2707</v>
      </c>
      <c r="G137" s="169"/>
      <c r="H137" t="s" s="171">
        <v>2708</v>
      </c>
      <c r="I137" s="166">
        <v>9</v>
      </c>
      <c r="J137" t="s" s="171">
        <v>2709</v>
      </c>
      <c r="K137" t="s" s="18">
        <v>2710</v>
      </c>
      <c r="L137" s="166">
        <v>1</v>
      </c>
      <c r="M137" t="s" s="18">
        <v>2711</v>
      </c>
      <c r="N137" t="s" s="171">
        <v>2712</v>
      </c>
      <c r="O137" t="s" s="18">
        <v>2713</v>
      </c>
      <c r="P137" t="s" s="18">
        <v>2714</v>
      </c>
      <c r="Q137" t="s" s="171">
        <v>2715</v>
      </c>
      <c r="R137" t="s" s="18">
        <v>2716</v>
      </c>
    </row>
    <row r="138" ht="15" customHeight="1">
      <c r="A138" s="19"/>
      <c r="B138" s="116"/>
      <c r="C138" s="21"/>
      <c r="D138" s="22"/>
      <c r="E138" s="22"/>
      <c r="F138" s="22"/>
      <c r="G138" s="22"/>
      <c r="H138" s="22"/>
      <c r="I138" s="22"/>
      <c r="J138" s="22"/>
      <c r="K138" s="22"/>
      <c r="L138" s="22"/>
      <c r="M138" s="22"/>
      <c r="N138" s="22"/>
      <c r="O138" s="22"/>
      <c r="P138" s="22"/>
      <c r="Q138" s="22"/>
      <c r="R138" s="22"/>
    </row>
    <row r="139" ht="15" customHeight="1">
      <c r="A139" s="19"/>
      <c r="B139" s="116"/>
      <c r="C139" s="21"/>
      <c r="D139" s="22"/>
      <c r="E139" s="22"/>
      <c r="F139" s="22"/>
      <c r="G139" s="22"/>
      <c r="H139" s="22"/>
      <c r="I139" s="22"/>
      <c r="J139" s="22"/>
      <c r="K139" s="22"/>
      <c r="L139" s="22"/>
      <c r="M139" s="22"/>
      <c r="N139" s="22"/>
      <c r="O139" s="22"/>
      <c r="P139" s="22"/>
      <c r="Q139" s="22"/>
      <c r="R139" s="22"/>
    </row>
    <row r="140" ht="15" customHeight="1">
      <c r="A140" s="19"/>
      <c r="B140" s="116"/>
      <c r="C140" s="21"/>
      <c r="D140" s="22"/>
      <c r="E140" s="22"/>
      <c r="F140" s="22"/>
      <c r="G140" s="22"/>
      <c r="H140" s="22"/>
      <c r="I140" s="22"/>
      <c r="J140" s="22"/>
      <c r="K140" s="22"/>
      <c r="L140" s="22"/>
      <c r="M140" s="22"/>
      <c r="N140" s="22"/>
      <c r="O140" s="22"/>
      <c r="P140" s="22"/>
      <c r="Q140" s="22"/>
      <c r="R140" s="22"/>
    </row>
    <row r="141" ht="15" customHeight="1">
      <c r="A141" s="19"/>
      <c r="B141" s="116"/>
      <c r="C141" s="21"/>
      <c r="D141" s="22"/>
      <c r="E141" s="22"/>
      <c r="F141" s="22"/>
      <c r="G141" s="22"/>
      <c r="H141" s="22"/>
      <c r="I141" s="22"/>
      <c r="J141" s="22"/>
      <c r="K141" s="22"/>
      <c r="L141" s="22"/>
      <c r="M141" s="22"/>
      <c r="N141" s="22"/>
      <c r="O141" s="22"/>
      <c r="P141" s="22"/>
      <c r="Q141" s="22"/>
      <c r="R141" s="22"/>
    </row>
    <row r="142" ht="15" customHeight="1">
      <c r="A142" s="23"/>
      <c r="B142" s="117"/>
      <c r="C142" s="25"/>
      <c r="D142" s="26"/>
      <c r="E142" s="26"/>
      <c r="F142" s="26"/>
      <c r="G142" s="26"/>
      <c r="H142" s="26"/>
      <c r="I142" s="26"/>
      <c r="J142" s="26"/>
      <c r="K142" s="26"/>
      <c r="L142" s="26"/>
      <c r="M142" s="26"/>
      <c r="N142" s="26"/>
      <c r="O142" s="26"/>
      <c r="P142" s="26"/>
      <c r="Q142" s="26"/>
      <c r="R142" s="26"/>
    </row>
    <row r="143" ht="144" customHeight="1">
      <c r="A143" s="52">
        <v>15</v>
      </c>
      <c r="B143" t="s" s="111">
        <v>40</v>
      </c>
      <c r="C143" t="s" s="694">
        <v>2717</v>
      </c>
      <c r="D143" t="s" s="112">
        <v>2718</v>
      </c>
      <c r="E143" t="s" s="482">
        <v>2719</v>
      </c>
      <c r="F143" t="s" s="484">
        <v>2720</v>
      </c>
      <c r="G143" s="123"/>
      <c r="H143" t="s" s="112">
        <v>2721</v>
      </c>
      <c r="I143" s="284">
        <v>3</v>
      </c>
      <c r="J143" t="s" s="482">
        <v>2722</v>
      </c>
      <c r="K143" s="285">
        <v>0</v>
      </c>
      <c r="L143" t="s" s="483">
        <v>2723</v>
      </c>
      <c r="M143" t="s" s="484">
        <v>2724</v>
      </c>
      <c r="N143" t="s" s="483">
        <v>2725</v>
      </c>
      <c r="O143" t="s" s="482">
        <v>2726</v>
      </c>
      <c r="P143" t="s" s="482">
        <v>2727</v>
      </c>
      <c r="Q143" t="s" s="483">
        <v>2728</v>
      </c>
      <c r="R143" t="s" s="483">
        <v>2729</v>
      </c>
    </row>
    <row r="144" ht="26.1" customHeight="1">
      <c r="A144" s="56"/>
      <c r="B144" s="113"/>
      <c r="C144" s="58"/>
      <c r="D144" s="59"/>
      <c r="E144" s="488"/>
      <c r="F144" s="491"/>
      <c r="G144" s="59"/>
      <c r="H144" s="59"/>
      <c r="I144" s="59"/>
      <c r="J144" s="488"/>
      <c r="K144" s="59"/>
      <c r="L144" s="59"/>
      <c r="M144" s="491"/>
      <c r="N144" s="59"/>
      <c r="O144" s="488"/>
      <c r="P144" s="488"/>
      <c r="Q144" s="59"/>
      <c r="R144" s="59"/>
    </row>
    <row r="145" ht="26.1" customHeight="1">
      <c r="A145" s="56"/>
      <c r="B145" s="113"/>
      <c r="C145" s="58"/>
      <c r="D145" s="59"/>
      <c r="E145" s="488"/>
      <c r="F145" s="491"/>
      <c r="G145" s="59"/>
      <c r="H145" s="59"/>
      <c r="I145" s="59"/>
      <c r="J145" s="488"/>
      <c r="K145" s="59"/>
      <c r="L145" s="59"/>
      <c r="M145" s="491"/>
      <c r="N145" s="59"/>
      <c r="O145" s="488"/>
      <c r="P145" s="488"/>
      <c r="Q145" s="59"/>
      <c r="R145" s="59"/>
    </row>
    <row r="146" ht="26.1" customHeight="1">
      <c r="A146" s="56"/>
      <c r="B146" s="113"/>
      <c r="C146" s="58"/>
      <c r="D146" s="59"/>
      <c r="E146" s="488"/>
      <c r="F146" s="491"/>
      <c r="G146" s="59"/>
      <c r="H146" s="59"/>
      <c r="I146" s="59"/>
      <c r="J146" s="488"/>
      <c r="K146" s="59"/>
      <c r="L146" s="59"/>
      <c r="M146" s="491"/>
      <c r="N146" s="59"/>
      <c r="O146" s="488"/>
      <c r="P146" s="488"/>
      <c r="Q146" s="59"/>
      <c r="R146" s="59"/>
    </row>
    <row r="147" ht="26.1" customHeight="1">
      <c r="A147" s="56"/>
      <c r="B147" s="113"/>
      <c r="C147" s="58"/>
      <c r="D147" s="59"/>
      <c r="E147" s="59"/>
      <c r="F147" s="491"/>
      <c r="G147" s="59"/>
      <c r="H147" s="59"/>
      <c r="I147" s="59"/>
      <c r="J147" s="59"/>
      <c r="K147" s="59"/>
      <c r="L147" s="59"/>
      <c r="M147" s="491"/>
      <c r="N147" s="59"/>
      <c r="O147" s="488"/>
      <c r="P147" s="59"/>
      <c r="Q147" s="59"/>
      <c r="R147" s="59"/>
    </row>
    <row r="148" ht="26.1" customHeight="1">
      <c r="A148" s="56"/>
      <c r="B148" s="113"/>
      <c r="C148" s="58"/>
      <c r="D148" s="59"/>
      <c r="E148" s="59"/>
      <c r="F148" s="59"/>
      <c r="G148" s="59"/>
      <c r="H148" s="59"/>
      <c r="I148" s="59"/>
      <c r="J148" s="59"/>
      <c r="K148" s="59"/>
      <c r="L148" s="59"/>
      <c r="M148" s="491"/>
      <c r="N148" s="59"/>
      <c r="O148" s="488"/>
      <c r="P148" s="59"/>
      <c r="Q148" s="59"/>
      <c r="R148" s="59"/>
    </row>
    <row r="149" ht="26.1" customHeight="1">
      <c r="A149" s="119"/>
      <c r="B149" s="114"/>
      <c r="C149" s="63"/>
      <c r="D149" s="64"/>
      <c r="E149" s="64"/>
      <c r="F149" s="64"/>
      <c r="G149" s="64"/>
      <c r="H149" s="64"/>
      <c r="I149" s="64"/>
      <c r="J149" s="64"/>
      <c r="K149" s="64"/>
      <c r="L149" s="64"/>
      <c r="M149" s="64"/>
      <c r="N149" s="64"/>
      <c r="O149" s="64"/>
      <c r="P149" s="64"/>
      <c r="Q149" s="64"/>
      <c r="R149" s="64"/>
    </row>
    <row r="150" ht="72" customHeight="1">
      <c r="A150" s="15">
        <v>16</v>
      </c>
      <c r="B150" t="s" s="115">
        <v>43</v>
      </c>
      <c r="C150" t="s" s="29">
        <v>2660</v>
      </c>
      <c r="D150" t="s" s="18">
        <v>2730</v>
      </c>
      <c r="E150" t="s" s="18">
        <v>2731</v>
      </c>
      <c r="F150" t="s" s="171">
        <v>2732</v>
      </c>
      <c r="G150" s="168"/>
      <c r="H150" t="s" s="171">
        <v>2733</v>
      </c>
      <c r="I150" t="s" s="18">
        <v>2734</v>
      </c>
      <c r="J150" t="s" s="700">
        <v>2735</v>
      </c>
      <c r="K150" t="s" s="18">
        <v>2736</v>
      </c>
      <c r="L150" s="166">
        <v>1</v>
      </c>
      <c r="M150" t="s" s="171">
        <v>2737</v>
      </c>
      <c r="N150" t="s" s="171">
        <v>2738</v>
      </c>
      <c r="O150" t="s" s="700">
        <v>2739</v>
      </c>
      <c r="P150" t="s" s="18">
        <v>197</v>
      </c>
      <c r="Q150" t="s" s="171">
        <v>2740</v>
      </c>
      <c r="R150" t="s" s="171">
        <v>2741</v>
      </c>
    </row>
    <row r="151" ht="108" customHeight="1">
      <c r="A151" s="19"/>
      <c r="B151" s="120"/>
      <c r="C151" t="s" s="250">
        <v>2742</v>
      </c>
      <c r="D151" t="s" s="209">
        <v>2743</v>
      </c>
      <c r="E151" t="s" s="182">
        <v>2744</v>
      </c>
      <c r="F151" t="s" s="209">
        <v>2745</v>
      </c>
      <c r="G151" s="22"/>
      <c r="H151" t="s" s="661">
        <v>2746</v>
      </c>
      <c r="I151" t="s" s="182">
        <v>2747</v>
      </c>
      <c r="J151" t="s" s="182">
        <v>2748</v>
      </c>
      <c r="K151" t="s" s="209">
        <v>2749</v>
      </c>
      <c r="L151" s="208">
        <v>2</v>
      </c>
      <c r="M151" s="22"/>
      <c r="N151" s="22"/>
      <c r="O151" s="22"/>
      <c r="P151" s="22"/>
      <c r="Q151" t="s" s="182">
        <v>2750</v>
      </c>
      <c r="R151" t="s" s="243">
        <v>2751</v>
      </c>
    </row>
    <row r="152" ht="15" customHeight="1">
      <c r="A152" s="19"/>
      <c r="B152" s="120"/>
      <c r="C152" s="21"/>
      <c r="D152" s="22"/>
      <c r="E152" s="22"/>
      <c r="F152" s="22"/>
      <c r="G152" s="22"/>
      <c r="H152" s="22"/>
      <c r="I152" s="22"/>
      <c r="J152" s="22"/>
      <c r="K152" s="22"/>
      <c r="L152" s="22"/>
      <c r="M152" s="22"/>
      <c r="N152" s="22"/>
      <c r="O152" s="22"/>
      <c r="P152" s="22"/>
      <c r="Q152" s="22"/>
      <c r="R152" s="211"/>
    </row>
    <row r="153" ht="15" customHeight="1">
      <c r="A153" s="19"/>
      <c r="B153" s="120"/>
      <c r="C153" s="21"/>
      <c r="D153" s="22"/>
      <c r="E153" s="22"/>
      <c r="F153" s="22"/>
      <c r="G153" s="22"/>
      <c r="H153" s="22"/>
      <c r="I153" s="22"/>
      <c r="J153" s="22"/>
      <c r="K153" s="22"/>
      <c r="L153" s="22"/>
      <c r="M153" s="22"/>
      <c r="N153" s="22"/>
      <c r="O153" s="22"/>
      <c r="P153" s="22"/>
      <c r="Q153" s="22"/>
      <c r="R153" s="211"/>
    </row>
    <row r="154" ht="15" customHeight="1">
      <c r="A154" s="19"/>
      <c r="B154" s="120"/>
      <c r="C154" s="21"/>
      <c r="D154" s="22"/>
      <c r="E154" s="22"/>
      <c r="F154" s="22"/>
      <c r="G154" s="22"/>
      <c r="H154" s="22"/>
      <c r="I154" s="22"/>
      <c r="J154" s="22"/>
      <c r="K154" s="22"/>
      <c r="L154" s="22"/>
      <c r="M154" s="22"/>
      <c r="N154" s="22"/>
      <c r="O154" s="22"/>
      <c r="P154" s="22"/>
      <c r="Q154" s="22"/>
      <c r="R154" s="22"/>
    </row>
    <row r="155" ht="15" customHeight="1">
      <c r="A155" s="19"/>
      <c r="B155" s="120"/>
      <c r="C155" s="21"/>
      <c r="D155" s="22"/>
      <c r="E155" s="22"/>
      <c r="F155" s="22"/>
      <c r="G155" s="22"/>
      <c r="H155" s="22"/>
      <c r="I155" s="22"/>
      <c r="J155" s="22"/>
      <c r="K155" s="22"/>
      <c r="L155" s="22"/>
      <c r="M155" s="22"/>
      <c r="N155" s="22"/>
      <c r="O155" s="22"/>
      <c r="P155" s="22"/>
      <c r="Q155" s="22"/>
      <c r="R155" s="22"/>
    </row>
    <row r="156" ht="13.75" customHeight="1">
      <c r="A156" s="19"/>
      <c r="B156" s="120"/>
      <c r="C156" s="21"/>
      <c r="D156" s="22"/>
      <c r="E156" s="22"/>
      <c r="F156" s="22"/>
      <c r="G156" s="22"/>
      <c r="H156" s="22"/>
      <c r="I156" s="22"/>
      <c r="J156" s="22"/>
      <c r="K156" s="22"/>
      <c r="L156" s="22"/>
      <c r="M156" s="22"/>
      <c r="N156" s="22"/>
      <c r="O156" s="22"/>
      <c r="P156" s="22"/>
      <c r="Q156" s="22"/>
      <c r="R156" s="22"/>
    </row>
    <row r="157" ht="13.75" customHeight="1">
      <c r="A157" s="19"/>
      <c r="B157" s="120"/>
      <c r="C157" s="21"/>
      <c r="D157" s="22"/>
      <c r="E157" s="22"/>
      <c r="F157" s="22"/>
      <c r="G157" s="22"/>
      <c r="H157" s="22"/>
      <c r="I157" s="22"/>
      <c r="J157" s="22"/>
      <c r="K157" s="22"/>
      <c r="L157" s="22"/>
      <c r="M157" s="22"/>
      <c r="N157" s="22"/>
      <c r="O157" s="22"/>
      <c r="P157" s="22"/>
      <c r="Q157" s="22"/>
      <c r="R157" s="22"/>
    </row>
    <row r="158" ht="13.75" customHeight="1">
      <c r="A158" s="19"/>
      <c r="B158" s="120"/>
      <c r="C158" s="21"/>
      <c r="D158" s="22"/>
      <c r="E158" s="22"/>
      <c r="F158" s="22"/>
      <c r="G158" s="22"/>
      <c r="H158" s="22"/>
      <c r="I158" s="22"/>
      <c r="J158" s="22"/>
      <c r="K158" s="22"/>
      <c r="L158" s="22"/>
      <c r="M158" s="22"/>
      <c r="N158" s="22"/>
      <c r="O158" s="22"/>
      <c r="P158" s="22"/>
      <c r="Q158" s="22"/>
      <c r="R158" s="22"/>
    </row>
    <row r="159" ht="13.75" customHeight="1">
      <c r="A159" s="19"/>
      <c r="B159" s="120"/>
      <c r="C159" s="21"/>
      <c r="D159" s="22"/>
      <c r="E159" s="22"/>
      <c r="F159" s="22"/>
      <c r="G159" s="22"/>
      <c r="H159" s="22"/>
      <c r="I159" s="22"/>
      <c r="J159" s="22"/>
      <c r="K159" s="22"/>
      <c r="L159" s="22"/>
      <c r="M159" s="22"/>
      <c r="N159" s="22"/>
      <c r="O159" s="22"/>
      <c r="P159" s="22"/>
      <c r="Q159" s="22"/>
      <c r="R159" s="22"/>
    </row>
    <row r="160" ht="13.75" customHeight="1">
      <c r="A160" s="19"/>
      <c r="B160" s="120"/>
      <c r="C160" s="21"/>
      <c r="D160" s="22"/>
      <c r="E160" s="22"/>
      <c r="F160" s="22"/>
      <c r="G160" s="22"/>
      <c r="H160" s="22"/>
      <c r="I160" s="22"/>
      <c r="J160" s="22"/>
      <c r="K160" s="22"/>
      <c r="L160" s="22"/>
      <c r="M160" s="22"/>
      <c r="N160" s="22"/>
      <c r="O160" s="22"/>
      <c r="P160" s="22"/>
      <c r="Q160" s="22"/>
      <c r="R160" s="22"/>
    </row>
    <row r="161" ht="13.55" customHeight="1">
      <c r="A161" s="23"/>
      <c r="B161" s="114"/>
      <c r="C161" s="63"/>
      <c r="D161" s="64"/>
      <c r="E161" s="64"/>
      <c r="F161" s="64"/>
      <c r="G161" s="64"/>
      <c r="H161" s="64"/>
      <c r="I161" s="64"/>
      <c r="J161" s="64"/>
      <c r="K161" s="64"/>
      <c r="L161" s="64"/>
      <c r="M161" s="64"/>
      <c r="N161" s="64"/>
      <c r="O161" s="64"/>
      <c r="P161" s="64"/>
      <c r="Q161" s="64"/>
      <c r="R161" s="64"/>
    </row>
    <row r="162" ht="13.55" customHeight="1">
      <c r="A162" s="121"/>
      <c r="B162" s="122"/>
      <c r="C162" s="123"/>
      <c r="D162" s="123"/>
      <c r="E162" s="123"/>
      <c r="F162" s="123"/>
      <c r="G162" s="123"/>
      <c r="H162" s="123"/>
      <c r="I162" s="123"/>
      <c r="J162" s="123"/>
      <c r="K162" s="123"/>
      <c r="L162" s="123"/>
      <c r="M162" s="123"/>
      <c r="N162" s="123"/>
      <c r="O162" s="123"/>
      <c r="P162" s="123"/>
      <c r="Q162" s="123"/>
      <c r="R162" s="123"/>
    </row>
    <row r="163" ht="13.55" customHeight="1">
      <c r="A163" s="124"/>
      <c r="B163" s="125"/>
      <c r="C163" s="59"/>
      <c r="D163" s="59"/>
      <c r="E163" s="59"/>
      <c r="F163" s="59"/>
      <c r="G163" s="59"/>
      <c r="H163" s="59"/>
      <c r="I163" s="59"/>
      <c r="J163" s="59"/>
      <c r="K163" s="59"/>
      <c r="L163" s="59"/>
      <c r="M163" s="59"/>
      <c r="N163" s="59"/>
      <c r="O163" s="59"/>
      <c r="P163" s="59"/>
      <c r="Q163" s="59"/>
      <c r="R163" s="59"/>
    </row>
    <row r="164" ht="13.55" customHeight="1">
      <c r="A164" s="124"/>
      <c r="B164" s="125"/>
      <c r="C164" s="59"/>
      <c r="D164" s="59"/>
      <c r="E164" s="59"/>
      <c r="F164" s="59"/>
      <c r="G164" s="59"/>
      <c r="H164" s="59"/>
      <c r="I164" s="59"/>
      <c r="J164" s="59"/>
      <c r="K164" s="59"/>
      <c r="L164" s="59"/>
      <c r="M164" s="59"/>
      <c r="N164" s="59"/>
      <c r="O164" s="59"/>
      <c r="P164" s="59"/>
      <c r="Q164" s="59"/>
      <c r="R164" s="59"/>
    </row>
    <row r="165" ht="13.55" customHeight="1">
      <c r="A165" s="124"/>
      <c r="B165" s="125"/>
      <c r="C165" s="59"/>
      <c r="D165" s="59"/>
      <c r="E165" s="59"/>
      <c r="F165" s="59"/>
      <c r="G165" s="59"/>
      <c r="H165" s="59"/>
      <c r="I165" s="59"/>
      <c r="J165" s="59"/>
      <c r="K165" s="59"/>
      <c r="L165" s="59"/>
      <c r="M165" s="59"/>
      <c r="N165" s="59"/>
      <c r="O165" s="59"/>
      <c r="P165" s="59"/>
      <c r="Q165" s="59"/>
      <c r="R165" s="59"/>
    </row>
    <row r="166" ht="13.55" customHeight="1">
      <c r="A166" s="124"/>
      <c r="B166" s="125"/>
      <c r="C166" s="59"/>
      <c r="D166" s="59"/>
      <c r="E166" s="59"/>
      <c r="F166" s="59"/>
      <c r="G166" s="59"/>
      <c r="H166" s="59"/>
      <c r="I166" s="59"/>
      <c r="J166" s="59"/>
      <c r="K166" s="59"/>
      <c r="L166" s="59"/>
      <c r="M166" s="59"/>
      <c r="N166" s="59"/>
      <c r="O166" s="59"/>
      <c r="P166" s="59"/>
      <c r="Q166" s="59"/>
      <c r="R166" s="59"/>
    </row>
    <row r="167" ht="13.55" customHeight="1">
      <c r="A167" s="124"/>
      <c r="B167" s="125"/>
      <c r="C167" s="59"/>
      <c r="D167" s="59"/>
      <c r="E167" s="59"/>
      <c r="F167" s="59"/>
      <c r="G167" s="59"/>
      <c r="H167" s="59"/>
      <c r="I167" s="59"/>
      <c r="J167" s="59"/>
      <c r="K167" s="59"/>
      <c r="L167" s="59"/>
      <c r="M167" s="59"/>
      <c r="N167" s="59"/>
      <c r="O167" s="59"/>
      <c r="P167" s="59"/>
      <c r="Q167" s="59"/>
      <c r="R167" s="59"/>
    </row>
    <row r="168" ht="13.55" customHeight="1">
      <c r="A168" s="124"/>
      <c r="B168" s="125"/>
      <c r="C168" s="59"/>
      <c r="D168" s="59"/>
      <c r="E168" s="59"/>
      <c r="F168" s="59"/>
      <c r="G168" s="59"/>
      <c r="H168" s="59"/>
      <c r="I168" s="59"/>
      <c r="J168" s="59"/>
      <c r="K168" s="59"/>
      <c r="L168" s="59"/>
      <c r="M168" s="59"/>
      <c r="N168" s="59"/>
      <c r="O168" s="59"/>
      <c r="P168" s="59"/>
      <c r="Q168" s="59"/>
      <c r="R168" s="59"/>
    </row>
    <row r="169" ht="13.55" customHeight="1">
      <c r="A169" s="124"/>
      <c r="B169" s="125"/>
      <c r="C169" s="59"/>
      <c r="D169" s="59"/>
      <c r="E169" s="59"/>
      <c r="F169" s="59"/>
      <c r="G169" s="59"/>
      <c r="H169" s="59"/>
      <c r="I169" s="59"/>
      <c r="J169" s="59"/>
      <c r="K169" s="59"/>
      <c r="L169" s="59"/>
      <c r="M169" s="59"/>
      <c r="N169" s="59"/>
      <c r="O169" s="59"/>
      <c r="P169" s="59"/>
      <c r="Q169" s="59"/>
      <c r="R169" s="59"/>
    </row>
    <row r="170" ht="13.55" customHeight="1">
      <c r="A170" s="124"/>
      <c r="B170" s="125"/>
      <c r="C170" s="59"/>
      <c r="D170" s="59"/>
      <c r="E170" s="59"/>
      <c r="F170" s="59"/>
      <c r="G170" s="59"/>
      <c r="H170" s="59"/>
      <c r="I170" s="59"/>
      <c r="J170" s="59"/>
      <c r="K170" s="59"/>
      <c r="L170" s="59"/>
      <c r="M170" s="59"/>
      <c r="N170" s="59"/>
      <c r="O170" s="59"/>
      <c r="P170" s="59"/>
      <c r="Q170" s="59"/>
      <c r="R170" s="59"/>
    </row>
    <row r="171" ht="13.55" customHeight="1">
      <c r="A171" s="124"/>
      <c r="B171" s="125"/>
      <c r="C171" s="59"/>
      <c r="D171" s="59"/>
      <c r="E171" s="59"/>
      <c r="F171" s="59"/>
      <c r="G171" s="59"/>
      <c r="H171" s="59"/>
      <c r="I171" s="59"/>
      <c r="J171" s="59"/>
      <c r="K171" s="59"/>
      <c r="L171" s="59"/>
      <c r="M171" s="59"/>
      <c r="N171" s="59"/>
      <c r="O171" s="59"/>
      <c r="P171" s="59"/>
      <c r="Q171" s="59"/>
      <c r="R171" s="59"/>
    </row>
    <row r="172" ht="13.55" customHeight="1">
      <c r="A172" s="124"/>
      <c r="B172" s="125"/>
      <c r="C172" s="59"/>
      <c r="D172" s="59"/>
      <c r="E172" s="59"/>
      <c r="F172" s="59"/>
      <c r="G172" s="59"/>
      <c r="H172" s="59"/>
      <c r="I172" s="59"/>
      <c r="J172" s="59"/>
      <c r="K172" s="59"/>
      <c r="L172" s="59"/>
      <c r="M172" s="59"/>
      <c r="N172" s="59"/>
      <c r="O172" s="59"/>
      <c r="P172" s="59"/>
      <c r="Q172" s="59"/>
      <c r="R172" s="59"/>
    </row>
    <row r="173" ht="13.55" customHeight="1">
      <c r="A173" s="124"/>
      <c r="B173" s="125"/>
      <c r="C173" s="59"/>
      <c r="D173" s="59"/>
      <c r="E173" s="59"/>
      <c r="F173" s="59"/>
      <c r="G173" s="59"/>
      <c r="H173" s="59"/>
      <c r="I173" s="59"/>
      <c r="J173" s="59"/>
      <c r="K173" s="59"/>
      <c r="L173" s="59"/>
      <c r="M173" s="59"/>
      <c r="N173" s="59"/>
      <c r="O173" s="59"/>
      <c r="P173" s="59"/>
      <c r="Q173" s="59"/>
      <c r="R173" s="59"/>
    </row>
    <row r="174" ht="13.55" customHeight="1">
      <c r="A174" s="124"/>
      <c r="B174" s="125"/>
      <c r="C174" s="59"/>
      <c r="D174" s="59"/>
      <c r="E174" s="59"/>
      <c r="F174" s="59"/>
      <c r="G174" s="59"/>
      <c r="H174" s="59"/>
      <c r="I174" s="59"/>
      <c r="J174" s="59"/>
      <c r="K174" s="59"/>
      <c r="L174" s="59"/>
      <c r="M174" s="59"/>
      <c r="N174" s="59"/>
      <c r="O174" s="59"/>
      <c r="P174" s="59"/>
      <c r="Q174" s="59"/>
      <c r="R174" s="59"/>
    </row>
    <row r="175" ht="13.55" customHeight="1">
      <c r="A175" s="124"/>
      <c r="B175" s="125"/>
      <c r="C175" s="59"/>
      <c r="D175" s="59"/>
      <c r="E175" s="59"/>
      <c r="F175" s="59"/>
      <c r="G175" s="59"/>
      <c r="H175" s="59"/>
      <c r="I175" s="59"/>
      <c r="J175" s="59"/>
      <c r="K175" s="59"/>
      <c r="L175" s="59"/>
      <c r="M175" s="59"/>
      <c r="N175" s="59"/>
      <c r="O175" s="59"/>
      <c r="P175" s="59"/>
      <c r="Q175" s="59"/>
      <c r="R175" s="59"/>
    </row>
    <row r="176" ht="13.55" customHeight="1">
      <c r="A176" s="124"/>
      <c r="B176" s="125"/>
      <c r="C176" s="59"/>
      <c r="D176" s="59"/>
      <c r="E176" s="59"/>
      <c r="F176" s="59"/>
      <c r="G176" s="59"/>
      <c r="H176" s="59"/>
      <c r="I176" s="59"/>
      <c r="J176" s="59"/>
      <c r="K176" s="59"/>
      <c r="L176" s="59"/>
      <c r="M176" s="59"/>
      <c r="N176" s="59"/>
      <c r="O176" s="59"/>
      <c r="P176" s="59"/>
      <c r="Q176" s="59"/>
      <c r="R176" s="59"/>
    </row>
    <row r="177" ht="13.55" customHeight="1">
      <c r="A177" s="124"/>
      <c r="B177" s="125"/>
      <c r="C177" s="59"/>
      <c r="D177" s="59"/>
      <c r="E177" s="59"/>
      <c r="F177" s="59"/>
      <c r="G177" s="59"/>
      <c r="H177" s="59"/>
      <c r="I177" s="59"/>
      <c r="J177" s="59"/>
      <c r="K177" s="59"/>
      <c r="L177" s="59"/>
      <c r="M177" s="59"/>
      <c r="N177" s="59"/>
      <c r="O177" s="59"/>
      <c r="P177" s="59"/>
      <c r="Q177" s="59"/>
      <c r="R177" s="59"/>
    </row>
    <row r="178" ht="13.55" customHeight="1">
      <c r="A178" s="124"/>
      <c r="B178" s="125"/>
      <c r="C178" s="59"/>
      <c r="D178" s="59"/>
      <c r="E178" s="59"/>
      <c r="F178" s="59"/>
      <c r="G178" s="59"/>
      <c r="H178" s="59"/>
      <c r="I178" s="59"/>
      <c r="J178" s="59"/>
      <c r="K178" s="59"/>
      <c r="L178" s="59"/>
      <c r="M178" s="59"/>
      <c r="N178" s="59"/>
      <c r="O178" s="59"/>
      <c r="P178" s="59"/>
      <c r="Q178" s="59"/>
      <c r="R178" s="59"/>
    </row>
  </sheetData>
  <mergeCells count="77">
    <mergeCell ref="A48:A55"/>
    <mergeCell ref="B2:B4"/>
    <mergeCell ref="A5:A12"/>
    <mergeCell ref="A13:A18"/>
    <mergeCell ref="A19:A42"/>
    <mergeCell ref="A43:A47"/>
    <mergeCell ref="B119:B125"/>
    <mergeCell ref="A126:A136"/>
    <mergeCell ref="A137:A142"/>
    <mergeCell ref="A150:A155"/>
    <mergeCell ref="C2:R2"/>
    <mergeCell ref="C3:C4"/>
    <mergeCell ref="D3:D4"/>
    <mergeCell ref="E3:E4"/>
    <mergeCell ref="F3:F4"/>
    <mergeCell ref="H3:H4"/>
    <mergeCell ref="A56:A58"/>
    <mergeCell ref="A70:A80"/>
    <mergeCell ref="A81:A82"/>
    <mergeCell ref="A90:A92"/>
    <mergeCell ref="A110:A118"/>
    <mergeCell ref="A119:A125"/>
    <mergeCell ref="O3:O4"/>
    <mergeCell ref="P3:P4"/>
    <mergeCell ref="Q3:Q4"/>
    <mergeCell ref="R3:R4"/>
    <mergeCell ref="D5:D7"/>
    <mergeCell ref="E5:E6"/>
    <mergeCell ref="H5:H6"/>
    <mergeCell ref="J5:J7"/>
    <mergeCell ref="P5:P8"/>
    <mergeCell ref="Q5:Q8"/>
    <mergeCell ref="I3:I4"/>
    <mergeCell ref="J3:J4"/>
    <mergeCell ref="K3:K4"/>
    <mergeCell ref="L3:L4"/>
    <mergeCell ref="M3:M4"/>
    <mergeCell ref="N3:N4"/>
    <mergeCell ref="E13:E17"/>
    <mergeCell ref="Q13:Q18"/>
    <mergeCell ref="R13:R18"/>
    <mergeCell ref="D19:D21"/>
    <mergeCell ref="E19:E21"/>
    <mergeCell ref="P19:P22"/>
    <mergeCell ref="Q19:Q21"/>
    <mergeCell ref="R19:R22"/>
    <mergeCell ref="C48:D48"/>
    <mergeCell ref="M56:M64"/>
    <mergeCell ref="O56:O64"/>
    <mergeCell ref="Q56:Q65"/>
    <mergeCell ref="R56:R66"/>
    <mergeCell ref="R70:R71"/>
    <mergeCell ref="E81:E82"/>
    <mergeCell ref="F81:F82"/>
    <mergeCell ref="M81:M82"/>
    <mergeCell ref="R43:R44"/>
    <mergeCell ref="H70:H71"/>
    <mergeCell ref="M70:M72"/>
    <mergeCell ref="O70:O72"/>
    <mergeCell ref="P70:P71"/>
    <mergeCell ref="O90:O92"/>
    <mergeCell ref="D110:D113"/>
    <mergeCell ref="J110:J112"/>
    <mergeCell ref="K110:K111"/>
    <mergeCell ref="M110:M111"/>
    <mergeCell ref="Q119:Q120"/>
    <mergeCell ref="P110:P111"/>
    <mergeCell ref="E126:E127"/>
    <mergeCell ref="F126:F132"/>
    <mergeCell ref="H126:H127"/>
    <mergeCell ref="J126:J128"/>
    <mergeCell ref="P126:P127"/>
    <mergeCell ref="R126:R127"/>
    <mergeCell ref="F143:F147"/>
    <mergeCell ref="M143:M148"/>
    <mergeCell ref="O143:O148"/>
    <mergeCell ref="R151:R153"/>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9.xml><?xml version="1.0" encoding="utf-8"?>
<worksheet xmlns:r="http://schemas.openxmlformats.org/officeDocument/2006/relationships" xmlns="http://schemas.openxmlformats.org/spreadsheetml/2006/main">
  <dimension ref="A1:Y180"/>
  <sheetViews>
    <sheetView workbookViewId="0" showGridLines="0" defaultGridColor="1"/>
  </sheetViews>
  <sheetFormatPr defaultColWidth="8.83333" defaultRowHeight="28.5" customHeight="1" outlineLevelRow="0" outlineLevelCol="0"/>
  <cols>
    <col min="1" max="1" width="6.35156" style="973" customWidth="1"/>
    <col min="2" max="2" width="13.5" style="973" customWidth="1"/>
    <col min="3" max="3" width="18.6719" style="973" customWidth="1"/>
    <col min="4" max="4" width="20.3516" style="973" customWidth="1"/>
    <col min="5" max="5" width="22.8516" style="973" customWidth="1"/>
    <col min="6" max="6" width="25.3516" style="973" customWidth="1"/>
    <col min="7" max="7" width="23" style="973" customWidth="1"/>
    <col min="8" max="8" width="31.5" style="973" customWidth="1"/>
    <col min="9" max="9" width="18.5" style="973" customWidth="1"/>
    <col min="10" max="10" width="26.8516" style="973" customWidth="1"/>
    <col min="11" max="11" width="19.8516" style="973" customWidth="1"/>
    <col min="12" max="12" width="17.5" style="973" customWidth="1"/>
    <col min="13" max="13" width="18.5" style="973" customWidth="1"/>
    <col min="14" max="14" width="22.5" style="973" customWidth="1"/>
    <col min="15" max="15" width="23.5" style="973" customWidth="1"/>
    <col min="16" max="16" width="13" style="973" customWidth="1"/>
    <col min="17" max="17" width="34" style="973" customWidth="1"/>
    <col min="18" max="25" width="8.85156" style="973" customWidth="1"/>
    <col min="26" max="16384" width="8.85156" style="973" customWidth="1"/>
  </cols>
  <sheetData>
    <row r="1" ht="27" customHeight="1">
      <c r="A1" s="2"/>
      <c r="B1" s="3"/>
      <c r="C1" t="s" s="520">
        <v>2752</v>
      </c>
      <c r="D1" t="s" s="520">
        <v>2753</v>
      </c>
      <c r="E1" t="s" s="520">
        <v>2754</v>
      </c>
      <c r="F1" t="s" s="520">
        <v>2755</v>
      </c>
      <c r="G1" t="s" s="520">
        <v>2756</v>
      </c>
      <c r="H1" t="s" s="520">
        <v>265</v>
      </c>
      <c r="I1" s="133"/>
      <c r="J1" s="133"/>
      <c r="K1" s="133"/>
      <c r="L1" s="133"/>
      <c r="M1" s="133"/>
      <c r="N1" s="133"/>
      <c r="O1" s="133"/>
      <c r="P1" s="133"/>
      <c r="Q1" s="133"/>
      <c r="R1" s="59"/>
      <c r="S1" s="59"/>
      <c r="T1" s="59"/>
      <c r="U1" s="59"/>
      <c r="V1" s="59"/>
      <c r="W1" s="59"/>
      <c r="X1" s="59"/>
      <c r="Y1" s="59"/>
    </row>
    <row r="2" ht="27" customHeight="1">
      <c r="A2" s="6"/>
      <c r="B2" t="s" s="7">
        <v>2</v>
      </c>
      <c r="C2" t="s" s="615">
        <v>2757</v>
      </c>
      <c r="D2" s="616"/>
      <c r="E2" s="616"/>
      <c r="F2" s="616"/>
      <c r="G2" s="616"/>
      <c r="H2" t="s" s="615">
        <v>2758</v>
      </c>
      <c r="I2" s="616"/>
      <c r="J2" s="616"/>
      <c r="K2" s="616"/>
      <c r="L2" s="616"/>
      <c r="M2" s="616"/>
      <c r="N2" s="616"/>
      <c r="O2" s="616"/>
      <c r="P2" s="616"/>
      <c r="Q2" s="616"/>
      <c r="R2" s="775"/>
      <c r="S2" s="59"/>
      <c r="T2" s="59"/>
      <c r="U2" s="59"/>
      <c r="V2" s="59"/>
      <c r="W2" s="59"/>
      <c r="X2" s="59"/>
      <c r="Y2" s="59"/>
    </row>
    <row r="3" ht="27" customHeight="1">
      <c r="A3" s="6"/>
      <c r="B3" s="10"/>
      <c r="C3" s="974"/>
      <c r="D3" s="974"/>
      <c r="E3" s="974"/>
      <c r="F3" s="974"/>
      <c r="G3" s="974"/>
      <c r="H3" s="975"/>
      <c r="I3" s="976"/>
      <c r="J3" s="976"/>
      <c r="K3" s="976"/>
      <c r="L3" s="977"/>
      <c r="M3" s="975"/>
      <c r="N3" s="976"/>
      <c r="O3" s="976"/>
      <c r="P3" s="976"/>
      <c r="Q3" s="977"/>
      <c r="R3" s="775"/>
      <c r="S3" s="59"/>
      <c r="T3" s="59"/>
      <c r="U3" s="59"/>
      <c r="V3" s="59"/>
      <c r="W3" s="59"/>
      <c r="X3" s="59"/>
      <c r="Y3" s="59"/>
    </row>
    <row r="4" ht="27" customHeight="1">
      <c r="A4" s="13"/>
      <c r="B4" s="10"/>
      <c r="C4" s="160"/>
      <c r="D4" s="160"/>
      <c r="E4" s="160"/>
      <c r="F4" s="160"/>
      <c r="G4" s="160"/>
      <c r="H4" s="978"/>
      <c r="I4" s="979"/>
      <c r="J4" s="979"/>
      <c r="K4" s="979"/>
      <c r="L4" s="980"/>
      <c r="M4" s="978"/>
      <c r="N4" s="979"/>
      <c r="O4" s="979"/>
      <c r="P4" s="979"/>
      <c r="Q4" s="980"/>
      <c r="R4" s="775"/>
      <c r="S4" s="59"/>
      <c r="T4" s="59"/>
      <c r="U4" s="59"/>
      <c r="V4" s="59"/>
      <c r="W4" s="59"/>
      <c r="X4" s="59"/>
      <c r="Y4" s="59"/>
    </row>
    <row r="5" ht="15" customHeight="1">
      <c r="A5" s="15">
        <v>1</v>
      </c>
      <c r="B5" t="s" s="16">
        <v>6</v>
      </c>
      <c r="C5" t="s" s="544">
        <v>2759</v>
      </c>
      <c r="D5" s="420"/>
      <c r="E5" s="420"/>
      <c r="F5" s="420"/>
      <c r="G5" s="420"/>
      <c r="H5" t="s" s="170">
        <v>2760</v>
      </c>
      <c r="I5" t="s" s="170">
        <v>2761</v>
      </c>
      <c r="J5" t="s" s="170">
        <v>2762</v>
      </c>
      <c r="K5" t="s" s="170">
        <v>2763</v>
      </c>
      <c r="L5" t="s" s="170">
        <v>2764</v>
      </c>
      <c r="M5" s="420"/>
      <c r="N5" t="s" s="170">
        <v>2765</v>
      </c>
      <c r="O5" s="420"/>
      <c r="P5" s="420"/>
      <c r="Q5" s="169"/>
      <c r="R5" s="59"/>
      <c r="S5" s="59"/>
      <c r="T5" s="59"/>
      <c r="U5" s="59"/>
      <c r="V5" s="59"/>
      <c r="W5" s="59"/>
      <c r="X5" s="59"/>
      <c r="Y5" s="59"/>
    </row>
    <row r="6" ht="15" customHeight="1">
      <c r="A6" s="19"/>
      <c r="B6" s="20"/>
      <c r="C6" s="719"/>
      <c r="D6" s="211"/>
      <c r="E6" s="211"/>
      <c r="F6" s="211"/>
      <c r="G6" s="211"/>
      <c r="H6" s="211"/>
      <c r="I6" s="211"/>
      <c r="J6" s="211"/>
      <c r="K6" s="211"/>
      <c r="L6" s="211"/>
      <c r="M6" s="211"/>
      <c r="N6" s="211"/>
      <c r="O6" s="211"/>
      <c r="P6" s="211"/>
      <c r="Q6" s="22"/>
      <c r="R6" s="59"/>
      <c r="S6" s="59"/>
      <c r="T6" s="59"/>
      <c r="U6" s="59"/>
      <c r="V6" s="59"/>
      <c r="W6" s="59"/>
      <c r="X6" s="59"/>
      <c r="Y6" s="59"/>
    </row>
    <row r="7" ht="15" customHeight="1">
      <c r="A7" s="19"/>
      <c r="B7" s="20"/>
      <c r="C7" s="719"/>
      <c r="D7" s="211"/>
      <c r="E7" s="211"/>
      <c r="F7" s="211"/>
      <c r="G7" s="211"/>
      <c r="H7" s="211"/>
      <c r="I7" s="211"/>
      <c r="J7" s="211"/>
      <c r="K7" s="211"/>
      <c r="L7" s="211"/>
      <c r="M7" s="211"/>
      <c r="N7" s="211"/>
      <c r="O7" s="211"/>
      <c r="P7" s="211"/>
      <c r="Q7" s="22"/>
      <c r="R7" s="59"/>
      <c r="S7" s="59"/>
      <c r="T7" s="59"/>
      <c r="U7" s="59"/>
      <c r="V7" s="59"/>
      <c r="W7" s="59"/>
      <c r="X7" s="59"/>
      <c r="Y7" s="59"/>
    </row>
    <row r="8" ht="15" customHeight="1">
      <c r="A8" s="19"/>
      <c r="B8" s="20"/>
      <c r="C8" s="719"/>
      <c r="D8" s="211"/>
      <c r="E8" s="211"/>
      <c r="F8" s="211"/>
      <c r="G8" s="211"/>
      <c r="H8" s="211"/>
      <c r="I8" s="211"/>
      <c r="J8" s="211"/>
      <c r="K8" s="211"/>
      <c r="L8" s="211"/>
      <c r="M8" s="211"/>
      <c r="N8" s="211"/>
      <c r="O8" s="211"/>
      <c r="P8" s="211"/>
      <c r="Q8" s="22"/>
      <c r="R8" s="59"/>
      <c r="S8" s="59"/>
      <c r="T8" s="59"/>
      <c r="U8" s="59"/>
      <c r="V8" s="59"/>
      <c r="W8" s="59"/>
      <c r="X8" s="59"/>
      <c r="Y8" s="59"/>
    </row>
    <row r="9" ht="15" customHeight="1">
      <c r="A9" s="19"/>
      <c r="B9" s="20"/>
      <c r="C9" s="719"/>
      <c r="D9" s="211"/>
      <c r="E9" s="211"/>
      <c r="F9" s="211"/>
      <c r="G9" s="211"/>
      <c r="H9" s="22"/>
      <c r="I9" s="22"/>
      <c r="J9" s="22"/>
      <c r="K9" s="22"/>
      <c r="L9" s="22"/>
      <c r="M9" s="22"/>
      <c r="N9" s="22"/>
      <c r="O9" s="22"/>
      <c r="P9" s="22"/>
      <c r="Q9" s="22"/>
      <c r="R9" s="59"/>
      <c r="S9" s="59"/>
      <c r="T9" s="59"/>
      <c r="U9" s="59"/>
      <c r="V9" s="59"/>
      <c r="W9" s="59"/>
      <c r="X9" s="59"/>
      <c r="Y9" s="59"/>
    </row>
    <row r="10" ht="15" customHeight="1">
      <c r="A10" s="19"/>
      <c r="B10" s="20"/>
      <c r="C10" s="21"/>
      <c r="D10" s="22"/>
      <c r="E10" s="22"/>
      <c r="F10" s="22"/>
      <c r="G10" s="22"/>
      <c r="H10" s="22"/>
      <c r="I10" s="22"/>
      <c r="J10" s="22"/>
      <c r="K10" s="22"/>
      <c r="L10" s="22"/>
      <c r="M10" s="22"/>
      <c r="N10" s="22"/>
      <c r="O10" s="22"/>
      <c r="P10" s="22"/>
      <c r="Q10" s="22"/>
      <c r="R10" s="59"/>
      <c r="S10" s="59"/>
      <c r="T10" s="59"/>
      <c r="U10" s="59"/>
      <c r="V10" s="59"/>
      <c r="W10" s="59"/>
      <c r="X10" s="59"/>
      <c r="Y10" s="59"/>
    </row>
    <row r="11" ht="15" customHeight="1">
      <c r="A11" s="19"/>
      <c r="B11" s="20"/>
      <c r="C11" s="21"/>
      <c r="D11" s="22"/>
      <c r="E11" s="22"/>
      <c r="F11" s="22"/>
      <c r="G11" s="22"/>
      <c r="H11" s="22"/>
      <c r="I11" s="22"/>
      <c r="J11" s="22"/>
      <c r="K11" s="22"/>
      <c r="L11" s="22"/>
      <c r="M11" s="22"/>
      <c r="N11" s="22"/>
      <c r="O11" s="22"/>
      <c r="P11" s="22"/>
      <c r="Q11" s="22"/>
      <c r="R11" s="59"/>
      <c r="S11" s="59"/>
      <c r="T11" s="59"/>
      <c r="U11" s="59"/>
      <c r="V11" s="59"/>
      <c r="W11" s="59"/>
      <c r="X11" s="59"/>
      <c r="Y11" s="59"/>
    </row>
    <row r="12" ht="15" customHeight="1">
      <c r="A12" s="23"/>
      <c r="B12" s="24"/>
      <c r="C12" s="25"/>
      <c r="D12" s="26"/>
      <c r="E12" s="26"/>
      <c r="F12" s="26"/>
      <c r="G12" s="26"/>
      <c r="H12" s="26"/>
      <c r="I12" s="26"/>
      <c r="J12" s="26"/>
      <c r="K12" s="26"/>
      <c r="L12" s="26"/>
      <c r="M12" s="26"/>
      <c r="N12" s="26"/>
      <c r="O12" s="26"/>
      <c r="P12" s="26"/>
      <c r="Q12" s="26"/>
      <c r="R12" s="59"/>
      <c r="S12" s="59"/>
      <c r="T12" s="59"/>
      <c r="U12" s="59"/>
      <c r="V12" s="59"/>
      <c r="W12" s="59"/>
      <c r="X12" s="59"/>
      <c r="Y12" s="59"/>
    </row>
    <row r="13" ht="15" customHeight="1">
      <c r="A13" s="27">
        <v>2</v>
      </c>
      <c r="B13" t="s" s="28">
        <v>10</v>
      </c>
      <c r="C13" t="s" s="544">
        <v>2766</v>
      </c>
      <c r="D13" s="420"/>
      <c r="E13" s="420"/>
      <c r="F13" s="420"/>
      <c r="G13" s="168"/>
      <c r="H13" s="168"/>
      <c r="I13" s="168"/>
      <c r="J13" s="168"/>
      <c r="K13" s="168"/>
      <c r="L13" s="168"/>
      <c r="M13" t="s" s="171">
        <v>2767</v>
      </c>
      <c r="N13" s="168"/>
      <c r="O13" s="168"/>
      <c r="P13" s="168"/>
      <c r="Q13" s="168"/>
      <c r="R13" s="59"/>
      <c r="S13" s="59"/>
      <c r="T13" s="59"/>
      <c r="U13" s="59"/>
      <c r="V13" s="59"/>
      <c r="W13" s="59"/>
      <c r="X13" s="59"/>
      <c r="Y13" s="59"/>
    </row>
    <row r="14" ht="15" customHeight="1">
      <c r="A14" s="31"/>
      <c r="B14" s="32"/>
      <c r="C14" t="s" s="981">
        <v>2768</v>
      </c>
      <c r="D14" s="211"/>
      <c r="E14" s="211"/>
      <c r="F14" s="211"/>
      <c r="G14" s="34"/>
      <c r="H14" s="34"/>
      <c r="I14" s="34"/>
      <c r="J14" s="34"/>
      <c r="K14" s="34"/>
      <c r="L14" s="34"/>
      <c r="M14" s="34"/>
      <c r="N14" s="34"/>
      <c r="O14" s="34"/>
      <c r="P14" s="34"/>
      <c r="Q14" s="34"/>
      <c r="R14" s="59"/>
      <c r="S14" s="59"/>
      <c r="T14" s="59"/>
      <c r="U14" s="59"/>
      <c r="V14" s="59"/>
      <c r="W14" s="59"/>
      <c r="X14" s="59"/>
      <c r="Y14" s="59"/>
    </row>
    <row r="15" ht="15" customHeight="1">
      <c r="A15" s="31"/>
      <c r="B15" s="32"/>
      <c r="C15" s="33"/>
      <c r="D15" s="34"/>
      <c r="E15" s="34"/>
      <c r="F15" s="34"/>
      <c r="G15" s="34"/>
      <c r="H15" s="34"/>
      <c r="I15" s="34"/>
      <c r="J15" s="34"/>
      <c r="K15" s="34"/>
      <c r="L15" s="34"/>
      <c r="M15" s="34"/>
      <c r="N15" s="34"/>
      <c r="O15" s="34"/>
      <c r="P15" s="34"/>
      <c r="Q15" s="34"/>
      <c r="R15" s="59"/>
      <c r="S15" s="59"/>
      <c r="T15" s="59"/>
      <c r="U15" s="59"/>
      <c r="V15" s="59"/>
      <c r="W15" s="59"/>
      <c r="X15" s="59"/>
      <c r="Y15" s="59"/>
    </row>
    <row r="16" ht="15" customHeight="1">
      <c r="A16" s="31"/>
      <c r="B16" s="32"/>
      <c r="C16" s="33"/>
      <c r="D16" s="34"/>
      <c r="E16" s="34"/>
      <c r="F16" s="34"/>
      <c r="G16" s="34"/>
      <c r="H16" s="34"/>
      <c r="I16" s="34"/>
      <c r="J16" s="34"/>
      <c r="K16" s="34"/>
      <c r="L16" s="34"/>
      <c r="M16" s="34"/>
      <c r="N16" s="34"/>
      <c r="O16" s="34"/>
      <c r="P16" s="34"/>
      <c r="Q16" s="34"/>
      <c r="R16" s="59"/>
      <c r="S16" s="59"/>
      <c r="T16" s="59"/>
      <c r="U16" s="59"/>
      <c r="V16" s="59"/>
      <c r="W16" s="59"/>
      <c r="X16" s="59"/>
      <c r="Y16" s="59"/>
    </row>
    <row r="17" ht="15" customHeight="1">
      <c r="A17" s="31"/>
      <c r="B17" s="32"/>
      <c r="C17" s="33"/>
      <c r="D17" s="34"/>
      <c r="E17" s="34"/>
      <c r="F17" s="34"/>
      <c r="G17" s="34"/>
      <c r="H17" s="34"/>
      <c r="I17" s="34"/>
      <c r="J17" s="34"/>
      <c r="K17" s="34"/>
      <c r="L17" s="34"/>
      <c r="M17" s="34"/>
      <c r="N17" s="34"/>
      <c r="O17" s="34"/>
      <c r="P17" s="34"/>
      <c r="Q17" s="34"/>
      <c r="R17" s="59"/>
      <c r="S17" s="59"/>
      <c r="T17" s="59"/>
      <c r="U17" s="59"/>
      <c r="V17" s="59"/>
      <c r="W17" s="59"/>
      <c r="X17" s="59"/>
      <c r="Y17" s="59"/>
    </row>
    <row r="18" ht="15" customHeight="1">
      <c r="A18" s="35"/>
      <c r="B18" s="24"/>
      <c r="C18" s="25"/>
      <c r="D18" s="26"/>
      <c r="E18" s="26"/>
      <c r="F18" s="26"/>
      <c r="G18" s="26"/>
      <c r="H18" s="26"/>
      <c r="I18" s="26"/>
      <c r="J18" s="26"/>
      <c r="K18" s="26"/>
      <c r="L18" s="26"/>
      <c r="M18" s="26"/>
      <c r="N18" s="26"/>
      <c r="O18" s="26"/>
      <c r="P18" s="26"/>
      <c r="Q18" s="26"/>
      <c r="R18" s="59"/>
      <c r="S18" s="59"/>
      <c r="T18" s="59"/>
      <c r="U18" s="59"/>
      <c r="V18" s="59"/>
      <c r="W18" s="59"/>
      <c r="X18" s="59"/>
      <c r="Y18" s="59"/>
    </row>
    <row r="19" ht="60" customHeight="1">
      <c r="A19" s="15">
        <v>3</v>
      </c>
      <c r="B19" t="s" s="16">
        <v>12</v>
      </c>
      <c r="C19" t="s" s="544">
        <v>2769</v>
      </c>
      <c r="D19" s="420"/>
      <c r="E19" s="420"/>
      <c r="F19" s="420"/>
      <c r="G19" s="420"/>
      <c r="H19" t="s" s="170">
        <v>2770</v>
      </c>
      <c r="I19" t="s" s="171">
        <v>2771</v>
      </c>
      <c r="J19" t="s" s="171">
        <v>2772</v>
      </c>
      <c r="K19" t="s" s="171">
        <v>2773</v>
      </c>
      <c r="L19" t="s" s="171">
        <v>2774</v>
      </c>
      <c r="M19" t="s" s="171">
        <v>2775</v>
      </c>
      <c r="N19" t="s" s="171">
        <v>2776</v>
      </c>
      <c r="O19" t="s" s="170">
        <v>2777</v>
      </c>
      <c r="P19" s="420"/>
      <c r="Q19" s="420"/>
      <c r="R19" s="59"/>
      <c r="S19" s="59"/>
      <c r="T19" s="59"/>
      <c r="U19" s="59"/>
      <c r="V19" s="59"/>
      <c r="W19" s="59"/>
      <c r="X19" s="59"/>
      <c r="Y19" s="59"/>
    </row>
    <row r="20" ht="108" customHeight="1">
      <c r="A20" s="19"/>
      <c r="B20" s="32"/>
      <c r="C20" s="719"/>
      <c r="D20" s="211"/>
      <c r="E20" s="211"/>
      <c r="F20" s="211"/>
      <c r="G20" s="211"/>
      <c r="H20" t="s" s="182">
        <v>2778</v>
      </c>
      <c r="I20" t="s" s="182">
        <v>2779</v>
      </c>
      <c r="J20" t="s" s="182">
        <v>2780</v>
      </c>
      <c r="K20" t="s" s="182">
        <v>2781</v>
      </c>
      <c r="L20" t="s" s="182">
        <v>2780</v>
      </c>
      <c r="M20" s="34"/>
      <c r="N20" t="s" s="243">
        <v>2782</v>
      </c>
      <c r="O20" s="211"/>
      <c r="P20" t="s" s="243">
        <v>2783</v>
      </c>
      <c r="Q20" s="211"/>
      <c r="R20" s="59"/>
      <c r="S20" s="59"/>
      <c r="T20" s="59"/>
      <c r="U20" s="59"/>
      <c r="V20" s="59"/>
      <c r="W20" s="59"/>
      <c r="X20" s="59"/>
      <c r="Y20" s="59"/>
    </row>
    <row r="21" ht="15" customHeight="1">
      <c r="A21" s="19"/>
      <c r="B21" s="32"/>
      <c r="C21" s="719"/>
      <c r="D21" s="211"/>
      <c r="E21" s="211"/>
      <c r="F21" s="211"/>
      <c r="G21" s="211"/>
      <c r="H21" s="34"/>
      <c r="I21" s="34"/>
      <c r="J21" s="34"/>
      <c r="K21" s="34"/>
      <c r="L21" s="34"/>
      <c r="M21" s="34"/>
      <c r="N21" s="34"/>
      <c r="O21" s="34"/>
      <c r="P21" t="s" s="243">
        <v>2784</v>
      </c>
      <c r="Q21" s="211"/>
      <c r="R21" s="59"/>
      <c r="S21" s="59"/>
      <c r="T21" s="59"/>
      <c r="U21" s="59"/>
      <c r="V21" s="59"/>
      <c r="W21" s="59"/>
      <c r="X21" s="59"/>
      <c r="Y21" s="59"/>
    </row>
    <row r="22" ht="15" customHeight="1">
      <c r="A22" s="19"/>
      <c r="B22" s="32"/>
      <c r="C22" s="719"/>
      <c r="D22" s="211"/>
      <c r="E22" s="211"/>
      <c r="F22" s="211"/>
      <c r="G22" s="211"/>
      <c r="H22" s="22"/>
      <c r="I22" s="22"/>
      <c r="J22" s="22"/>
      <c r="K22" s="22"/>
      <c r="L22" s="22"/>
      <c r="M22" s="22"/>
      <c r="N22" s="22"/>
      <c r="O22" s="22"/>
      <c r="P22" s="22"/>
      <c r="Q22" s="22"/>
      <c r="R22" s="59"/>
      <c r="S22" s="59"/>
      <c r="T22" s="59"/>
      <c r="U22" s="59"/>
      <c r="V22" s="59"/>
      <c r="W22" s="59"/>
      <c r="X22" s="59"/>
      <c r="Y22" s="59"/>
    </row>
    <row r="23" ht="15" customHeight="1">
      <c r="A23" s="19"/>
      <c r="B23" s="32"/>
      <c r="C23" s="719"/>
      <c r="D23" s="211"/>
      <c r="E23" s="211"/>
      <c r="F23" s="211"/>
      <c r="G23" s="211"/>
      <c r="H23" s="22"/>
      <c r="I23" s="22"/>
      <c r="J23" s="22"/>
      <c r="K23" s="22"/>
      <c r="L23" s="22"/>
      <c r="M23" s="22"/>
      <c r="N23" s="22"/>
      <c r="O23" s="22"/>
      <c r="P23" s="22"/>
      <c r="Q23" s="22"/>
      <c r="R23" s="59"/>
      <c r="S23" s="59"/>
      <c r="T23" s="59"/>
      <c r="U23" s="59"/>
      <c r="V23" s="59"/>
      <c r="W23" s="59"/>
      <c r="X23" s="59"/>
      <c r="Y23" s="59"/>
    </row>
    <row r="24" ht="15" customHeight="1">
      <c r="A24" s="19"/>
      <c r="B24" s="32"/>
      <c r="C24" s="719"/>
      <c r="D24" s="211"/>
      <c r="E24" s="211"/>
      <c r="F24" s="211"/>
      <c r="G24" s="211"/>
      <c r="H24" s="22"/>
      <c r="I24" s="22"/>
      <c r="J24" s="22"/>
      <c r="K24" s="22"/>
      <c r="L24" s="22"/>
      <c r="M24" s="22"/>
      <c r="N24" s="22"/>
      <c r="O24" s="22"/>
      <c r="P24" s="22"/>
      <c r="Q24" s="22"/>
      <c r="R24" s="59"/>
      <c r="S24" s="59"/>
      <c r="T24" s="59"/>
      <c r="U24" s="59"/>
      <c r="V24" s="59"/>
      <c r="W24" s="59"/>
      <c r="X24" s="59"/>
      <c r="Y24" s="59"/>
    </row>
    <row r="25" ht="15" customHeight="1">
      <c r="A25" s="19"/>
      <c r="B25" s="32"/>
      <c r="C25" s="719"/>
      <c r="D25" s="211"/>
      <c r="E25" s="211"/>
      <c r="F25" s="211"/>
      <c r="G25" s="211"/>
      <c r="H25" s="22"/>
      <c r="I25" s="22"/>
      <c r="J25" s="22"/>
      <c r="K25" s="22"/>
      <c r="L25" s="22"/>
      <c r="M25" s="22"/>
      <c r="N25" s="22"/>
      <c r="O25" s="22"/>
      <c r="P25" s="22"/>
      <c r="Q25" s="22"/>
      <c r="R25" s="59"/>
      <c r="S25" s="59"/>
      <c r="T25" s="59"/>
      <c r="U25" s="59"/>
      <c r="V25" s="59"/>
      <c r="W25" s="59"/>
      <c r="X25" s="59"/>
      <c r="Y25" s="59"/>
    </row>
    <row r="26" ht="15" customHeight="1">
      <c r="A26" s="19"/>
      <c r="B26" s="32"/>
      <c r="C26" s="719"/>
      <c r="D26" s="211"/>
      <c r="E26" s="211"/>
      <c r="F26" s="211"/>
      <c r="G26" s="211"/>
      <c r="H26" s="22"/>
      <c r="I26" s="22"/>
      <c r="J26" s="22"/>
      <c r="K26" s="22"/>
      <c r="L26" s="22"/>
      <c r="M26" s="22"/>
      <c r="N26" s="22"/>
      <c r="O26" s="22"/>
      <c r="P26" s="22"/>
      <c r="Q26" s="22"/>
      <c r="R26" s="59"/>
      <c r="S26" s="59"/>
      <c r="T26" s="59"/>
      <c r="U26" s="59"/>
      <c r="V26" s="59"/>
      <c r="W26" s="59"/>
      <c r="X26" s="59"/>
      <c r="Y26" s="59"/>
    </row>
    <row r="27" ht="15" customHeight="1">
      <c r="A27" s="19"/>
      <c r="B27" s="32"/>
      <c r="C27" s="719"/>
      <c r="D27" s="211"/>
      <c r="E27" s="211"/>
      <c r="F27" s="211"/>
      <c r="G27" s="211"/>
      <c r="H27" s="22"/>
      <c r="I27" s="22"/>
      <c r="J27" s="22"/>
      <c r="K27" s="22"/>
      <c r="L27" s="22"/>
      <c r="M27" s="22"/>
      <c r="N27" s="22"/>
      <c r="O27" s="22"/>
      <c r="P27" s="22"/>
      <c r="Q27" s="22"/>
      <c r="R27" s="59"/>
      <c r="S27" s="59"/>
      <c r="T27" s="59"/>
      <c r="U27" s="59"/>
      <c r="V27" s="59"/>
      <c r="W27" s="59"/>
      <c r="X27" s="59"/>
      <c r="Y27" s="59"/>
    </row>
    <row r="28" ht="15" customHeight="1">
      <c r="A28" s="19"/>
      <c r="B28" s="32"/>
      <c r="C28" s="719"/>
      <c r="D28" s="211"/>
      <c r="E28" s="211"/>
      <c r="F28" s="211"/>
      <c r="G28" s="211"/>
      <c r="H28" s="22"/>
      <c r="I28" s="22"/>
      <c r="J28" s="22"/>
      <c r="K28" s="22"/>
      <c r="L28" s="22"/>
      <c r="M28" s="22"/>
      <c r="N28" s="22"/>
      <c r="O28" s="22"/>
      <c r="P28" s="22"/>
      <c r="Q28" s="22"/>
      <c r="R28" s="59"/>
      <c r="S28" s="59"/>
      <c r="T28" s="59"/>
      <c r="U28" s="59"/>
      <c r="V28" s="59"/>
      <c r="W28" s="59"/>
      <c r="X28" s="59"/>
      <c r="Y28" s="59"/>
    </row>
    <row r="29" ht="15" customHeight="1">
      <c r="A29" s="19"/>
      <c r="B29" s="32"/>
      <c r="C29" s="719"/>
      <c r="D29" s="211"/>
      <c r="E29" s="211"/>
      <c r="F29" s="211"/>
      <c r="G29" s="211"/>
      <c r="H29" s="22"/>
      <c r="I29" s="22"/>
      <c r="J29" s="22"/>
      <c r="K29" s="22"/>
      <c r="L29" s="22"/>
      <c r="M29" s="22"/>
      <c r="N29" s="22"/>
      <c r="O29" s="22"/>
      <c r="P29" s="22"/>
      <c r="Q29" s="22"/>
      <c r="R29" s="59"/>
      <c r="S29" s="59"/>
      <c r="T29" s="59"/>
      <c r="U29" s="59"/>
      <c r="V29" s="59"/>
      <c r="W29" s="59"/>
      <c r="X29" s="59"/>
      <c r="Y29" s="59"/>
    </row>
    <row r="30" ht="15" customHeight="1">
      <c r="A30" s="19"/>
      <c r="B30" s="32"/>
      <c r="C30" s="719"/>
      <c r="D30" s="211"/>
      <c r="E30" s="211"/>
      <c r="F30" s="211"/>
      <c r="G30" s="211"/>
      <c r="H30" s="22"/>
      <c r="I30" s="22"/>
      <c r="J30" s="22"/>
      <c r="K30" s="22"/>
      <c r="L30" s="22"/>
      <c r="M30" s="22"/>
      <c r="N30" s="22"/>
      <c r="O30" s="22"/>
      <c r="P30" s="22"/>
      <c r="Q30" s="22"/>
      <c r="R30" s="59"/>
      <c r="S30" s="59"/>
      <c r="T30" s="59"/>
      <c r="U30" s="59"/>
      <c r="V30" s="59"/>
      <c r="W30" s="59"/>
      <c r="X30" s="59"/>
      <c r="Y30" s="59"/>
    </row>
    <row r="31" ht="15" customHeight="1">
      <c r="A31" s="19"/>
      <c r="B31" s="32"/>
      <c r="C31" s="719"/>
      <c r="D31" s="211"/>
      <c r="E31" s="211"/>
      <c r="F31" s="211"/>
      <c r="G31" s="211"/>
      <c r="H31" s="22"/>
      <c r="I31" s="22"/>
      <c r="J31" s="22"/>
      <c r="K31" s="22"/>
      <c r="L31" s="22"/>
      <c r="M31" s="22"/>
      <c r="N31" s="22"/>
      <c r="O31" s="22"/>
      <c r="P31" s="22"/>
      <c r="Q31" s="22"/>
      <c r="R31" s="59"/>
      <c r="S31" s="59"/>
      <c r="T31" s="59"/>
      <c r="U31" s="59"/>
      <c r="V31" s="59"/>
      <c r="W31" s="59"/>
      <c r="X31" s="59"/>
      <c r="Y31" s="59"/>
    </row>
    <row r="32" ht="15" customHeight="1">
      <c r="A32" s="19"/>
      <c r="B32" s="32"/>
      <c r="C32" s="719"/>
      <c r="D32" s="211"/>
      <c r="E32" s="211"/>
      <c r="F32" s="211"/>
      <c r="G32" s="211"/>
      <c r="H32" s="22"/>
      <c r="I32" s="22"/>
      <c r="J32" s="22"/>
      <c r="K32" s="22"/>
      <c r="L32" s="22"/>
      <c r="M32" s="22"/>
      <c r="N32" s="22"/>
      <c r="O32" s="22"/>
      <c r="P32" s="22"/>
      <c r="Q32" s="22"/>
      <c r="R32" s="59"/>
      <c r="S32" s="59"/>
      <c r="T32" s="59"/>
      <c r="U32" s="59"/>
      <c r="V32" s="59"/>
      <c r="W32" s="59"/>
      <c r="X32" s="59"/>
      <c r="Y32" s="59"/>
    </row>
    <row r="33" ht="15" customHeight="1">
      <c r="A33" s="19"/>
      <c r="B33" s="32"/>
      <c r="C33" s="719"/>
      <c r="D33" s="211"/>
      <c r="E33" s="211"/>
      <c r="F33" s="211"/>
      <c r="G33" s="211"/>
      <c r="H33" s="22"/>
      <c r="I33" s="22"/>
      <c r="J33" s="22"/>
      <c r="K33" s="22"/>
      <c r="L33" s="22"/>
      <c r="M33" s="22"/>
      <c r="N33" s="22"/>
      <c r="O33" s="22"/>
      <c r="P33" s="22"/>
      <c r="Q33" s="22"/>
      <c r="R33" s="59"/>
      <c r="S33" s="59"/>
      <c r="T33" s="59"/>
      <c r="U33" s="59"/>
      <c r="V33" s="59"/>
      <c r="W33" s="59"/>
      <c r="X33" s="59"/>
      <c r="Y33" s="59"/>
    </row>
    <row r="34" ht="15" customHeight="1">
      <c r="A34" s="19"/>
      <c r="B34" s="32"/>
      <c r="C34" s="719"/>
      <c r="D34" s="211"/>
      <c r="E34" s="211"/>
      <c r="F34" s="211"/>
      <c r="G34" s="211"/>
      <c r="H34" s="22"/>
      <c r="I34" s="22"/>
      <c r="J34" s="22"/>
      <c r="K34" s="22"/>
      <c r="L34" s="22"/>
      <c r="M34" s="22"/>
      <c r="N34" s="22"/>
      <c r="O34" s="22"/>
      <c r="P34" s="22"/>
      <c r="Q34" s="22"/>
      <c r="R34" s="59"/>
      <c r="S34" s="59"/>
      <c r="T34" s="59"/>
      <c r="U34" s="59"/>
      <c r="V34" s="59"/>
      <c r="W34" s="59"/>
      <c r="X34" s="59"/>
      <c r="Y34" s="59"/>
    </row>
    <row r="35" ht="15" customHeight="1">
      <c r="A35" s="19"/>
      <c r="B35" s="37"/>
      <c r="C35" s="719"/>
      <c r="D35" s="211"/>
      <c r="E35" s="211"/>
      <c r="F35" s="211"/>
      <c r="G35" s="211"/>
      <c r="H35" s="227"/>
      <c r="I35" s="227"/>
      <c r="J35" s="227"/>
      <c r="K35" s="227"/>
      <c r="L35" s="227"/>
      <c r="M35" s="227"/>
      <c r="N35" s="227"/>
      <c r="O35" s="227"/>
      <c r="P35" s="227"/>
      <c r="Q35" s="227"/>
      <c r="R35" s="59"/>
      <c r="S35" s="59"/>
      <c r="T35" s="59"/>
      <c r="U35" s="59"/>
      <c r="V35" s="59"/>
      <c r="W35" s="59"/>
      <c r="X35" s="59"/>
      <c r="Y35" s="59"/>
    </row>
    <row r="36" ht="15" customHeight="1">
      <c r="A36" s="19"/>
      <c r="B36" s="37"/>
      <c r="C36" s="719"/>
      <c r="D36" s="211"/>
      <c r="E36" s="211"/>
      <c r="F36" s="211"/>
      <c r="G36" s="211"/>
      <c r="H36" s="227"/>
      <c r="I36" s="227"/>
      <c r="J36" s="227"/>
      <c r="K36" s="227"/>
      <c r="L36" s="227"/>
      <c r="M36" s="227"/>
      <c r="N36" s="227"/>
      <c r="O36" s="227"/>
      <c r="P36" s="227"/>
      <c r="Q36" s="227"/>
      <c r="R36" s="59"/>
      <c r="S36" s="59"/>
      <c r="T36" s="59"/>
      <c r="U36" s="59"/>
      <c r="V36" s="59"/>
      <c r="W36" s="59"/>
      <c r="X36" s="59"/>
      <c r="Y36" s="59"/>
    </row>
    <row r="37" ht="15" customHeight="1">
      <c r="A37" s="19"/>
      <c r="B37" s="37"/>
      <c r="C37" s="719"/>
      <c r="D37" s="211"/>
      <c r="E37" s="211"/>
      <c r="F37" s="211"/>
      <c r="G37" s="211"/>
      <c r="H37" s="227"/>
      <c r="I37" s="227"/>
      <c r="J37" s="227"/>
      <c r="K37" s="227"/>
      <c r="L37" s="227"/>
      <c r="M37" s="227"/>
      <c r="N37" s="227"/>
      <c r="O37" s="227"/>
      <c r="P37" s="227"/>
      <c r="Q37" s="227"/>
      <c r="R37" s="59"/>
      <c r="S37" s="59"/>
      <c r="T37" s="59"/>
      <c r="U37" s="59"/>
      <c r="V37" s="59"/>
      <c r="W37" s="59"/>
      <c r="X37" s="59"/>
      <c r="Y37" s="59"/>
    </row>
    <row r="38" ht="15" customHeight="1">
      <c r="A38" s="19"/>
      <c r="B38" s="37"/>
      <c r="C38" s="719"/>
      <c r="D38" s="211"/>
      <c r="E38" s="211"/>
      <c r="F38" s="211"/>
      <c r="G38" s="211"/>
      <c r="H38" s="227"/>
      <c r="I38" s="227"/>
      <c r="J38" s="227"/>
      <c r="K38" s="227"/>
      <c r="L38" s="227"/>
      <c r="M38" s="227"/>
      <c r="N38" s="227"/>
      <c r="O38" s="227"/>
      <c r="P38" s="227"/>
      <c r="Q38" s="227"/>
      <c r="R38" s="59"/>
      <c r="S38" s="59"/>
      <c r="T38" s="59"/>
      <c r="U38" s="59"/>
      <c r="V38" s="59"/>
      <c r="W38" s="59"/>
      <c r="X38" s="59"/>
      <c r="Y38" s="59"/>
    </row>
    <row r="39" ht="15" customHeight="1">
      <c r="A39" s="19"/>
      <c r="B39" s="37"/>
      <c r="C39" s="719"/>
      <c r="D39" s="211"/>
      <c r="E39" s="211"/>
      <c r="F39" s="211"/>
      <c r="G39" s="211"/>
      <c r="H39" s="227"/>
      <c r="I39" s="227"/>
      <c r="J39" s="227"/>
      <c r="K39" s="227"/>
      <c r="L39" s="227"/>
      <c r="M39" s="227"/>
      <c r="N39" s="227"/>
      <c r="O39" s="227"/>
      <c r="P39" s="227"/>
      <c r="Q39" s="227"/>
      <c r="R39" s="59"/>
      <c r="S39" s="59"/>
      <c r="T39" s="59"/>
      <c r="U39" s="59"/>
      <c r="V39" s="59"/>
      <c r="W39" s="59"/>
      <c r="X39" s="59"/>
      <c r="Y39" s="59"/>
    </row>
    <row r="40" ht="15" customHeight="1">
      <c r="A40" s="19"/>
      <c r="B40" s="37"/>
      <c r="C40" s="719"/>
      <c r="D40" s="211"/>
      <c r="E40" s="211"/>
      <c r="F40" s="211"/>
      <c r="G40" s="211"/>
      <c r="H40" s="227"/>
      <c r="I40" s="227"/>
      <c r="J40" s="227"/>
      <c r="K40" s="227"/>
      <c r="L40" s="227"/>
      <c r="M40" s="227"/>
      <c r="N40" s="227"/>
      <c r="O40" s="227"/>
      <c r="P40" s="227"/>
      <c r="Q40" s="227"/>
      <c r="R40" s="59"/>
      <c r="S40" s="59"/>
      <c r="T40" s="59"/>
      <c r="U40" s="59"/>
      <c r="V40" s="59"/>
      <c r="W40" s="59"/>
      <c r="X40" s="59"/>
      <c r="Y40" s="59"/>
    </row>
    <row r="41" ht="15" customHeight="1">
      <c r="A41" s="19"/>
      <c r="B41" s="37"/>
      <c r="C41" s="719"/>
      <c r="D41" s="211"/>
      <c r="E41" s="211"/>
      <c r="F41" s="211"/>
      <c r="G41" s="211"/>
      <c r="H41" s="227"/>
      <c r="I41" s="227"/>
      <c r="J41" s="227"/>
      <c r="K41" s="227"/>
      <c r="L41" s="227"/>
      <c r="M41" s="227"/>
      <c r="N41" s="227"/>
      <c r="O41" s="227"/>
      <c r="P41" s="227"/>
      <c r="Q41" s="227"/>
      <c r="R41" s="59"/>
      <c r="S41" s="59"/>
      <c r="T41" s="59"/>
      <c r="U41" s="59"/>
      <c r="V41" s="59"/>
      <c r="W41" s="59"/>
      <c r="X41" s="59"/>
      <c r="Y41" s="59"/>
    </row>
    <row r="42" ht="15" customHeight="1">
      <c r="A42" s="23"/>
      <c r="B42" s="40"/>
      <c r="C42" s="540"/>
      <c r="D42" s="231"/>
      <c r="E42" s="231"/>
      <c r="F42" s="231"/>
      <c r="G42" s="231"/>
      <c r="H42" s="231"/>
      <c r="I42" s="231"/>
      <c r="J42" s="231"/>
      <c r="K42" s="231"/>
      <c r="L42" s="231"/>
      <c r="M42" s="231"/>
      <c r="N42" s="231"/>
      <c r="O42" s="231"/>
      <c r="P42" s="231"/>
      <c r="Q42" s="231"/>
      <c r="R42" s="59"/>
      <c r="S42" s="59"/>
      <c r="T42" s="59"/>
      <c r="U42" s="59"/>
      <c r="V42" s="59"/>
      <c r="W42" s="59"/>
      <c r="X42" s="59"/>
      <c r="Y42" s="59"/>
    </row>
    <row r="43" ht="15" customHeight="1">
      <c r="A43" s="15">
        <v>4</v>
      </c>
      <c r="B43" t="s" s="16">
        <v>14</v>
      </c>
      <c r="C43" t="s" s="17">
        <v>2785</v>
      </c>
      <c r="D43" s="169"/>
      <c r="E43" s="169"/>
      <c r="F43" s="169"/>
      <c r="G43" s="169"/>
      <c r="H43" s="169"/>
      <c r="I43" s="169"/>
      <c r="J43" s="169"/>
      <c r="K43" s="169"/>
      <c r="L43" s="169"/>
      <c r="M43" s="169"/>
      <c r="N43" s="169"/>
      <c r="O43" s="169"/>
      <c r="P43" s="169"/>
      <c r="Q43" s="169"/>
      <c r="R43" s="59"/>
      <c r="S43" s="59"/>
      <c r="T43" s="59"/>
      <c r="U43" s="59"/>
      <c r="V43" s="59"/>
      <c r="W43" s="59"/>
      <c r="X43" s="59"/>
      <c r="Y43" s="59"/>
    </row>
    <row r="44" ht="15" customHeight="1">
      <c r="A44" s="19"/>
      <c r="B44" s="44"/>
      <c r="C44" s="21"/>
      <c r="D44" s="22"/>
      <c r="E44" s="22"/>
      <c r="F44" s="22"/>
      <c r="G44" s="22"/>
      <c r="H44" s="22"/>
      <c r="I44" s="22"/>
      <c r="J44" s="22"/>
      <c r="K44" s="22"/>
      <c r="L44" s="22"/>
      <c r="M44" s="22"/>
      <c r="N44" s="22"/>
      <c r="O44" s="22"/>
      <c r="P44" s="22"/>
      <c r="Q44" s="22"/>
      <c r="R44" s="59"/>
      <c r="S44" s="59"/>
      <c r="T44" s="59"/>
      <c r="U44" s="59"/>
      <c r="V44" s="59"/>
      <c r="W44" s="59"/>
      <c r="X44" s="59"/>
      <c r="Y44" s="59"/>
    </row>
    <row r="45" ht="15" customHeight="1">
      <c r="A45" s="19"/>
      <c r="B45" s="44"/>
      <c r="C45" s="21"/>
      <c r="D45" s="22"/>
      <c r="E45" s="22"/>
      <c r="F45" s="22"/>
      <c r="G45" s="22"/>
      <c r="H45" s="22"/>
      <c r="I45" s="22"/>
      <c r="J45" s="22"/>
      <c r="K45" s="22"/>
      <c r="L45" s="22"/>
      <c r="M45" s="22"/>
      <c r="N45" s="22"/>
      <c r="O45" s="22"/>
      <c r="P45" s="22"/>
      <c r="Q45" s="22"/>
      <c r="R45" s="59"/>
      <c r="S45" s="59"/>
      <c r="T45" s="59"/>
      <c r="U45" s="59"/>
      <c r="V45" s="59"/>
      <c r="W45" s="59"/>
      <c r="X45" s="59"/>
      <c r="Y45" s="59"/>
    </row>
    <row r="46" ht="15" customHeight="1">
      <c r="A46" s="19"/>
      <c r="B46" s="44"/>
      <c r="C46" s="21"/>
      <c r="D46" s="22"/>
      <c r="E46" s="22"/>
      <c r="F46" s="22"/>
      <c r="G46" s="22"/>
      <c r="H46" s="22"/>
      <c r="I46" s="22"/>
      <c r="J46" s="22"/>
      <c r="K46" s="22"/>
      <c r="L46" s="22"/>
      <c r="M46" s="22"/>
      <c r="N46" s="22"/>
      <c r="O46" s="22"/>
      <c r="P46" s="22"/>
      <c r="Q46" s="22"/>
      <c r="R46" s="59"/>
      <c r="S46" s="59"/>
      <c r="T46" s="59"/>
      <c r="U46" s="59"/>
      <c r="V46" s="59"/>
      <c r="W46" s="59"/>
      <c r="X46" s="59"/>
      <c r="Y46" s="59"/>
    </row>
    <row r="47" ht="15" customHeight="1">
      <c r="A47" s="23"/>
      <c r="B47" s="45"/>
      <c r="C47" s="25"/>
      <c r="D47" s="26"/>
      <c r="E47" s="26"/>
      <c r="F47" s="26"/>
      <c r="G47" s="26"/>
      <c r="H47" s="26"/>
      <c r="I47" s="26"/>
      <c r="J47" s="26"/>
      <c r="K47" s="26"/>
      <c r="L47" s="26"/>
      <c r="M47" s="26"/>
      <c r="N47" s="26"/>
      <c r="O47" s="26"/>
      <c r="P47" s="26"/>
      <c r="Q47" s="26"/>
      <c r="R47" s="59"/>
      <c r="S47" s="59"/>
      <c r="T47" s="59"/>
      <c r="U47" s="59"/>
      <c r="V47" s="59"/>
      <c r="W47" s="59"/>
      <c r="X47" s="59"/>
      <c r="Y47" s="59"/>
    </row>
    <row r="48" ht="60" customHeight="1">
      <c r="A48" s="27">
        <v>5</v>
      </c>
      <c r="B48" t="s" s="28">
        <v>16</v>
      </c>
      <c r="C48" t="s" s="29">
        <v>2786</v>
      </c>
      <c r="D48" t="s" s="982">
        <v>2787</v>
      </c>
      <c r="E48" t="s" s="982">
        <v>2788</v>
      </c>
      <c r="F48" t="s" s="982">
        <v>2789</v>
      </c>
      <c r="G48" s="168"/>
      <c r="H48" t="s" s="432">
        <v>2790</v>
      </c>
      <c r="I48" s="983"/>
      <c r="J48" s="168"/>
      <c r="K48" s="168"/>
      <c r="L48" s="168"/>
      <c r="M48" s="168"/>
      <c r="N48" s="168"/>
      <c r="O48" s="168"/>
      <c r="P48" s="168"/>
      <c r="Q48" s="168"/>
      <c r="R48" s="59"/>
      <c r="S48" s="59"/>
      <c r="T48" s="59"/>
      <c r="U48" s="59"/>
      <c r="V48" s="59"/>
      <c r="W48" s="59"/>
      <c r="X48" s="59"/>
      <c r="Y48" s="59"/>
    </row>
    <row r="49" ht="15" customHeight="1">
      <c r="A49" s="31"/>
      <c r="B49" s="46"/>
      <c r="C49" s="47"/>
      <c r="D49" s="48"/>
      <c r="E49" s="48"/>
      <c r="F49" s="48"/>
      <c r="G49" s="48"/>
      <c r="H49" s="454"/>
      <c r="I49" s="454"/>
      <c r="J49" s="48"/>
      <c r="K49" s="48"/>
      <c r="L49" s="48"/>
      <c r="M49" s="48"/>
      <c r="N49" s="48"/>
      <c r="O49" s="48"/>
      <c r="P49" s="48"/>
      <c r="Q49" s="48"/>
      <c r="R49" s="59"/>
      <c r="S49" s="59"/>
      <c r="T49" s="59"/>
      <c r="U49" s="59"/>
      <c r="V49" s="59"/>
      <c r="W49" s="59"/>
      <c r="X49" s="59"/>
      <c r="Y49" s="59"/>
    </row>
    <row r="50" ht="15" customHeight="1">
      <c r="A50" s="31"/>
      <c r="B50" s="46"/>
      <c r="C50" s="47"/>
      <c r="D50" s="48"/>
      <c r="E50" s="48"/>
      <c r="F50" s="48"/>
      <c r="G50" s="48"/>
      <c r="H50" s="48"/>
      <c r="I50" s="48"/>
      <c r="J50" s="48"/>
      <c r="K50" s="48"/>
      <c r="L50" s="48"/>
      <c r="M50" s="48"/>
      <c r="N50" s="48"/>
      <c r="O50" s="48"/>
      <c r="P50" s="48"/>
      <c r="Q50" s="48"/>
      <c r="R50" s="59"/>
      <c r="S50" s="59"/>
      <c r="T50" s="59"/>
      <c r="U50" s="59"/>
      <c r="V50" s="59"/>
      <c r="W50" s="59"/>
      <c r="X50" s="59"/>
      <c r="Y50" s="59"/>
    </row>
    <row r="51" ht="15" customHeight="1">
      <c r="A51" s="31"/>
      <c r="B51" s="46"/>
      <c r="C51" s="47"/>
      <c r="D51" s="48"/>
      <c r="E51" s="48"/>
      <c r="F51" s="48"/>
      <c r="G51" s="48"/>
      <c r="H51" s="48"/>
      <c r="I51" s="48"/>
      <c r="J51" s="48"/>
      <c r="K51" s="48"/>
      <c r="L51" s="48"/>
      <c r="M51" s="48"/>
      <c r="N51" s="48"/>
      <c r="O51" s="48"/>
      <c r="P51" s="48"/>
      <c r="Q51" s="48"/>
      <c r="R51" s="59"/>
      <c r="S51" s="59"/>
      <c r="T51" s="59"/>
      <c r="U51" s="59"/>
      <c r="V51" s="59"/>
      <c r="W51" s="59"/>
      <c r="X51" s="59"/>
      <c r="Y51" s="59"/>
    </row>
    <row r="52" ht="15" customHeight="1">
      <c r="A52" s="31"/>
      <c r="B52" s="46"/>
      <c r="C52" s="47"/>
      <c r="D52" s="48"/>
      <c r="E52" s="48"/>
      <c r="F52" s="48"/>
      <c r="G52" s="48"/>
      <c r="H52" s="48"/>
      <c r="I52" s="48"/>
      <c r="J52" s="48"/>
      <c r="K52" s="48"/>
      <c r="L52" s="48"/>
      <c r="M52" s="48"/>
      <c r="N52" s="48"/>
      <c r="O52" s="48"/>
      <c r="P52" s="48"/>
      <c r="Q52" s="48"/>
      <c r="R52" s="59"/>
      <c r="S52" s="59"/>
      <c r="T52" s="59"/>
      <c r="U52" s="59"/>
      <c r="V52" s="59"/>
      <c r="W52" s="59"/>
      <c r="X52" s="59"/>
      <c r="Y52" s="59"/>
    </row>
    <row r="53" ht="15" customHeight="1">
      <c r="A53" s="31"/>
      <c r="B53" s="46"/>
      <c r="C53" s="47"/>
      <c r="D53" s="48"/>
      <c r="E53" s="48"/>
      <c r="F53" s="48"/>
      <c r="G53" s="48"/>
      <c r="H53" s="48"/>
      <c r="I53" s="48"/>
      <c r="J53" s="48"/>
      <c r="K53" s="48"/>
      <c r="L53" s="48"/>
      <c r="M53" s="48"/>
      <c r="N53" s="48"/>
      <c r="O53" s="48"/>
      <c r="P53" s="48"/>
      <c r="Q53" s="48"/>
      <c r="R53" s="59"/>
      <c r="S53" s="59"/>
      <c r="T53" s="59"/>
      <c r="U53" s="59"/>
      <c r="V53" s="59"/>
      <c r="W53" s="59"/>
      <c r="X53" s="59"/>
      <c r="Y53" s="59"/>
    </row>
    <row r="54" ht="15" customHeight="1">
      <c r="A54" s="31"/>
      <c r="B54" s="46"/>
      <c r="C54" s="47"/>
      <c r="D54" s="48"/>
      <c r="E54" s="48"/>
      <c r="F54" s="48"/>
      <c r="G54" s="48"/>
      <c r="H54" s="48"/>
      <c r="I54" s="48"/>
      <c r="J54" s="48"/>
      <c r="K54" s="48"/>
      <c r="L54" s="48"/>
      <c r="M54" s="48"/>
      <c r="N54" s="48"/>
      <c r="O54" s="48"/>
      <c r="P54" s="48"/>
      <c r="Q54" s="48"/>
      <c r="R54" s="59"/>
      <c r="S54" s="59"/>
      <c r="T54" s="59"/>
      <c r="U54" s="59"/>
      <c r="V54" s="59"/>
      <c r="W54" s="59"/>
      <c r="X54" s="59"/>
      <c r="Y54" s="59"/>
    </row>
    <row r="55" ht="15" customHeight="1">
      <c r="A55" s="35"/>
      <c r="B55" s="49"/>
      <c r="C55" s="50"/>
      <c r="D55" s="51"/>
      <c r="E55" s="51"/>
      <c r="F55" s="51"/>
      <c r="G55" s="51"/>
      <c r="H55" s="51"/>
      <c r="I55" s="51"/>
      <c r="J55" s="51"/>
      <c r="K55" s="51"/>
      <c r="L55" s="51"/>
      <c r="M55" s="51"/>
      <c r="N55" s="51"/>
      <c r="O55" s="51"/>
      <c r="P55" s="51"/>
      <c r="Q55" s="51"/>
      <c r="R55" s="59"/>
      <c r="S55" s="59"/>
      <c r="T55" s="59"/>
      <c r="U55" s="59"/>
      <c r="V55" s="59"/>
      <c r="W55" s="59"/>
      <c r="X55" s="59"/>
      <c r="Y55" s="59"/>
    </row>
    <row r="56" ht="15" customHeight="1">
      <c r="A56" s="52">
        <v>6</v>
      </c>
      <c r="B56" t="s" s="53">
        <v>19</v>
      </c>
      <c r="C56" t="s" s="54">
        <v>2791</v>
      </c>
      <c r="D56" s="123"/>
      <c r="E56" s="123"/>
      <c r="F56" s="123"/>
      <c r="G56" s="123"/>
      <c r="H56" s="123"/>
      <c r="I56" s="123"/>
      <c r="J56" s="123"/>
      <c r="K56" s="123"/>
      <c r="L56" s="123"/>
      <c r="M56" s="123"/>
      <c r="N56" s="123"/>
      <c r="O56" s="123"/>
      <c r="P56" s="123"/>
      <c r="Q56" s="123"/>
      <c r="R56" s="59"/>
      <c r="S56" s="59"/>
      <c r="T56" s="59"/>
      <c r="U56" s="59"/>
      <c r="V56" s="59"/>
      <c r="W56" s="59"/>
      <c r="X56" s="59"/>
      <c r="Y56" s="59"/>
    </row>
    <row r="57" ht="15" customHeight="1">
      <c r="A57" s="56"/>
      <c r="B57" s="57"/>
      <c r="C57" s="58"/>
      <c r="D57" s="59"/>
      <c r="E57" s="59"/>
      <c r="F57" s="59"/>
      <c r="G57" s="59"/>
      <c r="H57" s="59"/>
      <c r="I57" s="59"/>
      <c r="J57" s="59"/>
      <c r="K57" s="59"/>
      <c r="L57" s="59"/>
      <c r="M57" s="59"/>
      <c r="N57" s="59"/>
      <c r="O57" s="59"/>
      <c r="P57" s="59"/>
      <c r="Q57" s="59"/>
      <c r="R57" s="59"/>
      <c r="S57" s="59"/>
      <c r="T57" s="59"/>
      <c r="U57" s="59"/>
      <c r="V57" s="59"/>
      <c r="W57" s="59"/>
      <c r="X57" s="59"/>
      <c r="Y57" s="59"/>
    </row>
    <row r="58" ht="15" customHeight="1">
      <c r="A58" s="56"/>
      <c r="B58" s="57"/>
      <c r="C58" s="58"/>
      <c r="D58" s="59"/>
      <c r="E58" s="59"/>
      <c r="F58" s="59"/>
      <c r="G58" s="59"/>
      <c r="H58" s="59"/>
      <c r="I58" s="59"/>
      <c r="J58" s="59"/>
      <c r="K58" s="59"/>
      <c r="L58" s="59"/>
      <c r="M58" s="59"/>
      <c r="N58" s="59"/>
      <c r="O58" s="59"/>
      <c r="P58" s="59"/>
      <c r="Q58" s="59"/>
      <c r="R58" s="59"/>
      <c r="S58" s="59"/>
      <c r="T58" s="59"/>
      <c r="U58" s="59"/>
      <c r="V58" s="59"/>
      <c r="W58" s="59"/>
      <c r="X58" s="59"/>
      <c r="Y58" s="59"/>
    </row>
    <row r="59" ht="28.5" customHeight="1">
      <c r="A59" s="60"/>
      <c r="B59" s="57"/>
      <c r="C59" s="58"/>
      <c r="D59" s="59"/>
      <c r="E59" s="59"/>
      <c r="F59" s="59"/>
      <c r="G59" s="59"/>
      <c r="H59" s="59"/>
      <c r="I59" s="59"/>
      <c r="J59" s="59"/>
      <c r="K59" s="59"/>
      <c r="L59" s="59"/>
      <c r="M59" s="59"/>
      <c r="N59" s="59"/>
      <c r="O59" s="59"/>
      <c r="P59" s="59"/>
      <c r="Q59" s="59"/>
      <c r="R59" s="59"/>
      <c r="S59" s="59"/>
      <c r="T59" s="59"/>
      <c r="U59" s="59"/>
      <c r="V59" s="59"/>
      <c r="W59" s="59"/>
      <c r="X59" s="59"/>
      <c r="Y59" s="59"/>
    </row>
    <row r="60" ht="28.5" customHeight="1">
      <c r="A60" s="60"/>
      <c r="B60" s="57"/>
      <c r="C60" s="58"/>
      <c r="D60" s="59"/>
      <c r="E60" s="59"/>
      <c r="F60" s="59"/>
      <c r="G60" s="59"/>
      <c r="H60" s="59"/>
      <c r="I60" s="59"/>
      <c r="J60" s="59"/>
      <c r="K60" s="59"/>
      <c r="L60" s="59"/>
      <c r="M60" s="59"/>
      <c r="N60" s="59"/>
      <c r="O60" s="59"/>
      <c r="P60" s="59"/>
      <c r="Q60" s="59"/>
      <c r="R60" s="59"/>
      <c r="S60" s="59"/>
      <c r="T60" s="59"/>
      <c r="U60" s="59"/>
      <c r="V60" s="59"/>
      <c r="W60" s="59"/>
      <c r="X60" s="59"/>
      <c r="Y60" s="59"/>
    </row>
    <row r="61" ht="28.5" customHeight="1">
      <c r="A61" s="60"/>
      <c r="B61" s="57"/>
      <c r="C61" s="58"/>
      <c r="D61" s="59"/>
      <c r="E61" s="59"/>
      <c r="F61" s="59"/>
      <c r="G61" s="59"/>
      <c r="H61" s="59"/>
      <c r="I61" s="59"/>
      <c r="J61" s="59"/>
      <c r="K61" s="59"/>
      <c r="L61" s="59"/>
      <c r="M61" s="59"/>
      <c r="N61" s="59"/>
      <c r="O61" s="59"/>
      <c r="P61" s="59"/>
      <c r="Q61" s="59"/>
      <c r="R61" s="59"/>
      <c r="S61" s="59"/>
      <c r="T61" s="59"/>
      <c r="U61" s="59"/>
      <c r="V61" s="59"/>
      <c r="W61" s="59"/>
      <c r="X61" s="59"/>
      <c r="Y61" s="59"/>
    </row>
    <row r="62" ht="28.5" customHeight="1">
      <c r="A62" s="60"/>
      <c r="B62" s="57"/>
      <c r="C62" s="58"/>
      <c r="D62" s="59"/>
      <c r="E62" s="59"/>
      <c r="F62" s="59"/>
      <c r="G62" s="59"/>
      <c r="H62" s="59"/>
      <c r="I62" s="59"/>
      <c r="J62" s="59"/>
      <c r="K62" s="59"/>
      <c r="L62" s="59"/>
      <c r="M62" s="59"/>
      <c r="N62" s="59"/>
      <c r="O62" s="59"/>
      <c r="P62" s="59"/>
      <c r="Q62" s="59"/>
      <c r="R62" s="59"/>
      <c r="S62" s="59"/>
      <c r="T62" s="59"/>
      <c r="U62" s="59"/>
      <c r="V62" s="59"/>
      <c r="W62" s="59"/>
      <c r="X62" s="59"/>
      <c r="Y62" s="59"/>
    </row>
    <row r="63" ht="28.5" customHeight="1">
      <c r="A63" s="60"/>
      <c r="B63" s="57"/>
      <c r="C63" s="58"/>
      <c r="D63" s="59"/>
      <c r="E63" s="59"/>
      <c r="F63" s="59"/>
      <c r="G63" s="59"/>
      <c r="H63" s="59"/>
      <c r="I63" s="59"/>
      <c r="J63" s="59"/>
      <c r="K63" s="59"/>
      <c r="L63" s="59"/>
      <c r="M63" s="59"/>
      <c r="N63" s="59"/>
      <c r="O63" s="59"/>
      <c r="P63" s="59"/>
      <c r="Q63" s="59"/>
      <c r="R63" s="59"/>
      <c r="S63" s="59"/>
      <c r="T63" s="59"/>
      <c r="U63" s="59"/>
      <c r="V63" s="59"/>
      <c r="W63" s="59"/>
      <c r="X63" s="59"/>
      <c r="Y63" s="59"/>
    </row>
    <row r="64" ht="28.5" customHeight="1">
      <c r="A64" s="60"/>
      <c r="B64" s="57"/>
      <c r="C64" s="58"/>
      <c r="D64" s="59"/>
      <c r="E64" s="59"/>
      <c r="F64" s="59"/>
      <c r="G64" s="59"/>
      <c r="H64" s="59"/>
      <c r="I64" s="59"/>
      <c r="J64" s="59"/>
      <c r="K64" s="59"/>
      <c r="L64" s="59"/>
      <c r="M64" s="59"/>
      <c r="N64" s="59"/>
      <c r="O64" s="59"/>
      <c r="P64" s="59"/>
      <c r="Q64" s="59"/>
      <c r="R64" s="59"/>
      <c r="S64" s="59"/>
      <c r="T64" s="59"/>
      <c r="U64" s="59"/>
      <c r="V64" s="59"/>
      <c r="W64" s="59"/>
      <c r="X64" s="59"/>
      <c r="Y64" s="59"/>
    </row>
    <row r="65" ht="28.5" customHeight="1">
      <c r="A65" s="60"/>
      <c r="B65" s="57"/>
      <c r="C65" s="58"/>
      <c r="D65" s="59"/>
      <c r="E65" s="59"/>
      <c r="F65" s="59"/>
      <c r="G65" s="59"/>
      <c r="H65" s="59"/>
      <c r="I65" s="59"/>
      <c r="J65" s="59"/>
      <c r="K65" s="59"/>
      <c r="L65" s="59"/>
      <c r="M65" s="59"/>
      <c r="N65" s="59"/>
      <c r="O65" s="59"/>
      <c r="P65" s="59"/>
      <c r="Q65" s="59"/>
      <c r="R65" s="59"/>
      <c r="S65" s="59"/>
      <c r="T65" s="59"/>
      <c r="U65" s="59"/>
      <c r="V65" s="59"/>
      <c r="W65" s="59"/>
      <c r="X65" s="59"/>
      <c r="Y65" s="59"/>
    </row>
    <row r="66" ht="28.5" customHeight="1">
      <c r="A66" s="60"/>
      <c r="B66" s="57"/>
      <c r="C66" s="58"/>
      <c r="D66" s="59"/>
      <c r="E66" s="59"/>
      <c r="F66" s="59"/>
      <c r="G66" s="59"/>
      <c r="H66" s="59"/>
      <c r="I66" s="59"/>
      <c r="J66" s="59"/>
      <c r="K66" s="59"/>
      <c r="L66" s="59"/>
      <c r="M66" s="59"/>
      <c r="N66" s="59"/>
      <c r="O66" s="59"/>
      <c r="P66" s="59"/>
      <c r="Q66" s="59"/>
      <c r="R66" s="59"/>
      <c r="S66" s="59"/>
      <c r="T66" s="59"/>
      <c r="U66" s="59"/>
      <c r="V66" s="59"/>
      <c r="W66" s="59"/>
      <c r="X66" s="59"/>
      <c r="Y66" s="59"/>
    </row>
    <row r="67" ht="28.5" customHeight="1">
      <c r="A67" s="60"/>
      <c r="B67" s="57"/>
      <c r="C67" s="58"/>
      <c r="D67" s="59"/>
      <c r="E67" s="59"/>
      <c r="F67" s="59"/>
      <c r="G67" s="59"/>
      <c r="H67" s="59"/>
      <c r="I67" s="59"/>
      <c r="J67" s="59"/>
      <c r="K67" s="59"/>
      <c r="L67" s="59"/>
      <c r="M67" s="59"/>
      <c r="N67" s="59"/>
      <c r="O67" s="59"/>
      <c r="P67" s="59"/>
      <c r="Q67" s="59"/>
      <c r="R67" s="59"/>
      <c r="S67" s="59"/>
      <c r="T67" s="59"/>
      <c r="U67" s="59"/>
      <c r="V67" s="59"/>
      <c r="W67" s="59"/>
      <c r="X67" s="59"/>
      <c r="Y67" s="59"/>
    </row>
    <row r="68" ht="28.5" customHeight="1">
      <c r="A68" s="60"/>
      <c r="B68" s="57"/>
      <c r="C68" s="58"/>
      <c r="D68" s="59"/>
      <c r="E68" s="59"/>
      <c r="F68" s="59"/>
      <c r="G68" s="59"/>
      <c r="H68" s="59"/>
      <c r="I68" s="59"/>
      <c r="J68" s="59"/>
      <c r="K68" s="59"/>
      <c r="L68" s="59"/>
      <c r="M68" s="59"/>
      <c r="N68" s="59"/>
      <c r="O68" s="59"/>
      <c r="P68" s="59"/>
      <c r="Q68" s="59"/>
      <c r="R68" s="59"/>
      <c r="S68" s="59"/>
      <c r="T68" s="59"/>
      <c r="U68" s="59"/>
      <c r="V68" s="59"/>
      <c r="W68" s="59"/>
      <c r="X68" s="59"/>
      <c r="Y68" s="59"/>
    </row>
    <row r="69" ht="28.5" customHeight="1">
      <c r="A69" s="61"/>
      <c r="B69" s="62"/>
      <c r="C69" s="63"/>
      <c r="D69" s="64"/>
      <c r="E69" s="64"/>
      <c r="F69" s="64"/>
      <c r="G69" s="64"/>
      <c r="H69" s="64"/>
      <c r="I69" s="64"/>
      <c r="J69" s="64"/>
      <c r="K69" s="64"/>
      <c r="L69" s="64"/>
      <c r="M69" s="64"/>
      <c r="N69" s="64"/>
      <c r="O69" s="64"/>
      <c r="P69" s="64"/>
      <c r="Q69" s="64"/>
      <c r="R69" s="59"/>
      <c r="S69" s="59"/>
      <c r="T69" s="59"/>
      <c r="U69" s="59"/>
      <c r="V69" s="59"/>
      <c r="W69" s="59"/>
      <c r="X69" s="59"/>
      <c r="Y69" s="59"/>
    </row>
    <row r="70" ht="15" customHeight="1">
      <c r="A70" s="15">
        <v>7</v>
      </c>
      <c r="B70" t="s" s="65">
        <v>21</v>
      </c>
      <c r="C70" t="s" s="544">
        <v>2792</v>
      </c>
      <c r="D70" s="420"/>
      <c r="E70" s="420"/>
      <c r="F70" s="420"/>
      <c r="G70" s="420"/>
      <c r="H70" t="s" s="18">
        <v>2793</v>
      </c>
      <c r="I70" s="169"/>
      <c r="J70" s="169"/>
      <c r="K70" s="169"/>
      <c r="L70" s="169"/>
      <c r="M70" s="169"/>
      <c r="N70" s="169"/>
      <c r="O70" s="169"/>
      <c r="P70" s="169"/>
      <c r="Q70" s="169"/>
      <c r="R70" s="59"/>
      <c r="S70" s="59"/>
      <c r="T70" s="59"/>
      <c r="U70" s="59"/>
      <c r="V70" s="59"/>
      <c r="W70" s="59"/>
      <c r="X70" s="59"/>
      <c r="Y70" s="59"/>
    </row>
    <row r="71" ht="15" customHeight="1">
      <c r="A71" s="19"/>
      <c r="B71" s="67"/>
      <c r="C71" s="719"/>
      <c r="D71" s="211"/>
      <c r="E71" s="211"/>
      <c r="F71" s="211"/>
      <c r="G71" s="211"/>
      <c r="H71" s="22"/>
      <c r="I71" s="22"/>
      <c r="J71" s="22"/>
      <c r="K71" s="22"/>
      <c r="L71" s="22"/>
      <c r="M71" s="22"/>
      <c r="N71" s="22"/>
      <c r="O71" s="22"/>
      <c r="P71" s="22"/>
      <c r="Q71" s="22"/>
      <c r="R71" s="59"/>
      <c r="S71" s="59"/>
      <c r="T71" s="59"/>
      <c r="U71" s="59"/>
      <c r="V71" s="59"/>
      <c r="W71" s="59"/>
      <c r="X71" s="59"/>
      <c r="Y71" s="59"/>
    </row>
    <row r="72" ht="15" customHeight="1">
      <c r="A72" s="19"/>
      <c r="B72" s="67"/>
      <c r="C72" s="21"/>
      <c r="D72" s="22"/>
      <c r="E72" s="22"/>
      <c r="F72" s="22"/>
      <c r="G72" s="22"/>
      <c r="H72" s="22"/>
      <c r="I72" s="22"/>
      <c r="J72" s="22"/>
      <c r="K72" s="22"/>
      <c r="L72" s="22"/>
      <c r="M72" s="22"/>
      <c r="N72" s="22"/>
      <c r="O72" s="22"/>
      <c r="P72" s="22"/>
      <c r="Q72" s="22"/>
      <c r="R72" s="59"/>
      <c r="S72" s="59"/>
      <c r="T72" s="59"/>
      <c r="U72" s="59"/>
      <c r="V72" s="59"/>
      <c r="W72" s="59"/>
      <c r="X72" s="59"/>
      <c r="Y72" s="59"/>
    </row>
    <row r="73" ht="15" customHeight="1">
      <c r="A73" s="19"/>
      <c r="B73" s="67"/>
      <c r="C73" s="21"/>
      <c r="D73" s="22"/>
      <c r="E73" s="22"/>
      <c r="F73" s="22"/>
      <c r="G73" s="22"/>
      <c r="H73" s="22"/>
      <c r="I73" s="22"/>
      <c r="J73" s="22"/>
      <c r="K73" s="22"/>
      <c r="L73" s="22"/>
      <c r="M73" s="22"/>
      <c r="N73" s="22"/>
      <c r="O73" s="22"/>
      <c r="P73" s="22"/>
      <c r="Q73" s="22"/>
      <c r="R73" s="59"/>
      <c r="S73" s="59"/>
      <c r="T73" s="59"/>
      <c r="U73" s="59"/>
      <c r="V73" s="59"/>
      <c r="W73" s="59"/>
      <c r="X73" s="59"/>
      <c r="Y73" s="59"/>
    </row>
    <row r="74" ht="15" customHeight="1">
      <c r="A74" s="19"/>
      <c r="B74" s="67"/>
      <c r="C74" s="21"/>
      <c r="D74" s="22"/>
      <c r="E74" s="22"/>
      <c r="F74" s="22"/>
      <c r="G74" s="22"/>
      <c r="H74" s="22"/>
      <c r="I74" s="22"/>
      <c r="J74" s="22"/>
      <c r="K74" s="22"/>
      <c r="L74" s="22"/>
      <c r="M74" s="22"/>
      <c r="N74" s="22"/>
      <c r="O74" s="22"/>
      <c r="P74" s="22"/>
      <c r="Q74" s="22"/>
      <c r="R74" s="59"/>
      <c r="S74" s="59"/>
      <c r="T74" s="59"/>
      <c r="U74" s="59"/>
      <c r="V74" s="59"/>
      <c r="W74" s="59"/>
      <c r="X74" s="59"/>
      <c r="Y74" s="59"/>
    </row>
    <row r="75" ht="15" customHeight="1">
      <c r="A75" s="19"/>
      <c r="B75" s="67"/>
      <c r="C75" s="21"/>
      <c r="D75" s="22"/>
      <c r="E75" s="22"/>
      <c r="F75" s="22"/>
      <c r="G75" s="22"/>
      <c r="H75" s="22"/>
      <c r="I75" s="22"/>
      <c r="J75" s="22"/>
      <c r="K75" s="22"/>
      <c r="L75" s="22"/>
      <c r="M75" s="22"/>
      <c r="N75" s="22"/>
      <c r="O75" s="22"/>
      <c r="P75" s="22"/>
      <c r="Q75" s="22"/>
      <c r="R75" s="59"/>
      <c r="S75" s="59"/>
      <c r="T75" s="59"/>
      <c r="U75" s="59"/>
      <c r="V75" s="59"/>
      <c r="W75" s="59"/>
      <c r="X75" s="59"/>
      <c r="Y75" s="59"/>
    </row>
    <row r="76" ht="15" customHeight="1">
      <c r="A76" s="19"/>
      <c r="B76" s="67"/>
      <c r="C76" s="21"/>
      <c r="D76" s="22"/>
      <c r="E76" s="22"/>
      <c r="F76" s="22"/>
      <c r="G76" s="22"/>
      <c r="H76" s="22"/>
      <c r="I76" s="22"/>
      <c r="J76" s="22"/>
      <c r="K76" s="22"/>
      <c r="L76" s="22"/>
      <c r="M76" s="22"/>
      <c r="N76" s="22"/>
      <c r="O76" s="22"/>
      <c r="P76" s="22"/>
      <c r="Q76" s="22"/>
      <c r="R76" s="59"/>
      <c r="S76" s="59"/>
      <c r="T76" s="59"/>
      <c r="U76" s="59"/>
      <c r="V76" s="59"/>
      <c r="W76" s="59"/>
      <c r="X76" s="59"/>
      <c r="Y76" s="59"/>
    </row>
    <row r="77" ht="15" customHeight="1">
      <c r="A77" s="19"/>
      <c r="B77" s="67"/>
      <c r="C77" s="21"/>
      <c r="D77" s="22"/>
      <c r="E77" s="22"/>
      <c r="F77" s="22"/>
      <c r="G77" s="22"/>
      <c r="H77" s="22"/>
      <c r="I77" s="22"/>
      <c r="J77" s="22"/>
      <c r="K77" s="22"/>
      <c r="L77" s="22"/>
      <c r="M77" s="22"/>
      <c r="N77" s="22"/>
      <c r="O77" s="22"/>
      <c r="P77" s="22"/>
      <c r="Q77" s="22"/>
      <c r="R77" s="59"/>
      <c r="S77" s="59"/>
      <c r="T77" s="59"/>
      <c r="U77" s="59"/>
      <c r="V77" s="59"/>
      <c r="W77" s="59"/>
      <c r="X77" s="59"/>
      <c r="Y77" s="59"/>
    </row>
    <row r="78" ht="15" customHeight="1">
      <c r="A78" s="19"/>
      <c r="B78" s="67"/>
      <c r="C78" s="21"/>
      <c r="D78" s="22"/>
      <c r="E78" s="22"/>
      <c r="F78" s="22"/>
      <c r="G78" s="22"/>
      <c r="H78" s="22"/>
      <c r="I78" s="22"/>
      <c r="J78" s="22"/>
      <c r="K78" s="22"/>
      <c r="L78" s="22"/>
      <c r="M78" s="22"/>
      <c r="N78" s="22"/>
      <c r="O78" s="22"/>
      <c r="P78" s="22"/>
      <c r="Q78" s="22"/>
      <c r="R78" s="59"/>
      <c r="S78" s="59"/>
      <c r="T78" s="59"/>
      <c r="U78" s="59"/>
      <c r="V78" s="59"/>
      <c r="W78" s="59"/>
      <c r="X78" s="59"/>
      <c r="Y78" s="59"/>
    </row>
    <row r="79" ht="15" customHeight="1">
      <c r="A79" s="19"/>
      <c r="B79" s="67"/>
      <c r="C79" s="21"/>
      <c r="D79" s="22"/>
      <c r="E79" s="22"/>
      <c r="F79" s="22"/>
      <c r="G79" s="22"/>
      <c r="H79" s="22"/>
      <c r="I79" s="22"/>
      <c r="J79" s="22"/>
      <c r="K79" s="22"/>
      <c r="L79" s="22"/>
      <c r="M79" s="22"/>
      <c r="N79" s="22"/>
      <c r="O79" s="22"/>
      <c r="P79" s="22"/>
      <c r="Q79" s="22"/>
      <c r="R79" s="59"/>
      <c r="S79" s="59"/>
      <c r="T79" s="59"/>
      <c r="U79" s="59"/>
      <c r="V79" s="59"/>
      <c r="W79" s="59"/>
      <c r="X79" s="59"/>
      <c r="Y79" s="59"/>
    </row>
    <row r="80" ht="15" customHeight="1">
      <c r="A80" s="23"/>
      <c r="B80" s="68"/>
      <c r="C80" s="25"/>
      <c r="D80" s="26"/>
      <c r="E80" s="26"/>
      <c r="F80" s="26"/>
      <c r="G80" s="26"/>
      <c r="H80" s="26"/>
      <c r="I80" s="26"/>
      <c r="J80" s="26"/>
      <c r="K80" s="26"/>
      <c r="L80" s="26"/>
      <c r="M80" s="26"/>
      <c r="N80" s="26"/>
      <c r="O80" s="26"/>
      <c r="P80" s="26"/>
      <c r="Q80" s="26"/>
      <c r="R80" s="59"/>
      <c r="S80" s="59"/>
      <c r="T80" s="59"/>
      <c r="U80" s="59"/>
      <c r="V80" s="59"/>
      <c r="W80" s="59"/>
      <c r="X80" s="59"/>
      <c r="Y80" s="59"/>
    </row>
    <row r="81" ht="15" customHeight="1">
      <c r="A81" s="71">
        <v>8</v>
      </c>
      <c r="B81" t="s" s="72">
        <v>22</v>
      </c>
      <c r="C81" t="s" s="550">
        <v>2794</v>
      </c>
      <c r="D81" s="984"/>
      <c r="E81" s="984"/>
      <c r="F81" s="984"/>
      <c r="G81" s="325"/>
      <c r="H81" t="s" s="292">
        <v>2795</v>
      </c>
      <c r="I81" s="984"/>
      <c r="J81" s="984"/>
      <c r="K81" s="984"/>
      <c r="L81" s="984"/>
      <c r="M81" s="325"/>
      <c r="N81" s="325"/>
      <c r="O81" s="325"/>
      <c r="P81" s="325"/>
      <c r="Q81" s="325"/>
      <c r="R81" s="59"/>
      <c r="S81" s="59"/>
      <c r="T81" s="59"/>
      <c r="U81" s="59"/>
      <c r="V81" s="59"/>
      <c r="W81" s="59"/>
      <c r="X81" s="59"/>
      <c r="Y81" s="59"/>
    </row>
    <row r="82" ht="15" customHeight="1">
      <c r="A82" s="76"/>
      <c r="B82" s="77"/>
      <c r="C82" s="555"/>
      <c r="D82" s="302"/>
      <c r="E82" s="302"/>
      <c r="F82" s="302"/>
      <c r="G82" s="79"/>
      <c r="H82" s="302"/>
      <c r="I82" s="302"/>
      <c r="J82" s="302"/>
      <c r="K82" s="302"/>
      <c r="L82" s="302"/>
      <c r="M82" s="79"/>
      <c r="N82" s="79"/>
      <c r="O82" s="79"/>
      <c r="P82" s="79"/>
      <c r="Q82" s="79"/>
      <c r="R82" s="59"/>
      <c r="S82" s="59"/>
      <c r="T82" s="59"/>
      <c r="U82" s="59"/>
      <c r="V82" s="59"/>
      <c r="W82" s="59"/>
      <c r="X82" s="59"/>
      <c r="Y82" s="59"/>
    </row>
    <row r="83" ht="28.5" customHeight="1">
      <c r="A83" s="80"/>
      <c r="B83" s="77"/>
      <c r="C83" s="555"/>
      <c r="D83" s="302"/>
      <c r="E83" s="302"/>
      <c r="F83" s="302"/>
      <c r="G83" s="79"/>
      <c r="H83" s="302"/>
      <c r="I83" s="302"/>
      <c r="J83" s="302"/>
      <c r="K83" s="302"/>
      <c r="L83" s="302"/>
      <c r="M83" s="79"/>
      <c r="N83" s="79"/>
      <c r="O83" s="79"/>
      <c r="P83" s="79"/>
      <c r="Q83" s="79"/>
      <c r="R83" s="59"/>
      <c r="S83" s="59"/>
      <c r="T83" s="59"/>
      <c r="U83" s="59"/>
      <c r="V83" s="59"/>
      <c r="W83" s="59"/>
      <c r="X83" s="59"/>
      <c r="Y83" s="59"/>
    </row>
    <row r="84" ht="28.5" customHeight="1">
      <c r="A84" s="81"/>
      <c r="B84" s="57"/>
      <c r="C84" s="555"/>
      <c r="D84" s="302"/>
      <c r="E84" s="302"/>
      <c r="F84" s="302"/>
      <c r="G84" s="79"/>
      <c r="H84" s="79"/>
      <c r="I84" s="79"/>
      <c r="J84" s="79"/>
      <c r="K84" s="79"/>
      <c r="L84" s="79"/>
      <c r="M84" s="79"/>
      <c r="N84" s="79"/>
      <c r="O84" s="79"/>
      <c r="P84" s="79"/>
      <c r="Q84" s="79"/>
      <c r="R84" s="59"/>
      <c r="S84" s="59"/>
      <c r="T84" s="59"/>
      <c r="U84" s="59"/>
      <c r="V84" s="59"/>
      <c r="W84" s="59"/>
      <c r="X84" s="59"/>
      <c r="Y84" s="59"/>
    </row>
    <row r="85" ht="28.5" customHeight="1">
      <c r="A85" s="19"/>
      <c r="B85" s="57"/>
      <c r="C85" s="555"/>
      <c r="D85" s="302"/>
      <c r="E85" s="302"/>
      <c r="F85" s="302"/>
      <c r="G85" s="59"/>
      <c r="H85" s="59"/>
      <c r="I85" s="59"/>
      <c r="J85" s="59"/>
      <c r="K85" s="59"/>
      <c r="L85" s="59"/>
      <c r="M85" s="59"/>
      <c r="N85" s="59"/>
      <c r="O85" s="59"/>
      <c r="P85" s="59"/>
      <c r="Q85" s="59"/>
      <c r="R85" s="59"/>
      <c r="S85" s="59"/>
      <c r="T85" s="59"/>
      <c r="U85" s="59"/>
      <c r="V85" s="59"/>
      <c r="W85" s="59"/>
      <c r="X85" s="59"/>
      <c r="Y85" s="59"/>
    </row>
    <row r="86" ht="28.5" customHeight="1">
      <c r="A86" s="19"/>
      <c r="B86" s="57"/>
      <c r="C86" s="58"/>
      <c r="D86" s="59"/>
      <c r="E86" s="59"/>
      <c r="F86" s="59"/>
      <c r="G86" s="59"/>
      <c r="H86" s="59"/>
      <c r="I86" s="59"/>
      <c r="J86" s="59"/>
      <c r="K86" s="59"/>
      <c r="L86" s="59"/>
      <c r="M86" s="59"/>
      <c r="N86" s="59"/>
      <c r="O86" s="59"/>
      <c r="P86" s="59"/>
      <c r="Q86" s="59"/>
      <c r="R86" s="59"/>
      <c r="S86" s="59"/>
      <c r="T86" s="59"/>
      <c r="U86" s="59"/>
      <c r="V86" s="59"/>
      <c r="W86" s="59"/>
      <c r="X86" s="59"/>
      <c r="Y86" s="59"/>
    </row>
    <row r="87" ht="28.5" customHeight="1">
      <c r="A87" s="19"/>
      <c r="B87" s="57"/>
      <c r="C87" s="58"/>
      <c r="D87" s="59"/>
      <c r="E87" s="59"/>
      <c r="F87" s="59"/>
      <c r="G87" s="59"/>
      <c r="H87" s="59"/>
      <c r="I87" s="59"/>
      <c r="J87" s="59"/>
      <c r="K87" s="59"/>
      <c r="L87" s="59"/>
      <c r="M87" s="59"/>
      <c r="N87" s="59"/>
      <c r="O87" s="59"/>
      <c r="P87" s="59"/>
      <c r="Q87" s="59"/>
      <c r="R87" s="59"/>
      <c r="S87" s="59"/>
      <c r="T87" s="59"/>
      <c r="U87" s="59"/>
      <c r="V87" s="59"/>
      <c r="W87" s="59"/>
      <c r="X87" s="59"/>
      <c r="Y87" s="59"/>
    </row>
    <row r="88" ht="28.5" customHeight="1">
      <c r="A88" s="19"/>
      <c r="B88" s="57"/>
      <c r="C88" s="58"/>
      <c r="D88" s="59"/>
      <c r="E88" s="59"/>
      <c r="F88" s="59"/>
      <c r="G88" s="59"/>
      <c r="H88" s="59"/>
      <c r="I88" s="59"/>
      <c r="J88" s="59"/>
      <c r="K88" s="59"/>
      <c r="L88" s="59"/>
      <c r="M88" s="59"/>
      <c r="N88" s="59"/>
      <c r="O88" s="59"/>
      <c r="P88" s="59"/>
      <c r="Q88" s="59"/>
      <c r="R88" s="59"/>
      <c r="S88" s="59"/>
      <c r="T88" s="59"/>
      <c r="U88" s="59"/>
      <c r="V88" s="59"/>
      <c r="W88" s="59"/>
      <c r="X88" s="59"/>
      <c r="Y88" s="59"/>
    </row>
    <row r="89" ht="28.5" customHeight="1">
      <c r="A89" s="23"/>
      <c r="B89" s="62"/>
      <c r="C89" s="63"/>
      <c r="D89" s="64"/>
      <c r="E89" s="64"/>
      <c r="F89" s="64"/>
      <c r="G89" s="64"/>
      <c r="H89" s="64"/>
      <c r="I89" s="64"/>
      <c r="J89" s="64"/>
      <c r="K89" s="64"/>
      <c r="L89" s="64"/>
      <c r="M89" s="64"/>
      <c r="N89" s="64"/>
      <c r="O89" s="64"/>
      <c r="P89" s="64"/>
      <c r="Q89" s="64"/>
      <c r="R89" s="59"/>
      <c r="S89" s="59"/>
      <c r="T89" s="59"/>
      <c r="U89" s="59"/>
      <c r="V89" s="59"/>
      <c r="W89" s="59"/>
      <c r="X89" s="59"/>
      <c r="Y89" s="59"/>
    </row>
    <row r="90" ht="15" customHeight="1">
      <c r="A90" s="52">
        <v>9</v>
      </c>
      <c r="B90" t="s" s="53">
        <v>24</v>
      </c>
      <c r="C90" t="s" s="985">
        <v>2796</v>
      </c>
      <c r="D90" s="986"/>
      <c r="E90" s="986"/>
      <c r="F90" s="986"/>
      <c r="G90" s="986"/>
      <c r="H90" t="s" s="292">
        <v>2797</v>
      </c>
      <c r="I90" s="984"/>
      <c r="J90" s="984"/>
      <c r="K90" s="984"/>
      <c r="L90" s="984"/>
      <c r="M90" s="123"/>
      <c r="N90" s="123"/>
      <c r="O90" s="123"/>
      <c r="P90" s="123"/>
      <c r="Q90" s="123"/>
      <c r="R90" s="59"/>
      <c r="S90" s="59"/>
      <c r="T90" s="59"/>
      <c r="U90" s="59"/>
      <c r="V90" s="59"/>
      <c r="W90" s="59"/>
      <c r="X90" s="59"/>
      <c r="Y90" s="59"/>
    </row>
    <row r="91" ht="15" customHeight="1">
      <c r="A91" s="56"/>
      <c r="B91" s="57"/>
      <c r="C91" s="987"/>
      <c r="D91" s="305"/>
      <c r="E91" s="305"/>
      <c r="F91" s="305"/>
      <c r="G91" s="305"/>
      <c r="H91" s="302"/>
      <c r="I91" s="302"/>
      <c r="J91" s="302"/>
      <c r="K91" s="302"/>
      <c r="L91" s="302"/>
      <c r="M91" s="59"/>
      <c r="N91" s="59"/>
      <c r="O91" s="59"/>
      <c r="P91" s="59"/>
      <c r="Q91" s="59"/>
      <c r="R91" s="59"/>
      <c r="S91" s="59"/>
      <c r="T91" s="59"/>
      <c r="U91" s="59"/>
      <c r="V91" s="59"/>
      <c r="W91" s="59"/>
      <c r="X91" s="59"/>
      <c r="Y91" s="59"/>
    </row>
    <row r="92" ht="15" customHeight="1">
      <c r="A92" s="56"/>
      <c r="B92" s="57"/>
      <c r="C92" s="987"/>
      <c r="D92" s="305"/>
      <c r="E92" s="305"/>
      <c r="F92" s="305"/>
      <c r="G92" s="305"/>
      <c r="H92" s="302"/>
      <c r="I92" s="302"/>
      <c r="J92" s="302"/>
      <c r="K92" s="302"/>
      <c r="L92" s="302"/>
      <c r="M92" s="59"/>
      <c r="N92" s="59"/>
      <c r="O92" s="59"/>
      <c r="P92" s="59"/>
      <c r="Q92" s="59"/>
      <c r="R92" s="59"/>
      <c r="S92" s="59"/>
      <c r="T92" s="59"/>
      <c r="U92" s="59"/>
      <c r="V92" s="59"/>
      <c r="W92" s="59"/>
      <c r="X92" s="59"/>
      <c r="Y92" s="59"/>
    </row>
    <row r="93" ht="28.5" customHeight="1">
      <c r="A93" s="60"/>
      <c r="B93" s="57"/>
      <c r="C93" s="987"/>
      <c r="D93" s="305"/>
      <c r="E93" s="305"/>
      <c r="F93" s="305"/>
      <c r="G93" s="305"/>
      <c r="H93" s="302"/>
      <c r="I93" s="302"/>
      <c r="J93" s="302"/>
      <c r="K93" s="302"/>
      <c r="L93" s="302"/>
      <c r="M93" s="59"/>
      <c r="N93" s="59"/>
      <c r="O93" s="59"/>
      <c r="P93" s="59"/>
      <c r="Q93" s="59"/>
      <c r="R93" s="59"/>
      <c r="S93" s="59"/>
      <c r="T93" s="59"/>
      <c r="U93" s="59"/>
      <c r="V93" s="59"/>
      <c r="W93" s="59"/>
      <c r="X93" s="59"/>
      <c r="Y93" s="59"/>
    </row>
    <row r="94" ht="28.5" customHeight="1">
      <c r="A94" s="60"/>
      <c r="B94" s="57"/>
      <c r="C94" s="58"/>
      <c r="D94" s="59"/>
      <c r="E94" s="59"/>
      <c r="F94" s="59"/>
      <c r="G94" s="59"/>
      <c r="H94" s="302"/>
      <c r="I94" s="302"/>
      <c r="J94" s="302"/>
      <c r="K94" s="302"/>
      <c r="L94" s="302"/>
      <c r="M94" s="59"/>
      <c r="N94" s="59"/>
      <c r="O94" s="59"/>
      <c r="P94" s="59"/>
      <c r="Q94" s="59"/>
      <c r="R94" s="59"/>
      <c r="S94" s="59"/>
      <c r="T94" s="59"/>
      <c r="U94" s="59"/>
      <c r="V94" s="59"/>
      <c r="W94" s="59"/>
      <c r="X94" s="59"/>
      <c r="Y94" s="59"/>
    </row>
    <row r="95" ht="28.5" customHeight="1">
      <c r="A95" s="60"/>
      <c r="B95" s="57"/>
      <c r="C95" s="58"/>
      <c r="D95" s="59"/>
      <c r="E95" s="59"/>
      <c r="F95" s="59"/>
      <c r="G95" s="59"/>
      <c r="H95" s="302"/>
      <c r="I95" s="302"/>
      <c r="J95" s="302"/>
      <c r="K95" s="302"/>
      <c r="L95" s="302"/>
      <c r="M95" s="59"/>
      <c r="N95" s="59"/>
      <c r="O95" s="59"/>
      <c r="P95" s="59"/>
      <c r="Q95" s="59"/>
      <c r="R95" s="59"/>
      <c r="S95" s="59"/>
      <c r="T95" s="59"/>
      <c r="U95" s="59"/>
      <c r="V95" s="59"/>
      <c r="W95" s="59"/>
      <c r="X95" s="59"/>
      <c r="Y95" s="59"/>
    </row>
    <row r="96" ht="28.5" customHeight="1">
      <c r="A96" s="60"/>
      <c r="B96" s="57"/>
      <c r="C96" s="58"/>
      <c r="D96" s="59"/>
      <c r="E96" s="59"/>
      <c r="F96" s="59"/>
      <c r="G96" s="59"/>
      <c r="H96" s="302"/>
      <c r="I96" s="302"/>
      <c r="J96" s="302"/>
      <c r="K96" s="302"/>
      <c r="L96" s="302"/>
      <c r="M96" s="59"/>
      <c r="N96" s="59"/>
      <c r="O96" s="59"/>
      <c r="P96" s="59"/>
      <c r="Q96" s="59"/>
      <c r="R96" s="59"/>
      <c r="S96" s="59"/>
      <c r="T96" s="59"/>
      <c r="U96" s="59"/>
      <c r="V96" s="59"/>
      <c r="W96" s="59"/>
      <c r="X96" s="59"/>
      <c r="Y96" s="59"/>
    </row>
    <row r="97" ht="28.5" customHeight="1">
      <c r="A97" s="60"/>
      <c r="B97" s="57"/>
      <c r="C97" s="58"/>
      <c r="D97" s="59"/>
      <c r="E97" s="59"/>
      <c r="F97" s="59"/>
      <c r="G97" s="59"/>
      <c r="H97" s="302"/>
      <c r="I97" s="302"/>
      <c r="J97" s="302"/>
      <c r="K97" s="302"/>
      <c r="L97" s="302"/>
      <c r="M97" s="59"/>
      <c r="N97" s="59"/>
      <c r="O97" s="59"/>
      <c r="P97" s="59"/>
      <c r="Q97" s="59"/>
      <c r="R97" s="59"/>
      <c r="S97" s="59"/>
      <c r="T97" s="59"/>
      <c r="U97" s="59"/>
      <c r="V97" s="59"/>
      <c r="W97" s="59"/>
      <c r="X97" s="59"/>
      <c r="Y97" s="59"/>
    </row>
    <row r="98" ht="28.5" customHeight="1">
      <c r="A98" s="60"/>
      <c r="B98" s="57"/>
      <c r="C98" s="58"/>
      <c r="D98" s="59"/>
      <c r="E98" s="59"/>
      <c r="F98" s="59"/>
      <c r="G98" s="59"/>
      <c r="H98" s="302"/>
      <c r="I98" s="302"/>
      <c r="J98" s="302"/>
      <c r="K98" s="302"/>
      <c r="L98" s="302"/>
      <c r="M98" s="59"/>
      <c r="N98" s="59"/>
      <c r="O98" s="59"/>
      <c r="P98" s="59"/>
      <c r="Q98" s="59"/>
      <c r="R98" s="59"/>
      <c r="S98" s="59"/>
      <c r="T98" s="59"/>
      <c r="U98" s="59"/>
      <c r="V98" s="59"/>
      <c r="W98" s="59"/>
      <c r="X98" s="59"/>
      <c r="Y98" s="59"/>
    </row>
    <row r="99" ht="28.5" customHeight="1">
      <c r="A99" s="60"/>
      <c r="B99" s="57"/>
      <c r="C99" s="58"/>
      <c r="D99" s="59"/>
      <c r="E99" s="59"/>
      <c r="F99" s="59"/>
      <c r="G99" s="59"/>
      <c r="H99" s="302"/>
      <c r="I99" s="302"/>
      <c r="J99" s="302"/>
      <c r="K99" s="302"/>
      <c r="L99" s="302"/>
      <c r="M99" s="59"/>
      <c r="N99" s="59"/>
      <c r="O99" s="59"/>
      <c r="P99" s="59"/>
      <c r="Q99" s="59"/>
      <c r="R99" s="59"/>
      <c r="S99" s="59"/>
      <c r="T99" s="59"/>
      <c r="U99" s="59"/>
      <c r="V99" s="59"/>
      <c r="W99" s="59"/>
      <c r="X99" s="59"/>
      <c r="Y99" s="59"/>
    </row>
    <row r="100" ht="28.5" customHeight="1">
      <c r="A100" s="60"/>
      <c r="B100" s="57"/>
      <c r="C100" s="58"/>
      <c r="D100" s="59"/>
      <c r="E100" s="59"/>
      <c r="F100" s="59"/>
      <c r="G100" s="59"/>
      <c r="H100" s="302"/>
      <c r="I100" s="302"/>
      <c r="J100" s="302"/>
      <c r="K100" s="302"/>
      <c r="L100" s="302"/>
      <c r="M100" s="59"/>
      <c r="N100" s="59"/>
      <c r="O100" s="59"/>
      <c r="P100" s="59"/>
      <c r="Q100" s="59"/>
      <c r="R100" s="59"/>
      <c r="S100" s="59"/>
      <c r="T100" s="59"/>
      <c r="U100" s="59"/>
      <c r="V100" s="59"/>
      <c r="W100" s="59"/>
      <c r="X100" s="59"/>
      <c r="Y100" s="59"/>
    </row>
    <row r="101" ht="28.5" customHeight="1">
      <c r="A101" s="61"/>
      <c r="B101" s="62"/>
      <c r="C101" s="63"/>
      <c r="D101" s="64"/>
      <c r="E101" s="64"/>
      <c r="F101" s="64"/>
      <c r="G101" s="64"/>
      <c r="H101" s="64"/>
      <c r="I101" s="64"/>
      <c r="J101" s="64"/>
      <c r="K101" s="64"/>
      <c r="L101" s="64"/>
      <c r="M101" s="64"/>
      <c r="N101" s="64"/>
      <c r="O101" s="64"/>
      <c r="P101" s="64"/>
      <c r="Q101" s="64"/>
      <c r="R101" s="59"/>
      <c r="S101" s="59"/>
      <c r="T101" s="59"/>
      <c r="U101" s="59"/>
      <c r="V101" s="59"/>
      <c r="W101" s="59"/>
      <c r="X101" s="59"/>
      <c r="Y101" s="59"/>
    </row>
    <row r="102" ht="26.1" customHeight="1">
      <c r="A102" s="84">
        <v>10</v>
      </c>
      <c r="B102" t="s" s="85">
        <v>28</v>
      </c>
      <c r="C102" t="s" s="988">
        <v>2798</v>
      </c>
      <c r="D102" s="989"/>
      <c r="E102" s="989"/>
      <c r="F102" s="989"/>
      <c r="G102" s="989"/>
      <c r="H102" s="384"/>
      <c r="I102" s="384"/>
      <c r="J102" s="384"/>
      <c r="K102" s="384"/>
      <c r="L102" s="384"/>
      <c r="M102" s="384"/>
      <c r="N102" s="384"/>
      <c r="O102" s="384"/>
      <c r="P102" s="384"/>
      <c r="Q102" s="384"/>
      <c r="R102" s="59"/>
      <c r="S102" s="59"/>
      <c r="T102" s="59"/>
      <c r="U102" s="59"/>
      <c r="V102" s="59"/>
      <c r="W102" s="59"/>
      <c r="X102" s="59"/>
      <c r="Y102" s="59"/>
    </row>
    <row r="103" ht="15" customHeight="1">
      <c r="A103" s="88"/>
      <c r="B103" s="89"/>
      <c r="C103" s="990"/>
      <c r="D103" s="991"/>
      <c r="E103" s="991"/>
      <c r="F103" s="991"/>
      <c r="G103" s="991"/>
      <c r="H103" s="91"/>
      <c r="I103" s="91"/>
      <c r="J103" s="91"/>
      <c r="K103" s="91"/>
      <c r="L103" s="91"/>
      <c r="M103" s="91"/>
      <c r="N103" s="91"/>
      <c r="O103" s="91"/>
      <c r="P103" s="91"/>
      <c r="Q103" s="91"/>
      <c r="R103" s="59"/>
      <c r="S103" s="59"/>
      <c r="T103" s="59"/>
      <c r="U103" s="59"/>
      <c r="V103" s="59"/>
      <c r="W103" s="59"/>
      <c r="X103" s="59"/>
      <c r="Y103" s="59"/>
    </row>
    <row r="104" ht="15" customHeight="1">
      <c r="A104" s="88"/>
      <c r="B104" s="89"/>
      <c r="C104" s="990"/>
      <c r="D104" s="991"/>
      <c r="E104" s="991"/>
      <c r="F104" s="991"/>
      <c r="G104" s="991"/>
      <c r="H104" s="91"/>
      <c r="I104" s="91"/>
      <c r="J104" s="91"/>
      <c r="K104" s="91"/>
      <c r="L104" s="91"/>
      <c r="M104" s="91"/>
      <c r="N104" s="91"/>
      <c r="O104" s="91"/>
      <c r="P104" s="91"/>
      <c r="Q104" s="91"/>
      <c r="R104" s="59"/>
      <c r="S104" s="59"/>
      <c r="T104" s="59"/>
      <c r="U104" s="59"/>
      <c r="V104" s="59"/>
      <c r="W104" s="59"/>
      <c r="X104" s="59"/>
      <c r="Y104" s="59"/>
    </row>
    <row r="105" ht="15" customHeight="1">
      <c r="A105" s="88"/>
      <c r="B105" s="89"/>
      <c r="C105" s="990"/>
      <c r="D105" s="991"/>
      <c r="E105" s="991"/>
      <c r="F105" s="991"/>
      <c r="G105" s="991"/>
      <c r="H105" s="91"/>
      <c r="I105" s="91"/>
      <c r="J105" s="91"/>
      <c r="K105" s="91"/>
      <c r="L105" s="91"/>
      <c r="M105" s="91"/>
      <c r="N105" s="91"/>
      <c r="O105" s="91"/>
      <c r="P105" s="91"/>
      <c r="Q105" s="91"/>
      <c r="R105" s="59"/>
      <c r="S105" s="59"/>
      <c r="T105" s="59"/>
      <c r="U105" s="59"/>
      <c r="V105" s="59"/>
      <c r="W105" s="59"/>
      <c r="X105" s="59"/>
      <c r="Y105" s="59"/>
    </row>
    <row r="106" ht="15" customHeight="1">
      <c r="A106" s="92"/>
      <c r="B106" s="89"/>
      <c r="C106" s="990"/>
      <c r="D106" s="991"/>
      <c r="E106" s="991"/>
      <c r="F106" s="991"/>
      <c r="G106" s="991"/>
      <c r="H106" s="91"/>
      <c r="I106" s="91"/>
      <c r="J106" s="91"/>
      <c r="K106" s="91"/>
      <c r="L106" s="91"/>
      <c r="M106" s="91"/>
      <c r="N106" s="91"/>
      <c r="O106" s="91"/>
      <c r="P106" s="91"/>
      <c r="Q106" s="91"/>
      <c r="R106" s="59"/>
      <c r="S106" s="59"/>
      <c r="T106" s="59"/>
      <c r="U106" s="59"/>
      <c r="V106" s="59"/>
      <c r="W106" s="59"/>
      <c r="X106" s="59"/>
      <c r="Y106" s="59"/>
    </row>
    <row r="107" ht="15" customHeight="1">
      <c r="A107" s="92"/>
      <c r="B107" s="89"/>
      <c r="C107" s="990"/>
      <c r="D107" s="991"/>
      <c r="E107" s="991"/>
      <c r="F107" s="991"/>
      <c r="G107" s="991"/>
      <c r="H107" s="91"/>
      <c r="I107" s="91"/>
      <c r="J107" s="91"/>
      <c r="K107" s="91"/>
      <c r="L107" s="91"/>
      <c r="M107" s="91"/>
      <c r="N107" s="91"/>
      <c r="O107" s="91"/>
      <c r="P107" s="91"/>
      <c r="Q107" s="91"/>
      <c r="R107" s="59"/>
      <c r="S107" s="59"/>
      <c r="T107" s="59"/>
      <c r="U107" s="59"/>
      <c r="V107" s="59"/>
      <c r="W107" s="59"/>
      <c r="X107" s="59"/>
      <c r="Y107" s="59"/>
    </row>
    <row r="108" ht="15" customHeight="1">
      <c r="A108" s="92"/>
      <c r="B108" s="89"/>
      <c r="C108" s="990"/>
      <c r="D108" s="991"/>
      <c r="E108" s="991"/>
      <c r="F108" s="991"/>
      <c r="G108" s="991"/>
      <c r="H108" s="91"/>
      <c r="I108" s="91"/>
      <c r="J108" s="91"/>
      <c r="K108" s="91"/>
      <c r="L108" s="91"/>
      <c r="M108" s="91"/>
      <c r="N108" s="91"/>
      <c r="O108" s="91"/>
      <c r="P108" s="91"/>
      <c r="Q108" s="91"/>
      <c r="R108" s="59"/>
      <c r="S108" s="59"/>
      <c r="T108" s="59"/>
      <c r="U108" s="59"/>
      <c r="V108" s="59"/>
      <c r="W108" s="59"/>
      <c r="X108" s="59"/>
      <c r="Y108" s="59"/>
    </row>
    <row r="109" ht="15" customHeight="1">
      <c r="A109" s="93"/>
      <c r="B109" s="94"/>
      <c r="C109" s="992"/>
      <c r="D109" s="993"/>
      <c r="E109" s="993"/>
      <c r="F109" s="993"/>
      <c r="G109" s="993"/>
      <c r="H109" s="96"/>
      <c r="I109" s="96"/>
      <c r="J109" s="96"/>
      <c r="K109" s="96"/>
      <c r="L109" s="96"/>
      <c r="M109" s="96"/>
      <c r="N109" s="96"/>
      <c r="O109" s="96"/>
      <c r="P109" s="96"/>
      <c r="Q109" s="96"/>
      <c r="R109" s="59"/>
      <c r="S109" s="59"/>
      <c r="T109" s="59"/>
      <c r="U109" s="59"/>
      <c r="V109" s="59"/>
      <c r="W109" s="59"/>
      <c r="X109" s="59"/>
      <c r="Y109" s="59"/>
    </row>
    <row r="110" ht="15" customHeight="1">
      <c r="A110" s="15">
        <v>11</v>
      </c>
      <c r="B110" t="s" s="97">
        <v>30</v>
      </c>
      <c r="C110" s="994"/>
      <c r="D110" s="410"/>
      <c r="E110" s="410"/>
      <c r="F110" s="410"/>
      <c r="G110" s="410"/>
      <c r="H110" t="s" s="170">
        <v>2799</v>
      </c>
      <c r="I110" s="420"/>
      <c r="J110" s="420"/>
      <c r="K110" s="410"/>
      <c r="L110" t="s" s="170">
        <v>2800</v>
      </c>
      <c r="M110" s="420"/>
      <c r="N110" s="420"/>
      <c r="O110" s="420"/>
      <c r="P110" s="410"/>
      <c r="Q110" s="410"/>
      <c r="R110" s="59"/>
      <c r="S110" s="59"/>
      <c r="T110" s="59"/>
      <c r="U110" s="59"/>
      <c r="V110" s="59"/>
      <c r="W110" s="59"/>
      <c r="X110" s="59"/>
      <c r="Y110" s="59"/>
    </row>
    <row r="111" ht="15" customHeight="1">
      <c r="A111" s="19"/>
      <c r="B111" s="100"/>
      <c r="C111" t="s" s="981">
        <v>2801</v>
      </c>
      <c r="D111" s="242"/>
      <c r="E111" s="242"/>
      <c r="F111" s="242"/>
      <c r="G111" s="242"/>
      <c r="H111" s="211"/>
      <c r="I111" s="211"/>
      <c r="J111" s="211"/>
      <c r="K111" s="22"/>
      <c r="L111" t="s" s="243">
        <v>2802</v>
      </c>
      <c r="M111" s="211"/>
      <c r="N111" s="211"/>
      <c r="O111" s="211"/>
      <c r="P111" s="22"/>
      <c r="Q111" s="22"/>
      <c r="R111" s="59"/>
      <c r="S111" s="59"/>
      <c r="T111" s="59"/>
      <c r="U111" s="59"/>
      <c r="V111" s="59"/>
      <c r="W111" s="59"/>
      <c r="X111" s="59"/>
      <c r="Y111" s="59"/>
    </row>
    <row r="112" ht="15" customHeight="1">
      <c r="A112" s="19"/>
      <c r="B112" s="100"/>
      <c r="C112" s="995"/>
      <c r="D112" s="242"/>
      <c r="E112" s="242"/>
      <c r="F112" s="242"/>
      <c r="G112" s="242"/>
      <c r="H112" s="22"/>
      <c r="I112" s="22"/>
      <c r="J112" s="22"/>
      <c r="K112" s="22"/>
      <c r="L112" s="211"/>
      <c r="M112" s="211"/>
      <c r="N112" s="211"/>
      <c r="O112" s="211"/>
      <c r="P112" s="22"/>
      <c r="Q112" s="22"/>
      <c r="R112" s="59"/>
      <c r="S112" s="59"/>
      <c r="T112" s="59"/>
      <c r="U112" s="59"/>
      <c r="V112" s="59"/>
      <c r="W112" s="59"/>
      <c r="X112" s="59"/>
      <c r="Y112" s="59"/>
    </row>
    <row r="113" ht="15" customHeight="1">
      <c r="A113" s="19"/>
      <c r="B113" s="100"/>
      <c r="C113" s="21"/>
      <c r="D113" s="22"/>
      <c r="E113" s="22"/>
      <c r="F113" s="22"/>
      <c r="G113" s="22"/>
      <c r="H113" t="s" s="243">
        <v>2803</v>
      </c>
      <c r="I113" s="211"/>
      <c r="J113" s="211"/>
      <c r="K113" s="22"/>
      <c r="L113" t="s" s="243">
        <v>2804</v>
      </c>
      <c r="M113" s="211"/>
      <c r="N113" s="211"/>
      <c r="O113" s="211"/>
      <c r="P113" s="211"/>
      <c r="Q113" s="22"/>
      <c r="R113" s="59"/>
      <c r="S113" s="59"/>
      <c r="T113" s="59"/>
      <c r="U113" s="59"/>
      <c r="V113" s="59"/>
      <c r="W113" s="59"/>
      <c r="X113" s="59"/>
      <c r="Y113" s="59"/>
    </row>
    <row r="114" ht="15" customHeight="1">
      <c r="A114" s="19"/>
      <c r="B114" s="100"/>
      <c r="C114" s="21"/>
      <c r="D114" s="22"/>
      <c r="E114" s="22"/>
      <c r="F114" s="22"/>
      <c r="G114" s="22"/>
      <c r="H114" s="211"/>
      <c r="I114" s="211"/>
      <c r="J114" s="211"/>
      <c r="K114" s="22"/>
      <c r="L114" s="211"/>
      <c r="M114" s="211"/>
      <c r="N114" s="211"/>
      <c r="O114" s="211"/>
      <c r="P114" s="211"/>
      <c r="Q114" s="22"/>
      <c r="R114" s="59"/>
      <c r="S114" s="59"/>
      <c r="T114" s="59"/>
      <c r="U114" s="59"/>
      <c r="V114" s="59"/>
      <c r="W114" s="59"/>
      <c r="X114" s="59"/>
      <c r="Y114" s="59"/>
    </row>
    <row r="115" ht="15" customHeight="1">
      <c r="A115" s="19"/>
      <c r="B115" s="100"/>
      <c r="C115" s="21"/>
      <c r="D115" s="22"/>
      <c r="E115" s="22"/>
      <c r="F115" s="22"/>
      <c r="G115" s="22"/>
      <c r="H115" s="211"/>
      <c r="I115" s="211"/>
      <c r="J115" s="211"/>
      <c r="K115" s="22"/>
      <c r="L115" s="211"/>
      <c r="M115" s="211"/>
      <c r="N115" s="211"/>
      <c r="O115" s="211"/>
      <c r="P115" s="211"/>
      <c r="Q115" s="22"/>
      <c r="R115" s="59"/>
      <c r="S115" s="59"/>
      <c r="T115" s="59"/>
      <c r="U115" s="59"/>
      <c r="V115" s="59"/>
      <c r="W115" s="59"/>
      <c r="X115" s="59"/>
      <c r="Y115" s="59"/>
    </row>
    <row r="116" ht="15" customHeight="1">
      <c r="A116" s="19"/>
      <c r="B116" s="100"/>
      <c r="C116" s="21"/>
      <c r="D116" s="22"/>
      <c r="E116" s="22"/>
      <c r="F116" s="22"/>
      <c r="G116" s="22"/>
      <c r="H116" s="211"/>
      <c r="I116" s="211"/>
      <c r="J116" s="211"/>
      <c r="K116" s="22"/>
      <c r="L116" s="211"/>
      <c r="M116" s="211"/>
      <c r="N116" s="211"/>
      <c r="O116" s="211"/>
      <c r="P116" s="211"/>
      <c r="Q116" s="22"/>
      <c r="R116" s="59"/>
      <c r="S116" s="59"/>
      <c r="T116" s="59"/>
      <c r="U116" s="59"/>
      <c r="V116" s="59"/>
      <c r="W116" s="59"/>
      <c r="X116" s="59"/>
      <c r="Y116" s="59"/>
    </row>
    <row r="117" ht="15" customHeight="1">
      <c r="A117" s="19"/>
      <c r="B117" s="100"/>
      <c r="C117" s="21"/>
      <c r="D117" s="22"/>
      <c r="E117" s="22"/>
      <c r="F117" s="22"/>
      <c r="G117" s="22"/>
      <c r="H117" s="22"/>
      <c r="I117" s="22"/>
      <c r="J117" s="22"/>
      <c r="K117" s="22"/>
      <c r="L117" s="211"/>
      <c r="M117" s="211"/>
      <c r="N117" s="211"/>
      <c r="O117" s="211"/>
      <c r="P117" s="211"/>
      <c r="Q117" s="22"/>
      <c r="R117" s="59"/>
      <c r="S117" s="59"/>
      <c r="T117" s="59"/>
      <c r="U117" s="59"/>
      <c r="V117" s="59"/>
      <c r="W117" s="59"/>
      <c r="X117" s="59"/>
      <c r="Y117" s="59"/>
    </row>
    <row r="118" ht="15" customHeight="1">
      <c r="A118" s="23"/>
      <c r="B118" s="101"/>
      <c r="C118" s="25"/>
      <c r="D118" s="26"/>
      <c r="E118" s="26"/>
      <c r="F118" s="26"/>
      <c r="G118" s="26"/>
      <c r="H118" s="26"/>
      <c r="I118" s="26"/>
      <c r="J118" s="26"/>
      <c r="K118" s="26"/>
      <c r="L118" s="252"/>
      <c r="M118" s="252"/>
      <c r="N118" s="252"/>
      <c r="O118" s="252"/>
      <c r="P118" s="252"/>
      <c r="Q118" s="26"/>
      <c r="R118" s="59"/>
      <c r="S118" s="59"/>
      <c r="T118" s="59"/>
      <c r="U118" s="59"/>
      <c r="V118" s="59"/>
      <c r="W118" s="59"/>
      <c r="X118" s="59"/>
      <c r="Y118" s="59"/>
    </row>
    <row r="119" ht="15" customHeight="1">
      <c r="A119" s="15">
        <v>12</v>
      </c>
      <c r="B119" t="s" s="102">
        <v>32</v>
      </c>
      <c r="C119" t="s" s="996">
        <v>2805</v>
      </c>
      <c r="D119" s="997"/>
      <c r="E119" s="997"/>
      <c r="F119" s="997"/>
      <c r="G119" s="438"/>
      <c r="H119" s="438"/>
      <c r="I119" t="s" s="432">
        <v>2806</v>
      </c>
      <c r="J119" s="983"/>
      <c r="K119" s="983"/>
      <c r="L119" s="983"/>
      <c r="M119" s="983"/>
      <c r="N119" s="438"/>
      <c r="O119" s="438"/>
      <c r="P119" s="438"/>
      <c r="Q119" s="438"/>
      <c r="R119" s="59"/>
      <c r="S119" s="59"/>
      <c r="T119" s="59"/>
      <c r="U119" s="59"/>
      <c r="V119" s="59"/>
      <c r="W119" s="59"/>
      <c r="X119" s="59"/>
      <c r="Y119" s="59"/>
    </row>
    <row r="120" ht="15" customHeight="1">
      <c r="A120" s="19"/>
      <c r="B120" s="105"/>
      <c r="C120" s="998"/>
      <c r="D120" s="465"/>
      <c r="E120" s="465"/>
      <c r="F120" s="465"/>
      <c r="G120" s="107"/>
      <c r="H120" s="107"/>
      <c r="I120" s="454"/>
      <c r="J120" s="454"/>
      <c r="K120" s="454"/>
      <c r="L120" s="454"/>
      <c r="M120" s="454"/>
      <c r="N120" s="107"/>
      <c r="O120" s="107"/>
      <c r="P120" s="107"/>
      <c r="Q120" s="107"/>
      <c r="R120" s="59"/>
      <c r="S120" s="59"/>
      <c r="T120" s="59"/>
      <c r="U120" s="59"/>
      <c r="V120" s="59"/>
      <c r="W120" s="59"/>
      <c r="X120" s="59"/>
      <c r="Y120" s="59"/>
    </row>
    <row r="121" ht="15" customHeight="1">
      <c r="A121" s="19"/>
      <c r="B121" s="105"/>
      <c r="C121" s="998"/>
      <c r="D121" s="465"/>
      <c r="E121" s="465"/>
      <c r="F121" s="465"/>
      <c r="G121" s="107"/>
      <c r="H121" s="107"/>
      <c r="I121" s="454"/>
      <c r="J121" s="454"/>
      <c r="K121" s="454"/>
      <c r="L121" s="454"/>
      <c r="M121" s="454"/>
      <c r="N121" s="107"/>
      <c r="O121" s="107"/>
      <c r="P121" s="107"/>
      <c r="Q121" s="107"/>
      <c r="R121" s="59"/>
      <c r="S121" s="59"/>
      <c r="T121" s="59"/>
      <c r="U121" s="59"/>
      <c r="V121" s="59"/>
      <c r="W121" s="59"/>
      <c r="X121" s="59"/>
      <c r="Y121" s="59"/>
    </row>
    <row r="122" ht="15" customHeight="1">
      <c r="A122" s="19"/>
      <c r="B122" s="105"/>
      <c r="C122" s="998"/>
      <c r="D122" s="465"/>
      <c r="E122" s="465"/>
      <c r="F122" s="465"/>
      <c r="G122" s="107"/>
      <c r="H122" s="107"/>
      <c r="I122" s="454"/>
      <c r="J122" s="454"/>
      <c r="K122" s="454"/>
      <c r="L122" s="454"/>
      <c r="M122" s="454"/>
      <c r="N122" s="107"/>
      <c r="O122" s="107"/>
      <c r="P122" s="107"/>
      <c r="Q122" s="107"/>
      <c r="R122" s="59"/>
      <c r="S122" s="59"/>
      <c r="T122" s="59"/>
      <c r="U122" s="59"/>
      <c r="V122" s="59"/>
      <c r="W122" s="59"/>
      <c r="X122" s="59"/>
      <c r="Y122" s="59"/>
    </row>
    <row r="123" ht="15" customHeight="1">
      <c r="A123" s="19"/>
      <c r="B123" s="105"/>
      <c r="C123" s="998"/>
      <c r="D123" s="465"/>
      <c r="E123" s="465"/>
      <c r="F123" s="465"/>
      <c r="G123" s="107"/>
      <c r="H123" s="107"/>
      <c r="I123" s="454"/>
      <c r="J123" s="454"/>
      <c r="K123" s="454"/>
      <c r="L123" s="454"/>
      <c r="M123" s="454"/>
      <c r="N123" s="107"/>
      <c r="O123" s="107"/>
      <c r="P123" s="107"/>
      <c r="Q123" s="107"/>
      <c r="R123" s="59"/>
      <c r="S123" s="59"/>
      <c r="T123" s="59"/>
      <c r="U123" s="59"/>
      <c r="V123" s="59"/>
      <c r="W123" s="59"/>
      <c r="X123" s="59"/>
      <c r="Y123" s="59"/>
    </row>
    <row r="124" ht="15" customHeight="1">
      <c r="A124" s="19"/>
      <c r="B124" s="105"/>
      <c r="C124" s="998"/>
      <c r="D124" s="465"/>
      <c r="E124" s="465"/>
      <c r="F124" s="465"/>
      <c r="G124" s="107"/>
      <c r="H124" s="107"/>
      <c r="I124" s="107"/>
      <c r="J124" s="107"/>
      <c r="K124" s="107"/>
      <c r="L124" s="107"/>
      <c r="M124" s="107"/>
      <c r="N124" s="107"/>
      <c r="O124" s="107"/>
      <c r="P124" s="107"/>
      <c r="Q124" s="107"/>
      <c r="R124" s="59"/>
      <c r="S124" s="59"/>
      <c r="T124" s="59"/>
      <c r="U124" s="59"/>
      <c r="V124" s="59"/>
      <c r="W124" s="59"/>
      <c r="X124" s="59"/>
      <c r="Y124" s="59"/>
    </row>
    <row r="125" ht="15" customHeight="1">
      <c r="A125" s="23"/>
      <c r="B125" s="108"/>
      <c r="C125" s="109"/>
      <c r="D125" s="110"/>
      <c r="E125" s="110"/>
      <c r="F125" s="110"/>
      <c r="G125" s="110"/>
      <c r="H125" s="110"/>
      <c r="I125" s="110"/>
      <c r="J125" s="110"/>
      <c r="K125" s="110"/>
      <c r="L125" s="110"/>
      <c r="M125" s="110"/>
      <c r="N125" s="110"/>
      <c r="O125" s="110"/>
      <c r="P125" s="110"/>
      <c r="Q125" s="110"/>
      <c r="R125" s="59"/>
      <c r="S125" s="59"/>
      <c r="T125" s="59"/>
      <c r="U125" s="59"/>
      <c r="V125" s="59"/>
      <c r="W125" s="59"/>
      <c r="X125" s="59"/>
      <c r="Y125" s="59"/>
    </row>
    <row r="126" ht="15" customHeight="1">
      <c r="A126" s="15">
        <v>13</v>
      </c>
      <c r="B126" t="s" s="111">
        <v>34</v>
      </c>
      <c r="C126" t="s" s="999">
        <v>2807</v>
      </c>
      <c r="D126" s="1000"/>
      <c r="E126" s="1000"/>
      <c r="F126" s="1000"/>
      <c r="G126" s="1000"/>
      <c r="H126" t="s" s="1001">
        <v>2456</v>
      </c>
      <c r="I126" s="1002"/>
      <c r="J126" s="1002"/>
      <c r="K126" s="123"/>
      <c r="L126" s="123"/>
      <c r="M126" s="123"/>
      <c r="N126" s="123"/>
      <c r="O126" s="123"/>
      <c r="P126" s="123"/>
      <c r="Q126" s="123"/>
      <c r="R126" s="59"/>
      <c r="S126" s="59"/>
      <c r="T126" s="59"/>
      <c r="U126" s="59"/>
      <c r="V126" s="59"/>
      <c r="W126" s="59"/>
      <c r="X126" s="59"/>
      <c r="Y126" s="59"/>
    </row>
    <row r="127" ht="36" customHeight="1">
      <c r="A127" s="19"/>
      <c r="B127" s="113"/>
      <c r="C127" s="1003"/>
      <c r="D127" s="930"/>
      <c r="E127" s="930"/>
      <c r="F127" s="930"/>
      <c r="G127" s="930"/>
      <c r="H127" t="s" s="1004">
        <v>2808</v>
      </c>
      <c r="I127" s="59"/>
      <c r="J127" s="59"/>
      <c r="K127" s="59"/>
      <c r="L127" s="59"/>
      <c r="M127" s="59"/>
      <c r="N127" s="59"/>
      <c r="O127" s="59"/>
      <c r="P127" s="59"/>
      <c r="Q127" s="59"/>
      <c r="R127" s="59"/>
      <c r="S127" s="59"/>
      <c r="T127" s="59"/>
      <c r="U127" s="59"/>
      <c r="V127" s="59"/>
      <c r="W127" s="59"/>
      <c r="X127" s="59"/>
      <c r="Y127" s="59"/>
    </row>
    <row r="128" ht="15" customHeight="1">
      <c r="A128" s="19"/>
      <c r="B128" s="113"/>
      <c r="C128" s="1003"/>
      <c r="D128" s="930"/>
      <c r="E128" s="930"/>
      <c r="F128" s="930"/>
      <c r="G128" s="930"/>
      <c r="H128" s="59"/>
      <c r="I128" s="59"/>
      <c r="J128" s="59"/>
      <c r="K128" s="59"/>
      <c r="L128" s="59"/>
      <c r="M128" s="59"/>
      <c r="N128" s="59"/>
      <c r="O128" s="59"/>
      <c r="P128" s="59"/>
      <c r="Q128" s="59"/>
      <c r="R128" s="59"/>
      <c r="S128" s="59"/>
      <c r="T128" s="59"/>
      <c r="U128" s="59"/>
      <c r="V128" s="59"/>
      <c r="W128" s="59"/>
      <c r="X128" s="59"/>
      <c r="Y128" s="59"/>
    </row>
    <row r="129" ht="15" customHeight="1">
      <c r="A129" s="19"/>
      <c r="B129" s="113"/>
      <c r="C129" s="1003"/>
      <c r="D129" s="930"/>
      <c r="E129" s="930"/>
      <c r="F129" s="930"/>
      <c r="G129" s="930"/>
      <c r="H129" s="59"/>
      <c r="I129" s="59"/>
      <c r="J129" s="59"/>
      <c r="K129" s="59"/>
      <c r="L129" s="59"/>
      <c r="M129" s="59"/>
      <c r="N129" s="59"/>
      <c r="O129" s="59"/>
      <c r="P129" s="59"/>
      <c r="Q129" s="59"/>
      <c r="R129" s="59"/>
      <c r="S129" s="59"/>
      <c r="T129" s="59"/>
      <c r="U129" s="59"/>
      <c r="V129" s="59"/>
      <c r="W129" s="59"/>
      <c r="X129" s="59"/>
      <c r="Y129" s="59"/>
    </row>
    <row r="130" ht="15" customHeight="1">
      <c r="A130" s="19"/>
      <c r="B130" s="113"/>
      <c r="C130" s="1003"/>
      <c r="D130" s="930"/>
      <c r="E130" s="930"/>
      <c r="F130" s="930"/>
      <c r="G130" s="930"/>
      <c r="H130" s="59"/>
      <c r="I130" s="59"/>
      <c r="J130" s="59"/>
      <c r="K130" s="59"/>
      <c r="L130" s="59"/>
      <c r="M130" s="59"/>
      <c r="N130" s="59"/>
      <c r="O130" s="59"/>
      <c r="P130" s="59"/>
      <c r="Q130" s="59"/>
      <c r="R130" s="59"/>
      <c r="S130" s="59"/>
      <c r="T130" s="59"/>
      <c r="U130" s="59"/>
      <c r="V130" s="59"/>
      <c r="W130" s="59"/>
      <c r="X130" s="59"/>
      <c r="Y130" s="59"/>
    </row>
    <row r="131" ht="15" customHeight="1">
      <c r="A131" s="19"/>
      <c r="B131" s="113"/>
      <c r="C131" s="1003"/>
      <c r="D131" s="930"/>
      <c r="E131" s="930"/>
      <c r="F131" s="930"/>
      <c r="G131" s="930"/>
      <c r="H131" s="59"/>
      <c r="I131" s="59"/>
      <c r="J131" s="59"/>
      <c r="K131" s="59"/>
      <c r="L131" s="59"/>
      <c r="M131" s="59"/>
      <c r="N131" s="59"/>
      <c r="O131" s="59"/>
      <c r="P131" s="59"/>
      <c r="Q131" s="59"/>
      <c r="R131" s="59"/>
      <c r="S131" s="59"/>
      <c r="T131" s="59"/>
      <c r="U131" s="59"/>
      <c r="V131" s="59"/>
      <c r="W131" s="59"/>
      <c r="X131" s="59"/>
      <c r="Y131" s="59"/>
    </row>
    <row r="132" ht="15" customHeight="1">
      <c r="A132" s="19"/>
      <c r="B132" s="113"/>
      <c r="C132" s="1003"/>
      <c r="D132" s="930"/>
      <c r="E132" s="930"/>
      <c r="F132" s="930"/>
      <c r="G132" s="930"/>
      <c r="H132" s="59"/>
      <c r="I132" s="59"/>
      <c r="J132" s="59"/>
      <c r="K132" s="59"/>
      <c r="L132" s="59"/>
      <c r="M132" s="59"/>
      <c r="N132" s="59"/>
      <c r="O132" s="59"/>
      <c r="P132" s="59"/>
      <c r="Q132" s="59"/>
      <c r="R132" s="59"/>
      <c r="S132" s="59"/>
      <c r="T132" s="59"/>
      <c r="U132" s="59"/>
      <c r="V132" s="59"/>
      <c r="W132" s="59"/>
      <c r="X132" s="59"/>
      <c r="Y132" s="59"/>
    </row>
    <row r="133" ht="15" customHeight="1">
      <c r="A133" s="19"/>
      <c r="B133" s="113"/>
      <c r="C133" s="1003"/>
      <c r="D133" s="930"/>
      <c r="E133" s="930"/>
      <c r="F133" s="930"/>
      <c r="G133" s="930"/>
      <c r="H133" s="59"/>
      <c r="I133" s="59"/>
      <c r="J133" s="59"/>
      <c r="K133" s="59"/>
      <c r="L133" s="59"/>
      <c r="M133" s="59"/>
      <c r="N133" s="59"/>
      <c r="O133" s="59"/>
      <c r="P133" s="59"/>
      <c r="Q133" s="59"/>
      <c r="R133" s="59"/>
      <c r="S133" s="59"/>
      <c r="T133" s="59"/>
      <c r="U133" s="59"/>
      <c r="V133" s="59"/>
      <c r="W133" s="59"/>
      <c r="X133" s="59"/>
      <c r="Y133" s="59"/>
    </row>
    <row r="134" ht="15" customHeight="1">
      <c r="A134" s="19"/>
      <c r="B134" s="113"/>
      <c r="C134" s="1003"/>
      <c r="D134" s="930"/>
      <c r="E134" s="930"/>
      <c r="F134" s="930"/>
      <c r="G134" s="930"/>
      <c r="H134" s="59"/>
      <c r="I134" s="59"/>
      <c r="J134" s="59"/>
      <c r="K134" s="59"/>
      <c r="L134" s="59"/>
      <c r="M134" s="59"/>
      <c r="N134" s="59"/>
      <c r="O134" s="59"/>
      <c r="P134" s="59"/>
      <c r="Q134" s="59"/>
      <c r="R134" s="59"/>
      <c r="S134" s="59"/>
      <c r="T134" s="59"/>
      <c r="U134" s="59"/>
      <c r="V134" s="59"/>
      <c r="W134" s="59"/>
      <c r="X134" s="59"/>
      <c r="Y134" s="59"/>
    </row>
    <row r="135" ht="15" customHeight="1">
      <c r="A135" s="19"/>
      <c r="B135" s="113"/>
      <c r="C135" s="1003"/>
      <c r="D135" s="930"/>
      <c r="E135" s="930"/>
      <c r="F135" s="930"/>
      <c r="G135" s="930"/>
      <c r="H135" s="59"/>
      <c r="I135" s="59"/>
      <c r="J135" s="59"/>
      <c r="K135" s="59"/>
      <c r="L135" s="59"/>
      <c r="M135" s="59"/>
      <c r="N135" s="59"/>
      <c r="O135" s="59"/>
      <c r="P135" s="59"/>
      <c r="Q135" s="59"/>
      <c r="R135" s="59"/>
      <c r="S135" s="59"/>
      <c r="T135" s="59"/>
      <c r="U135" s="59"/>
      <c r="V135" s="59"/>
      <c r="W135" s="59"/>
      <c r="X135" s="59"/>
      <c r="Y135" s="59"/>
    </row>
    <row r="136" ht="15" customHeight="1">
      <c r="A136" s="23"/>
      <c r="B136" s="114"/>
      <c r="C136" s="63"/>
      <c r="D136" s="64"/>
      <c r="E136" s="64"/>
      <c r="F136" s="64"/>
      <c r="G136" s="64"/>
      <c r="H136" s="64"/>
      <c r="I136" s="64"/>
      <c r="J136" s="64"/>
      <c r="K136" s="64"/>
      <c r="L136" s="64"/>
      <c r="M136" s="64"/>
      <c r="N136" s="64"/>
      <c r="O136" s="64"/>
      <c r="P136" s="64"/>
      <c r="Q136" s="64"/>
      <c r="R136" s="59"/>
      <c r="S136" s="59"/>
      <c r="T136" s="59"/>
      <c r="U136" s="59"/>
      <c r="V136" s="59"/>
      <c r="W136" s="59"/>
      <c r="X136" s="59"/>
      <c r="Y136" s="59"/>
    </row>
    <row r="137" ht="15" customHeight="1">
      <c r="A137" s="15">
        <v>14</v>
      </c>
      <c r="B137" t="s" s="115">
        <v>38</v>
      </c>
      <c r="C137" t="s" s="544">
        <v>2809</v>
      </c>
      <c r="D137" s="420"/>
      <c r="E137" s="420"/>
      <c r="F137" s="420"/>
      <c r="G137" s="420"/>
      <c r="H137" s="169"/>
      <c r="I137" s="169"/>
      <c r="J137" s="169"/>
      <c r="K137" s="169"/>
      <c r="L137" s="169"/>
      <c r="M137" s="169"/>
      <c r="N137" s="169"/>
      <c r="O137" s="169"/>
      <c r="P137" s="169"/>
      <c r="Q137" s="169"/>
      <c r="R137" s="59"/>
      <c r="S137" s="59"/>
      <c r="T137" s="59"/>
      <c r="U137" s="59"/>
      <c r="V137" s="59"/>
      <c r="W137" s="59"/>
      <c r="X137" s="59"/>
      <c r="Y137" s="59"/>
    </row>
    <row r="138" ht="15" customHeight="1">
      <c r="A138" s="19"/>
      <c r="B138" s="116"/>
      <c r="C138" s="719"/>
      <c r="D138" s="211"/>
      <c r="E138" s="211"/>
      <c r="F138" s="211"/>
      <c r="G138" s="211"/>
      <c r="H138" s="22"/>
      <c r="I138" s="22"/>
      <c r="J138" s="22"/>
      <c r="K138" s="22"/>
      <c r="L138" s="22"/>
      <c r="M138" s="22"/>
      <c r="N138" s="22"/>
      <c r="O138" s="22"/>
      <c r="P138" s="22"/>
      <c r="Q138" s="22"/>
      <c r="R138" s="59"/>
      <c r="S138" s="59"/>
      <c r="T138" s="59"/>
      <c r="U138" s="59"/>
      <c r="V138" s="59"/>
      <c r="W138" s="59"/>
      <c r="X138" s="59"/>
      <c r="Y138" s="59"/>
    </row>
    <row r="139" ht="15" customHeight="1">
      <c r="A139" s="19"/>
      <c r="B139" s="116"/>
      <c r="C139" s="719"/>
      <c r="D139" s="211"/>
      <c r="E139" s="211"/>
      <c r="F139" s="211"/>
      <c r="G139" s="211"/>
      <c r="H139" s="22"/>
      <c r="I139" s="22"/>
      <c r="J139" s="22"/>
      <c r="K139" s="22"/>
      <c r="L139" s="22"/>
      <c r="M139" s="22"/>
      <c r="N139" s="22"/>
      <c r="O139" s="22"/>
      <c r="P139" s="22"/>
      <c r="Q139" s="22"/>
      <c r="R139" s="59"/>
      <c r="S139" s="59"/>
      <c r="T139" s="59"/>
      <c r="U139" s="59"/>
      <c r="V139" s="59"/>
      <c r="W139" s="59"/>
      <c r="X139" s="59"/>
      <c r="Y139" s="59"/>
    </row>
    <row r="140" ht="15" customHeight="1">
      <c r="A140" s="19"/>
      <c r="B140" s="116"/>
      <c r="C140" s="719"/>
      <c r="D140" s="211"/>
      <c r="E140" s="211"/>
      <c r="F140" s="211"/>
      <c r="G140" s="211"/>
      <c r="H140" s="22"/>
      <c r="I140" s="22"/>
      <c r="J140" s="22"/>
      <c r="K140" s="22"/>
      <c r="L140" s="22"/>
      <c r="M140" s="22"/>
      <c r="N140" s="22"/>
      <c r="O140" s="22"/>
      <c r="P140" s="22"/>
      <c r="Q140" s="22"/>
      <c r="R140" s="59"/>
      <c r="S140" s="59"/>
      <c r="T140" s="59"/>
      <c r="U140" s="59"/>
      <c r="V140" s="59"/>
      <c r="W140" s="59"/>
      <c r="X140" s="59"/>
      <c r="Y140" s="59"/>
    </row>
    <row r="141" ht="15" customHeight="1">
      <c r="A141" s="19"/>
      <c r="B141" s="116"/>
      <c r="C141" s="719"/>
      <c r="D141" s="211"/>
      <c r="E141" s="211"/>
      <c r="F141" s="211"/>
      <c r="G141" s="211"/>
      <c r="H141" s="22"/>
      <c r="I141" s="22"/>
      <c r="J141" s="22"/>
      <c r="K141" s="22"/>
      <c r="L141" s="22"/>
      <c r="M141" s="22"/>
      <c r="N141" s="22"/>
      <c r="O141" s="22"/>
      <c r="P141" s="22"/>
      <c r="Q141" s="22"/>
      <c r="R141" s="59"/>
      <c r="S141" s="59"/>
      <c r="T141" s="59"/>
      <c r="U141" s="59"/>
      <c r="V141" s="59"/>
      <c r="W141" s="59"/>
      <c r="X141" s="59"/>
      <c r="Y141" s="59"/>
    </row>
    <row r="142" ht="15" customHeight="1">
      <c r="A142" s="23"/>
      <c r="B142" s="117"/>
      <c r="C142" s="25"/>
      <c r="D142" s="26"/>
      <c r="E142" s="26"/>
      <c r="F142" s="26"/>
      <c r="G142" s="26"/>
      <c r="H142" s="26"/>
      <c r="I142" s="26"/>
      <c r="J142" s="26"/>
      <c r="K142" s="26"/>
      <c r="L142" s="26"/>
      <c r="M142" s="26"/>
      <c r="N142" s="26"/>
      <c r="O142" s="26"/>
      <c r="P142" s="26"/>
      <c r="Q142" s="26"/>
      <c r="R142" s="59"/>
      <c r="S142" s="59"/>
      <c r="T142" s="59"/>
      <c r="U142" s="59"/>
      <c r="V142" s="59"/>
      <c r="W142" s="59"/>
      <c r="X142" s="59"/>
      <c r="Y142" s="59"/>
    </row>
    <row r="143" ht="409.5" customHeight="1">
      <c r="A143" s="52">
        <v>15</v>
      </c>
      <c r="B143" t="s" s="111">
        <v>40</v>
      </c>
      <c r="C143" t="s" s="550">
        <v>2810</v>
      </c>
      <c r="D143" s="984"/>
      <c r="E143" s="984"/>
      <c r="F143" s="984"/>
      <c r="G143" s="984"/>
      <c r="H143" t="s" s="293">
        <v>2811</v>
      </c>
      <c r="I143" s="1005"/>
      <c r="J143" s="123"/>
      <c r="K143" s="123"/>
      <c r="L143" s="123"/>
      <c r="M143" s="123"/>
      <c r="N143" s="123"/>
      <c r="O143" s="123"/>
      <c r="P143" s="123"/>
      <c r="Q143" s="123"/>
      <c r="R143" s="59"/>
      <c r="S143" s="59"/>
      <c r="T143" s="59"/>
      <c r="U143" s="59"/>
      <c r="V143" s="59"/>
      <c r="W143" s="59"/>
      <c r="X143" s="59"/>
      <c r="Y143" s="59"/>
    </row>
    <row r="144" ht="28.5" customHeight="1">
      <c r="A144" s="56"/>
      <c r="B144" s="113"/>
      <c r="C144" s="555"/>
      <c r="D144" s="302"/>
      <c r="E144" s="302"/>
      <c r="F144" s="302"/>
      <c r="G144" s="302"/>
      <c r="H144" s="304"/>
      <c r="I144" s="304"/>
      <c r="J144" s="59"/>
      <c r="K144" s="59"/>
      <c r="L144" s="59"/>
      <c r="M144" s="59"/>
      <c r="N144" s="59"/>
      <c r="O144" s="59"/>
      <c r="P144" s="59"/>
      <c r="Q144" s="59"/>
      <c r="R144" s="59"/>
      <c r="S144" s="59"/>
      <c r="T144" s="59"/>
      <c r="U144" s="59"/>
      <c r="V144" s="59"/>
      <c r="W144" s="59"/>
      <c r="X144" s="59"/>
      <c r="Y144" s="59"/>
    </row>
    <row r="145" ht="28.5" customHeight="1">
      <c r="A145" s="56"/>
      <c r="B145" s="113"/>
      <c r="C145" s="555"/>
      <c r="D145" s="302"/>
      <c r="E145" s="302"/>
      <c r="F145" s="302"/>
      <c r="G145" s="302"/>
      <c r="H145" s="304"/>
      <c r="I145" s="304"/>
      <c r="J145" s="59"/>
      <c r="K145" s="59"/>
      <c r="L145" s="59"/>
      <c r="M145" s="59"/>
      <c r="N145" s="59"/>
      <c r="O145" s="59"/>
      <c r="P145" s="59"/>
      <c r="Q145" s="59"/>
      <c r="R145" s="59"/>
      <c r="S145" s="59"/>
      <c r="T145" s="59"/>
      <c r="U145" s="59"/>
      <c r="V145" s="59"/>
      <c r="W145" s="59"/>
      <c r="X145" s="59"/>
      <c r="Y145" s="59"/>
    </row>
    <row r="146" ht="28.5" customHeight="1">
      <c r="A146" s="56"/>
      <c r="B146" s="113"/>
      <c r="C146" s="555"/>
      <c r="D146" s="302"/>
      <c r="E146" s="302"/>
      <c r="F146" s="302"/>
      <c r="G146" s="302"/>
      <c r="H146" s="304"/>
      <c r="I146" s="304"/>
      <c r="J146" s="59"/>
      <c r="K146" s="59"/>
      <c r="L146" s="59"/>
      <c r="M146" s="59"/>
      <c r="N146" s="59"/>
      <c r="O146" s="59"/>
      <c r="P146" s="59"/>
      <c r="Q146" s="59"/>
      <c r="R146" s="59"/>
      <c r="S146" s="59"/>
      <c r="T146" s="59"/>
      <c r="U146" s="59"/>
      <c r="V146" s="59"/>
      <c r="W146" s="59"/>
      <c r="X146" s="59"/>
      <c r="Y146" s="59"/>
    </row>
    <row r="147" ht="28.5" customHeight="1">
      <c r="A147" s="56"/>
      <c r="B147" s="113"/>
      <c r="C147" s="555"/>
      <c r="D147" s="302"/>
      <c r="E147" s="302"/>
      <c r="F147" s="302"/>
      <c r="G147" s="302"/>
      <c r="H147" s="304"/>
      <c r="I147" s="304"/>
      <c r="J147" s="59"/>
      <c r="K147" s="59"/>
      <c r="L147" s="59"/>
      <c r="M147" s="59"/>
      <c r="N147" s="59"/>
      <c r="O147" s="59"/>
      <c r="P147" s="59"/>
      <c r="Q147" s="59"/>
      <c r="R147" s="59"/>
      <c r="S147" s="59"/>
      <c r="T147" s="59"/>
      <c r="U147" s="59"/>
      <c r="V147" s="59"/>
      <c r="W147" s="59"/>
      <c r="X147" s="59"/>
      <c r="Y147" s="59"/>
    </row>
    <row r="148" ht="28.5" customHeight="1">
      <c r="A148" s="56"/>
      <c r="B148" s="113"/>
      <c r="C148" s="555"/>
      <c r="D148" s="302"/>
      <c r="E148" s="302"/>
      <c r="F148" s="302"/>
      <c r="G148" s="302"/>
      <c r="H148" s="304"/>
      <c r="I148" s="304"/>
      <c r="J148" s="59"/>
      <c r="K148" s="59"/>
      <c r="L148" s="59"/>
      <c r="M148" s="59"/>
      <c r="N148" s="59"/>
      <c r="O148" s="59"/>
      <c r="P148" s="59"/>
      <c r="Q148" s="59"/>
      <c r="R148" s="59"/>
      <c r="S148" s="59"/>
      <c r="T148" s="59"/>
      <c r="U148" s="59"/>
      <c r="V148" s="59"/>
      <c r="W148" s="59"/>
      <c r="X148" s="59"/>
      <c r="Y148" s="59"/>
    </row>
    <row r="149" ht="28.5" customHeight="1">
      <c r="A149" s="119"/>
      <c r="B149" s="114"/>
      <c r="C149" s="1006"/>
      <c r="D149" s="763"/>
      <c r="E149" s="763"/>
      <c r="F149" s="763"/>
      <c r="G149" s="763"/>
      <c r="H149" s="1007"/>
      <c r="I149" s="1007"/>
      <c r="J149" s="64"/>
      <c r="K149" s="64"/>
      <c r="L149" s="64"/>
      <c r="M149" s="64"/>
      <c r="N149" s="64"/>
      <c r="O149" s="64"/>
      <c r="P149" s="64"/>
      <c r="Q149" s="64"/>
      <c r="R149" s="59"/>
      <c r="S149" s="59"/>
      <c r="T149" s="59"/>
      <c r="U149" s="59"/>
      <c r="V149" s="59"/>
      <c r="W149" s="59"/>
      <c r="X149" s="59"/>
      <c r="Y149" s="59"/>
    </row>
    <row r="150" ht="15" customHeight="1">
      <c r="A150" s="15">
        <v>16</v>
      </c>
      <c r="B150" t="s" s="115">
        <v>43</v>
      </c>
      <c r="C150" t="s" s="544">
        <v>2812</v>
      </c>
      <c r="D150" s="420"/>
      <c r="E150" s="420"/>
      <c r="F150" s="420"/>
      <c r="G150" s="420"/>
      <c r="H150" t="s" s="697">
        <v>2813</v>
      </c>
      <c r="I150" s="1008"/>
      <c r="J150" s="1008"/>
      <c r="K150" t="s" s="170">
        <v>2814</v>
      </c>
      <c r="L150" s="420"/>
      <c r="M150" s="420"/>
      <c r="N150" s="420"/>
      <c r="O150" s="169"/>
      <c r="P150" s="169"/>
      <c r="Q150" s="169"/>
      <c r="R150" s="59"/>
      <c r="S150" s="59"/>
      <c r="T150" s="59"/>
      <c r="U150" s="59"/>
      <c r="V150" s="59"/>
      <c r="W150" s="59"/>
      <c r="X150" s="59"/>
      <c r="Y150" s="59"/>
    </row>
    <row r="151" ht="15" customHeight="1">
      <c r="A151" s="19"/>
      <c r="B151" s="120"/>
      <c r="C151" s="719"/>
      <c r="D151" s="211"/>
      <c r="E151" s="211"/>
      <c r="F151" s="211"/>
      <c r="G151" s="211"/>
      <c r="H151" s="698"/>
      <c r="I151" s="698"/>
      <c r="J151" s="698"/>
      <c r="K151" t="s" s="243">
        <v>2815</v>
      </c>
      <c r="L151" s="211"/>
      <c r="M151" s="211"/>
      <c r="N151" s="22"/>
      <c r="O151" s="22"/>
      <c r="P151" s="22"/>
      <c r="Q151" s="22"/>
      <c r="R151" s="59"/>
      <c r="S151" s="59"/>
      <c r="T151" s="59"/>
      <c r="U151" s="59"/>
      <c r="V151" s="59"/>
      <c r="W151" s="59"/>
      <c r="X151" s="59"/>
      <c r="Y151" s="59"/>
    </row>
    <row r="152" ht="15" customHeight="1">
      <c r="A152" s="19"/>
      <c r="B152" s="120"/>
      <c r="C152" s="719"/>
      <c r="D152" s="211"/>
      <c r="E152" s="211"/>
      <c r="F152" s="211"/>
      <c r="G152" s="211"/>
      <c r="H152" t="s" s="1009">
        <v>2816</v>
      </c>
      <c r="I152" s="698"/>
      <c r="J152" s="698"/>
      <c r="K152" s="211"/>
      <c r="L152" s="211"/>
      <c r="M152" s="211"/>
      <c r="N152" s="22"/>
      <c r="O152" s="22"/>
      <c r="P152" s="22"/>
      <c r="Q152" s="22"/>
      <c r="R152" s="59"/>
      <c r="S152" s="59"/>
      <c r="T152" s="59"/>
      <c r="U152" s="59"/>
      <c r="V152" s="59"/>
      <c r="W152" s="59"/>
      <c r="X152" s="59"/>
      <c r="Y152" s="59"/>
    </row>
    <row r="153" ht="15" customHeight="1">
      <c r="A153" s="19"/>
      <c r="B153" s="120"/>
      <c r="C153" s="719"/>
      <c r="D153" s="211"/>
      <c r="E153" s="211"/>
      <c r="F153" s="211"/>
      <c r="G153" s="211"/>
      <c r="H153" s="698"/>
      <c r="I153" s="698"/>
      <c r="J153" s="698"/>
      <c r="K153" t="s" s="243">
        <v>2817</v>
      </c>
      <c r="L153" s="211"/>
      <c r="M153" s="211"/>
      <c r="N153" s="22"/>
      <c r="O153" s="22"/>
      <c r="P153" s="22"/>
      <c r="Q153" s="22"/>
      <c r="R153" s="59"/>
      <c r="S153" s="59"/>
      <c r="T153" s="59"/>
      <c r="U153" s="59"/>
      <c r="V153" s="59"/>
      <c r="W153" s="59"/>
      <c r="X153" s="59"/>
      <c r="Y153" s="59"/>
    </row>
    <row r="154" ht="15" customHeight="1">
      <c r="A154" s="19"/>
      <c r="B154" s="120"/>
      <c r="C154" s="719"/>
      <c r="D154" s="211"/>
      <c r="E154" s="211"/>
      <c r="F154" s="211"/>
      <c r="G154" s="211"/>
      <c r="H154" t="s" s="243">
        <v>2818</v>
      </c>
      <c r="I154" s="211"/>
      <c r="J154" s="211"/>
      <c r="K154" s="22"/>
      <c r="L154" s="22"/>
      <c r="M154" s="22"/>
      <c r="N154" s="22"/>
      <c r="O154" s="22"/>
      <c r="P154" s="22"/>
      <c r="Q154" s="22"/>
      <c r="R154" s="59"/>
      <c r="S154" s="59"/>
      <c r="T154" s="59"/>
      <c r="U154" s="59"/>
      <c r="V154" s="59"/>
      <c r="W154" s="59"/>
      <c r="X154" s="59"/>
      <c r="Y154" s="59"/>
    </row>
    <row r="155" ht="15" customHeight="1">
      <c r="A155" s="19"/>
      <c r="B155" s="120"/>
      <c r="C155" s="719"/>
      <c r="D155" s="211"/>
      <c r="E155" s="211"/>
      <c r="F155" s="211"/>
      <c r="G155" s="211"/>
      <c r="H155" s="211"/>
      <c r="I155" s="211"/>
      <c r="J155" s="211"/>
      <c r="K155" s="22"/>
      <c r="L155" s="22"/>
      <c r="M155" s="22"/>
      <c r="N155" s="22"/>
      <c r="O155" s="22"/>
      <c r="P155" s="22"/>
      <c r="Q155" s="22"/>
      <c r="R155" s="59"/>
      <c r="S155" s="59"/>
      <c r="T155" s="59"/>
      <c r="U155" s="59"/>
      <c r="V155" s="59"/>
      <c r="W155" s="59"/>
      <c r="X155" s="59"/>
      <c r="Y155" s="59"/>
    </row>
    <row r="156" ht="28.5" customHeight="1">
      <c r="A156" s="19"/>
      <c r="B156" s="120"/>
      <c r="C156" s="719"/>
      <c r="D156" s="211"/>
      <c r="E156" s="211"/>
      <c r="F156" s="211"/>
      <c r="G156" s="211"/>
      <c r="H156" s="211"/>
      <c r="I156" s="211"/>
      <c r="J156" s="211"/>
      <c r="K156" s="22"/>
      <c r="L156" s="22"/>
      <c r="M156" s="22"/>
      <c r="N156" s="22"/>
      <c r="O156" s="22"/>
      <c r="P156" s="22"/>
      <c r="Q156" s="22"/>
      <c r="R156" s="59"/>
      <c r="S156" s="59"/>
      <c r="T156" s="59"/>
      <c r="U156" s="59"/>
      <c r="V156" s="59"/>
      <c r="W156" s="59"/>
      <c r="X156" s="59"/>
      <c r="Y156" s="59"/>
    </row>
    <row r="157" ht="28.5" customHeight="1">
      <c r="A157" s="19"/>
      <c r="B157" s="120"/>
      <c r="C157" s="719"/>
      <c r="D157" s="211"/>
      <c r="E157" s="211"/>
      <c r="F157" s="211"/>
      <c r="G157" s="211"/>
      <c r="H157" s="22"/>
      <c r="I157" s="22"/>
      <c r="J157" s="22"/>
      <c r="K157" s="22"/>
      <c r="L157" s="22"/>
      <c r="M157" s="22"/>
      <c r="N157" s="22"/>
      <c r="O157" s="22"/>
      <c r="P157" s="22"/>
      <c r="Q157" s="22"/>
      <c r="R157" s="59"/>
      <c r="S157" s="59"/>
      <c r="T157" s="59"/>
      <c r="U157" s="59"/>
      <c r="V157" s="59"/>
      <c r="W157" s="59"/>
      <c r="X157" s="59"/>
      <c r="Y157" s="59"/>
    </row>
    <row r="158" ht="28.5" customHeight="1">
      <c r="A158" s="19"/>
      <c r="B158" s="120"/>
      <c r="C158" s="719"/>
      <c r="D158" s="211"/>
      <c r="E158" s="211"/>
      <c r="F158" s="211"/>
      <c r="G158" s="211"/>
      <c r="H158" s="22"/>
      <c r="I158" s="22"/>
      <c r="J158" s="22"/>
      <c r="K158" s="22"/>
      <c r="L158" s="22"/>
      <c r="M158" s="22"/>
      <c r="N158" s="22"/>
      <c r="O158" s="22"/>
      <c r="P158" s="22"/>
      <c r="Q158" s="22"/>
      <c r="R158" s="59"/>
      <c r="S158" s="59"/>
      <c r="T158" s="59"/>
      <c r="U158" s="59"/>
      <c r="V158" s="59"/>
      <c r="W158" s="59"/>
      <c r="X158" s="59"/>
      <c r="Y158" s="59"/>
    </row>
    <row r="159" ht="28.5" customHeight="1">
      <c r="A159" s="19"/>
      <c r="B159" s="120"/>
      <c r="C159" s="719"/>
      <c r="D159" s="211"/>
      <c r="E159" s="211"/>
      <c r="F159" s="211"/>
      <c r="G159" s="211"/>
      <c r="H159" s="22"/>
      <c r="I159" s="22"/>
      <c r="J159" s="22"/>
      <c r="K159" s="22"/>
      <c r="L159" s="22"/>
      <c r="M159" s="22"/>
      <c r="N159" s="22"/>
      <c r="O159" s="22"/>
      <c r="P159" s="22"/>
      <c r="Q159" s="22"/>
      <c r="R159" s="59"/>
      <c r="S159" s="59"/>
      <c r="T159" s="59"/>
      <c r="U159" s="59"/>
      <c r="V159" s="59"/>
      <c r="W159" s="59"/>
      <c r="X159" s="59"/>
      <c r="Y159" s="59"/>
    </row>
    <row r="160" ht="28.5" customHeight="1">
      <c r="A160" s="19"/>
      <c r="B160" s="120"/>
      <c r="C160" s="719"/>
      <c r="D160" s="211"/>
      <c r="E160" s="211"/>
      <c r="F160" s="211"/>
      <c r="G160" s="211"/>
      <c r="H160" s="22"/>
      <c r="I160" s="22"/>
      <c r="J160" s="22"/>
      <c r="K160" s="22"/>
      <c r="L160" s="22"/>
      <c r="M160" s="22"/>
      <c r="N160" s="22"/>
      <c r="O160" s="22"/>
      <c r="P160" s="22"/>
      <c r="Q160" s="22"/>
      <c r="R160" s="59"/>
      <c r="S160" s="59"/>
      <c r="T160" s="59"/>
      <c r="U160" s="59"/>
      <c r="V160" s="59"/>
      <c r="W160" s="59"/>
      <c r="X160" s="59"/>
      <c r="Y160" s="59"/>
    </row>
    <row r="161" ht="28.5" customHeight="1">
      <c r="A161" s="23"/>
      <c r="B161" s="114"/>
      <c r="C161" s="63"/>
      <c r="D161" s="64"/>
      <c r="E161" s="64"/>
      <c r="F161" s="64"/>
      <c r="G161" s="64"/>
      <c r="H161" s="64"/>
      <c r="I161" s="64"/>
      <c r="J161" s="64"/>
      <c r="K161" s="64"/>
      <c r="L161" s="64"/>
      <c r="M161" s="64"/>
      <c r="N161" s="64"/>
      <c r="O161" s="64"/>
      <c r="P161" s="64"/>
      <c r="Q161" s="64"/>
      <c r="R161" s="59"/>
      <c r="S161" s="59"/>
      <c r="T161" s="59"/>
      <c r="U161" s="59"/>
      <c r="V161" s="59"/>
      <c r="W161" s="59"/>
      <c r="X161" s="59"/>
      <c r="Y161" s="59"/>
    </row>
    <row r="162" ht="28.5" customHeight="1">
      <c r="A162" s="121"/>
      <c r="B162" s="122"/>
      <c r="C162" s="123"/>
      <c r="D162" s="123"/>
      <c r="E162" s="123"/>
      <c r="F162" s="123"/>
      <c r="G162" s="123"/>
      <c r="H162" s="123"/>
      <c r="I162" s="123"/>
      <c r="J162" s="123"/>
      <c r="K162" s="123"/>
      <c r="L162" s="123"/>
      <c r="M162" s="123"/>
      <c r="N162" s="123"/>
      <c r="O162" s="123"/>
      <c r="P162" s="123"/>
      <c r="Q162" s="123"/>
      <c r="R162" s="59"/>
      <c r="S162" s="59"/>
      <c r="T162" s="59"/>
      <c r="U162" s="59"/>
      <c r="V162" s="59"/>
      <c r="W162" s="59"/>
      <c r="X162" s="59"/>
      <c r="Y162" s="59"/>
    </row>
    <row r="163" ht="28.5" customHeight="1">
      <c r="A163" s="124"/>
      <c r="B163" s="125"/>
      <c r="C163" s="59"/>
      <c r="D163" s="59"/>
      <c r="E163" s="59"/>
      <c r="F163" s="59"/>
      <c r="G163" s="59"/>
      <c r="H163" s="59"/>
      <c r="I163" s="59"/>
      <c r="J163" s="59"/>
      <c r="K163" s="59"/>
      <c r="L163" s="59"/>
      <c r="M163" s="59"/>
      <c r="N163" s="59"/>
      <c r="O163" s="59"/>
      <c r="P163" s="59"/>
      <c r="Q163" s="59"/>
      <c r="R163" s="59"/>
      <c r="S163" s="59"/>
      <c r="T163" s="59"/>
      <c r="U163" s="59"/>
      <c r="V163" s="59"/>
      <c r="W163" s="59"/>
      <c r="X163" s="59"/>
      <c r="Y163" s="59"/>
    </row>
    <row r="164" ht="28.5" customHeight="1">
      <c r="A164" s="124"/>
      <c r="B164" s="125"/>
      <c r="C164" s="59"/>
      <c r="D164" s="59"/>
      <c r="E164" s="59"/>
      <c r="F164" s="59"/>
      <c r="G164" s="59"/>
      <c r="H164" s="59"/>
      <c r="I164" s="59"/>
      <c r="J164" s="59"/>
      <c r="K164" s="59"/>
      <c r="L164" s="59"/>
      <c r="M164" s="59"/>
      <c r="N164" s="59"/>
      <c r="O164" s="59"/>
      <c r="P164" s="59"/>
      <c r="Q164" s="59"/>
      <c r="R164" s="59"/>
      <c r="S164" s="59"/>
      <c r="T164" s="59"/>
      <c r="U164" s="59"/>
      <c r="V164" s="59"/>
      <c r="W164" s="59"/>
      <c r="X164" s="59"/>
      <c r="Y164" s="59"/>
    </row>
    <row r="165" ht="28.5" customHeight="1">
      <c r="A165" s="124"/>
      <c r="B165" s="125"/>
      <c r="C165" s="59"/>
      <c r="D165" s="59"/>
      <c r="E165" s="59"/>
      <c r="F165" s="59"/>
      <c r="G165" s="59"/>
      <c r="H165" s="59"/>
      <c r="I165" s="59"/>
      <c r="J165" s="59"/>
      <c r="K165" s="59"/>
      <c r="L165" s="59"/>
      <c r="M165" s="59"/>
      <c r="N165" s="59"/>
      <c r="O165" s="59"/>
      <c r="P165" s="59"/>
      <c r="Q165" s="59"/>
      <c r="R165" s="59"/>
      <c r="S165" s="59"/>
      <c r="T165" s="59"/>
      <c r="U165" s="59"/>
      <c r="V165" s="59"/>
      <c r="W165" s="59"/>
      <c r="X165" s="59"/>
      <c r="Y165" s="59"/>
    </row>
    <row r="166" ht="28.5" customHeight="1">
      <c r="A166" s="124"/>
      <c r="B166" s="125"/>
      <c r="C166" s="59"/>
      <c r="D166" s="59"/>
      <c r="E166" s="59"/>
      <c r="F166" s="59"/>
      <c r="G166" s="59"/>
      <c r="H166" s="59"/>
      <c r="I166" s="59"/>
      <c r="J166" s="59"/>
      <c r="K166" s="59"/>
      <c r="L166" s="59"/>
      <c r="M166" s="59"/>
      <c r="N166" s="59"/>
      <c r="O166" s="59"/>
      <c r="P166" s="59"/>
      <c r="Q166" s="59"/>
      <c r="R166" s="59"/>
      <c r="S166" s="59"/>
      <c r="T166" s="59"/>
      <c r="U166" s="59"/>
      <c r="V166" s="59"/>
      <c r="W166" s="59"/>
      <c r="X166" s="59"/>
      <c r="Y166" s="59"/>
    </row>
    <row r="167" ht="28.5" customHeight="1">
      <c r="A167" s="124"/>
      <c r="B167" s="125"/>
      <c r="C167" s="59"/>
      <c r="D167" s="59"/>
      <c r="E167" s="59"/>
      <c r="F167" s="59"/>
      <c r="G167" s="59"/>
      <c r="H167" s="59"/>
      <c r="I167" s="59"/>
      <c r="J167" s="59"/>
      <c r="K167" s="59"/>
      <c r="L167" s="59"/>
      <c r="M167" s="59"/>
      <c r="N167" s="59"/>
      <c r="O167" s="59"/>
      <c r="P167" s="59"/>
      <c r="Q167" s="59"/>
      <c r="R167" s="59"/>
      <c r="S167" s="59"/>
      <c r="T167" s="59"/>
      <c r="U167" s="59"/>
      <c r="V167" s="59"/>
      <c r="W167" s="59"/>
      <c r="X167" s="59"/>
      <c r="Y167" s="59"/>
    </row>
    <row r="168" ht="28.5" customHeight="1">
      <c r="A168" s="124"/>
      <c r="B168" s="125"/>
      <c r="C168" s="59"/>
      <c r="D168" s="59"/>
      <c r="E168" s="59"/>
      <c r="F168" s="59"/>
      <c r="G168" s="59"/>
      <c r="H168" s="59"/>
      <c r="I168" s="59"/>
      <c r="J168" s="59"/>
      <c r="K168" s="59"/>
      <c r="L168" s="59"/>
      <c r="M168" s="59"/>
      <c r="N168" s="59"/>
      <c r="O168" s="59"/>
      <c r="P168" s="59"/>
      <c r="Q168" s="59"/>
      <c r="R168" s="59"/>
      <c r="S168" s="59"/>
      <c r="T168" s="59"/>
      <c r="U168" s="59"/>
      <c r="V168" s="59"/>
      <c r="W168" s="59"/>
      <c r="X168" s="59"/>
      <c r="Y168" s="59"/>
    </row>
    <row r="169" ht="28.5" customHeight="1">
      <c r="A169" s="124"/>
      <c r="B169" s="125"/>
      <c r="C169" s="59"/>
      <c r="D169" s="59"/>
      <c r="E169" s="59"/>
      <c r="F169" s="59"/>
      <c r="G169" s="59"/>
      <c r="H169" s="59"/>
      <c r="I169" s="59"/>
      <c r="J169" s="59"/>
      <c r="K169" s="59"/>
      <c r="L169" s="59"/>
      <c r="M169" s="59"/>
      <c r="N169" s="59"/>
      <c r="O169" s="59"/>
      <c r="P169" s="59"/>
      <c r="Q169" s="59"/>
      <c r="R169" s="59"/>
      <c r="S169" s="59"/>
      <c r="T169" s="59"/>
      <c r="U169" s="59"/>
      <c r="V169" s="59"/>
      <c r="W169" s="59"/>
      <c r="X169" s="59"/>
      <c r="Y169" s="59"/>
    </row>
    <row r="170" ht="28.5" customHeight="1">
      <c r="A170" s="124"/>
      <c r="B170" s="125"/>
      <c r="C170" s="59"/>
      <c r="D170" s="59"/>
      <c r="E170" s="59"/>
      <c r="F170" s="59"/>
      <c r="G170" s="59"/>
      <c r="H170" s="59"/>
      <c r="I170" s="59"/>
      <c r="J170" s="59"/>
      <c r="K170" s="59"/>
      <c r="L170" s="59"/>
      <c r="M170" s="59"/>
      <c r="N170" s="59"/>
      <c r="O170" s="59"/>
      <c r="P170" s="59"/>
      <c r="Q170" s="59"/>
      <c r="R170" s="59"/>
      <c r="S170" s="59"/>
      <c r="T170" s="59"/>
      <c r="U170" s="59"/>
      <c r="V170" s="59"/>
      <c r="W170" s="59"/>
      <c r="X170" s="59"/>
      <c r="Y170" s="59"/>
    </row>
    <row r="171" ht="28.5" customHeight="1">
      <c r="A171" s="124"/>
      <c r="B171" s="125"/>
      <c r="C171" s="59"/>
      <c r="D171" s="59"/>
      <c r="E171" s="59"/>
      <c r="F171" s="59"/>
      <c r="G171" s="59"/>
      <c r="H171" s="59"/>
      <c r="I171" s="59"/>
      <c r="J171" s="59"/>
      <c r="K171" s="59"/>
      <c r="L171" s="59"/>
      <c r="M171" s="59"/>
      <c r="N171" s="59"/>
      <c r="O171" s="59"/>
      <c r="P171" s="59"/>
      <c r="Q171" s="59"/>
      <c r="R171" s="59"/>
      <c r="S171" s="59"/>
      <c r="T171" s="59"/>
      <c r="U171" s="59"/>
      <c r="V171" s="59"/>
      <c r="W171" s="59"/>
      <c r="X171" s="59"/>
      <c r="Y171" s="59"/>
    </row>
    <row r="172" ht="28.5" customHeight="1">
      <c r="A172" s="124"/>
      <c r="B172" s="125"/>
      <c r="C172" s="59"/>
      <c r="D172" s="59"/>
      <c r="E172" s="59"/>
      <c r="F172" s="59"/>
      <c r="G172" s="59"/>
      <c r="H172" s="59"/>
      <c r="I172" s="59"/>
      <c r="J172" s="59"/>
      <c r="K172" s="59"/>
      <c r="L172" s="59"/>
      <c r="M172" s="59"/>
      <c r="N172" s="59"/>
      <c r="O172" s="59"/>
      <c r="P172" s="59"/>
      <c r="Q172" s="59"/>
      <c r="R172" s="59"/>
      <c r="S172" s="59"/>
      <c r="T172" s="59"/>
      <c r="U172" s="59"/>
      <c r="V172" s="59"/>
      <c r="W172" s="59"/>
      <c r="X172" s="59"/>
      <c r="Y172" s="59"/>
    </row>
    <row r="173" ht="28.5" customHeight="1">
      <c r="A173" s="124"/>
      <c r="B173" s="125"/>
      <c r="C173" s="59"/>
      <c r="D173" s="59"/>
      <c r="E173" s="59"/>
      <c r="F173" s="59"/>
      <c r="G173" s="59"/>
      <c r="H173" s="59"/>
      <c r="I173" s="59"/>
      <c r="J173" s="59"/>
      <c r="K173" s="59"/>
      <c r="L173" s="59"/>
      <c r="M173" s="59"/>
      <c r="N173" s="59"/>
      <c r="O173" s="59"/>
      <c r="P173" s="59"/>
      <c r="Q173" s="59"/>
      <c r="R173" s="59"/>
      <c r="S173" s="59"/>
      <c r="T173" s="59"/>
      <c r="U173" s="59"/>
      <c r="V173" s="59"/>
      <c r="W173" s="59"/>
      <c r="X173" s="59"/>
      <c r="Y173" s="59"/>
    </row>
    <row r="174" ht="28.5" customHeight="1">
      <c r="A174" s="124"/>
      <c r="B174" s="125"/>
      <c r="C174" s="59"/>
      <c r="D174" s="59"/>
      <c r="E174" s="59"/>
      <c r="F174" s="59"/>
      <c r="G174" s="59"/>
      <c r="H174" s="59"/>
      <c r="I174" s="59"/>
      <c r="J174" s="59"/>
      <c r="K174" s="59"/>
      <c r="L174" s="59"/>
      <c r="M174" s="59"/>
      <c r="N174" s="59"/>
      <c r="O174" s="59"/>
      <c r="P174" s="59"/>
      <c r="Q174" s="59"/>
      <c r="R174" s="59"/>
      <c r="S174" s="59"/>
      <c r="T174" s="59"/>
      <c r="U174" s="59"/>
      <c r="V174" s="59"/>
      <c r="W174" s="59"/>
      <c r="X174" s="59"/>
      <c r="Y174" s="59"/>
    </row>
    <row r="175" ht="28.5" customHeight="1">
      <c r="A175" s="124"/>
      <c r="B175" s="125"/>
      <c r="C175" s="59"/>
      <c r="D175" s="59"/>
      <c r="E175" s="59"/>
      <c r="F175" s="59"/>
      <c r="G175" s="59"/>
      <c r="H175" s="59"/>
      <c r="I175" s="59"/>
      <c r="J175" s="59"/>
      <c r="K175" s="59"/>
      <c r="L175" s="59"/>
      <c r="M175" s="59"/>
      <c r="N175" s="59"/>
      <c r="O175" s="59"/>
      <c r="P175" s="59"/>
      <c r="Q175" s="59"/>
      <c r="R175" s="59"/>
      <c r="S175" s="59"/>
      <c r="T175" s="59"/>
      <c r="U175" s="59"/>
      <c r="V175" s="59"/>
      <c r="W175" s="59"/>
      <c r="X175" s="59"/>
      <c r="Y175" s="59"/>
    </row>
    <row r="176" ht="28.5" customHeight="1">
      <c r="A176" s="124"/>
      <c r="B176" s="125"/>
      <c r="C176" s="59"/>
      <c r="D176" s="59"/>
      <c r="E176" s="59"/>
      <c r="F176" s="59"/>
      <c r="G176" s="59"/>
      <c r="H176" s="59"/>
      <c r="I176" s="59"/>
      <c r="J176" s="59"/>
      <c r="K176" s="59"/>
      <c r="L176" s="59"/>
      <c r="M176" s="59"/>
      <c r="N176" s="59"/>
      <c r="O176" s="59"/>
      <c r="P176" s="59"/>
      <c r="Q176" s="59"/>
      <c r="R176" s="59"/>
      <c r="S176" s="59"/>
      <c r="T176" s="59"/>
      <c r="U176" s="59"/>
      <c r="V176" s="59"/>
      <c r="W176" s="59"/>
      <c r="X176" s="59"/>
      <c r="Y176" s="59"/>
    </row>
    <row r="177" ht="28.5" customHeight="1">
      <c r="A177" s="124"/>
      <c r="B177" s="125"/>
      <c r="C177" s="59"/>
      <c r="D177" s="59"/>
      <c r="E177" s="59"/>
      <c r="F177" s="59"/>
      <c r="G177" s="59"/>
      <c r="H177" s="59"/>
      <c r="I177" s="59"/>
      <c r="J177" s="59"/>
      <c r="K177" s="59"/>
      <c r="L177" s="59"/>
      <c r="M177" s="59"/>
      <c r="N177" s="59"/>
      <c r="O177" s="59"/>
      <c r="P177" s="59"/>
      <c r="Q177" s="59"/>
      <c r="R177" s="59"/>
      <c r="S177" s="59"/>
      <c r="T177" s="59"/>
      <c r="U177" s="59"/>
      <c r="V177" s="59"/>
      <c r="W177" s="59"/>
      <c r="X177" s="59"/>
      <c r="Y177" s="59"/>
    </row>
    <row r="178" ht="28.5" customHeight="1">
      <c r="A178" s="124"/>
      <c r="B178" s="875"/>
      <c r="C178" s="59"/>
      <c r="D178" s="59"/>
      <c r="E178" s="59"/>
      <c r="F178" s="59"/>
      <c r="G178" s="59"/>
      <c r="H178" s="59"/>
      <c r="I178" s="59"/>
      <c r="J178" s="59"/>
      <c r="K178" s="59"/>
      <c r="L178" s="59"/>
      <c r="M178" s="59"/>
      <c r="N178" s="59"/>
      <c r="O178" s="59"/>
      <c r="P178" s="59"/>
      <c r="Q178" s="59"/>
      <c r="R178" s="59"/>
      <c r="S178" s="59"/>
      <c r="T178" s="59"/>
      <c r="U178" s="59"/>
      <c r="V178" s="59"/>
      <c r="W178" s="59"/>
      <c r="X178" s="59"/>
      <c r="Y178" s="59"/>
    </row>
    <row r="179" ht="28.5" customHeight="1">
      <c r="A179" s="19"/>
      <c r="B179" s="1010"/>
      <c r="C179" s="58"/>
      <c r="D179" s="59"/>
      <c r="E179" s="59"/>
      <c r="F179" s="59"/>
      <c r="G179" s="59"/>
      <c r="H179" s="59"/>
      <c r="I179" s="59"/>
      <c r="J179" s="59"/>
      <c r="K179" s="59"/>
      <c r="L179" s="59"/>
      <c r="M179" s="59"/>
      <c r="N179" s="59"/>
      <c r="O179" s="59"/>
      <c r="P179" s="59"/>
      <c r="Q179" s="59"/>
      <c r="R179" s="59"/>
      <c r="S179" s="59"/>
      <c r="T179" s="59"/>
      <c r="U179" s="59"/>
      <c r="V179" s="59"/>
      <c r="W179" s="59"/>
      <c r="X179" s="59"/>
      <c r="Y179" s="59"/>
    </row>
    <row r="180" ht="28.5" customHeight="1">
      <c r="A180" s="19"/>
      <c r="B180" s="1011"/>
      <c r="C180" s="58"/>
      <c r="D180" s="59"/>
      <c r="E180" s="59"/>
      <c r="F180" s="59"/>
      <c r="G180" s="59"/>
      <c r="H180" s="59"/>
      <c r="I180" s="59"/>
      <c r="J180" s="59"/>
      <c r="K180" s="59"/>
      <c r="L180" s="59"/>
      <c r="M180" s="59"/>
      <c r="N180" s="59"/>
      <c r="O180" s="59"/>
      <c r="P180" s="59"/>
      <c r="Q180" s="59"/>
      <c r="R180" s="59"/>
      <c r="S180" s="59"/>
      <c r="T180" s="59"/>
      <c r="U180" s="59"/>
      <c r="V180" s="59"/>
      <c r="W180" s="59"/>
      <c r="X180" s="59"/>
      <c r="Y180" s="59"/>
    </row>
  </sheetData>
  <mergeCells count="73">
    <mergeCell ref="A43:A47"/>
    <mergeCell ref="A48:A55"/>
    <mergeCell ref="H1:L1"/>
    <mergeCell ref="M1:Q1"/>
    <mergeCell ref="C2:G2"/>
    <mergeCell ref="H2:L2"/>
    <mergeCell ref="M2:Q2"/>
    <mergeCell ref="M3:Q4"/>
    <mergeCell ref="D3:D4"/>
    <mergeCell ref="E3:E4"/>
    <mergeCell ref="F3:F4"/>
    <mergeCell ref="G3:G4"/>
    <mergeCell ref="H3:L4"/>
    <mergeCell ref="N5:P8"/>
    <mergeCell ref="H13:L13"/>
    <mergeCell ref="M13:Q13"/>
    <mergeCell ref="B119:B125"/>
    <mergeCell ref="A126:A136"/>
    <mergeCell ref="A137:A142"/>
    <mergeCell ref="A150:A155"/>
    <mergeCell ref="C3:C4"/>
    <mergeCell ref="A56:A58"/>
    <mergeCell ref="A70:A80"/>
    <mergeCell ref="A81:A82"/>
    <mergeCell ref="A90:A92"/>
    <mergeCell ref="A110:A118"/>
    <mergeCell ref="A119:A125"/>
    <mergeCell ref="B2:B4"/>
    <mergeCell ref="A5:A12"/>
    <mergeCell ref="A13:A18"/>
    <mergeCell ref="A19:A42"/>
    <mergeCell ref="C13:F13"/>
    <mergeCell ref="C14:F14"/>
    <mergeCell ref="H14:L14"/>
    <mergeCell ref="C5:G9"/>
    <mergeCell ref="H5:H8"/>
    <mergeCell ref="I5:I8"/>
    <mergeCell ref="J5:J8"/>
    <mergeCell ref="K5:K8"/>
    <mergeCell ref="L5:M8"/>
    <mergeCell ref="C90:G93"/>
    <mergeCell ref="H90:L100"/>
    <mergeCell ref="C19:G41"/>
    <mergeCell ref="O19:Q19"/>
    <mergeCell ref="N20:O20"/>
    <mergeCell ref="P20:Q20"/>
    <mergeCell ref="P21:Q21"/>
    <mergeCell ref="C43:G43"/>
    <mergeCell ref="H48:I49"/>
    <mergeCell ref="C70:G71"/>
    <mergeCell ref="H70:L70"/>
    <mergeCell ref="C81:F85"/>
    <mergeCell ref="H81:L83"/>
    <mergeCell ref="C143:G149"/>
    <mergeCell ref="C102:G109"/>
    <mergeCell ref="H110:J111"/>
    <mergeCell ref="L110:O110"/>
    <mergeCell ref="C111:G112"/>
    <mergeCell ref="L111:O112"/>
    <mergeCell ref="H113:J116"/>
    <mergeCell ref="L113:P118"/>
    <mergeCell ref="C119:F124"/>
    <mergeCell ref="I119:M123"/>
    <mergeCell ref="C126:G135"/>
    <mergeCell ref="H126:J126"/>
    <mergeCell ref="C137:G141"/>
    <mergeCell ref="C150:G160"/>
    <mergeCell ref="H150:J151"/>
    <mergeCell ref="K150:N150"/>
    <mergeCell ref="K151:M152"/>
    <mergeCell ref="H152:J153"/>
    <mergeCell ref="K153:M153"/>
    <mergeCell ref="H154:J156"/>
  </mergeCells>
  <hyperlinks>
    <hyperlink ref="D48" r:id="rId1" location="" tooltip="" display="http://www.cali.gov.co/publicaciones/107143/cali_en_cifras_planeacion/"/>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2"/>
  <legacyDrawing r:id="rId3"/>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