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6835" windowHeight="128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G20" i="1" l="1"/>
  <c r="AD20" i="1"/>
  <c r="AC20" i="1"/>
  <c r="AE20" i="1" s="1"/>
  <c r="Y20" i="1"/>
  <c r="Z20" i="1" s="1"/>
  <c r="AA20" i="1" s="1"/>
  <c r="C20" i="1" s="1"/>
  <c r="X20" i="1"/>
  <c r="W20" i="1" s="1"/>
  <c r="G20" i="1" s="1"/>
  <c r="AG19" i="1"/>
  <c r="AE19" i="1"/>
  <c r="AF19" i="1" s="1"/>
  <c r="H19" i="1" s="1"/>
  <c r="AD19" i="1"/>
  <c r="AC19" i="1"/>
  <c r="Y19" i="1"/>
  <c r="Z19" i="1" s="1"/>
  <c r="AA19" i="1" s="1"/>
  <c r="C19" i="1" s="1"/>
  <c r="X19" i="1"/>
  <c r="M19" i="1"/>
  <c r="L19" i="1"/>
  <c r="AG18" i="1"/>
  <c r="AE18" i="1"/>
  <c r="AF18" i="1" s="1"/>
  <c r="H18" i="1" s="1"/>
  <c r="AD18" i="1"/>
  <c r="AC18" i="1"/>
  <c r="Y18" i="1"/>
  <c r="Z18" i="1" s="1"/>
  <c r="AA18" i="1" s="1"/>
  <c r="C18" i="1" s="1"/>
  <c r="X18" i="1"/>
  <c r="W19" i="1" s="1"/>
  <c r="G19" i="1" s="1"/>
  <c r="W18" i="1"/>
  <c r="G18" i="1" s="1"/>
  <c r="AG17" i="1"/>
  <c r="AD17" i="1"/>
  <c r="AC17" i="1"/>
  <c r="AE17" i="1" s="1"/>
  <c r="Y17" i="1"/>
  <c r="Z17" i="1" s="1"/>
  <c r="AA17" i="1" s="1"/>
  <c r="C17" i="1" s="1"/>
  <c r="X17" i="1"/>
  <c r="AB17" i="1" s="1"/>
  <c r="AG16" i="1"/>
  <c r="AE16" i="1"/>
  <c r="AD16" i="1"/>
  <c r="AC16" i="1"/>
  <c r="Y16" i="1"/>
  <c r="Z16" i="1" s="1"/>
  <c r="AA16" i="1" s="1"/>
  <c r="C16" i="1" s="1"/>
  <c r="X16" i="1"/>
  <c r="W17" i="1" s="1"/>
  <c r="G17" i="1" s="1"/>
  <c r="M16" i="1"/>
  <c r="L16" i="1"/>
  <c r="AG15" i="1"/>
  <c r="AE15" i="1"/>
  <c r="AD15" i="1"/>
  <c r="AC15" i="1"/>
  <c r="Y15" i="1"/>
  <c r="Z15" i="1" s="1"/>
  <c r="AA15" i="1" s="1"/>
  <c r="C15" i="1" s="1"/>
  <c r="X15" i="1"/>
  <c r="AB15" i="1" s="1"/>
  <c r="AG14" i="1"/>
  <c r="AE14" i="1"/>
  <c r="AF14" i="1" s="1"/>
  <c r="H14" i="1" s="1"/>
  <c r="AD14" i="1"/>
  <c r="Y14" i="1"/>
  <c r="Z14" i="1" s="1"/>
  <c r="AA14" i="1" s="1"/>
  <c r="C14" i="1" s="1"/>
  <c r="X14" i="1"/>
  <c r="W14" i="1" s="1"/>
  <c r="G14" i="1" s="1"/>
  <c r="AG13" i="1"/>
  <c r="AD13" i="1"/>
  <c r="Z13" i="1"/>
  <c r="AA13" i="1" s="1"/>
  <c r="C13" i="1" s="1"/>
  <c r="Y13" i="1"/>
  <c r="X13" i="1"/>
  <c r="W13" i="1" s="1"/>
  <c r="G13" i="1" s="1"/>
  <c r="Y12" i="1"/>
  <c r="X12" i="1"/>
  <c r="AB13" i="1" s="1"/>
  <c r="AC13" i="1" s="1"/>
  <c r="AE13" i="1" s="1"/>
  <c r="P12" i="1"/>
  <c r="N14" i="1" l="1"/>
  <c r="O14" i="1" s="1"/>
  <c r="I14" i="1"/>
  <c r="D13" i="1"/>
  <c r="E13" i="1"/>
  <c r="F13" i="1"/>
  <c r="AF17" i="1"/>
  <c r="H17" i="1" s="1"/>
  <c r="I18" i="1"/>
  <c r="N18" i="1"/>
  <c r="O18" i="1" s="1"/>
  <c r="N19" i="1"/>
  <c r="O19" i="1" s="1"/>
  <c r="I19" i="1"/>
  <c r="F15" i="1"/>
  <c r="E15" i="1"/>
  <c r="D15" i="1"/>
  <c r="F16" i="1"/>
  <c r="D16" i="1"/>
  <c r="E16" i="1"/>
  <c r="D20" i="1"/>
  <c r="F20" i="1"/>
  <c r="E20" i="1"/>
  <c r="F18" i="1"/>
  <c r="E18" i="1"/>
  <c r="D18" i="1"/>
  <c r="D17" i="1"/>
  <c r="F17" i="1"/>
  <c r="E17" i="1"/>
  <c r="AF13" i="1"/>
  <c r="H13" i="1" s="1"/>
  <c r="D14" i="1"/>
  <c r="F14" i="1"/>
  <c r="E14" i="1"/>
  <c r="AF20" i="1"/>
  <c r="H20" i="1" s="1"/>
  <c r="F19" i="1"/>
  <c r="E19" i="1"/>
  <c r="D19" i="1"/>
  <c r="AB16" i="1"/>
  <c r="AB19" i="1"/>
  <c r="AB20" i="1"/>
  <c r="AB14" i="1"/>
  <c r="W16" i="1"/>
  <c r="G16" i="1" s="1"/>
  <c r="AB18" i="1"/>
  <c r="W15" i="1"/>
  <c r="G15" i="1" s="1"/>
  <c r="I13" i="1" l="1"/>
  <c r="N13" i="1"/>
  <c r="O13" i="1" s="1"/>
  <c r="P17" i="1"/>
  <c r="Q18" i="1"/>
  <c r="AF16" i="1"/>
  <c r="H16" i="1" s="1"/>
  <c r="P18" i="1"/>
  <c r="P15" i="1"/>
  <c r="P13" i="1"/>
  <c r="P19" i="1"/>
  <c r="Q19" i="1" s="1"/>
  <c r="N20" i="1"/>
  <c r="O20" i="1" s="1"/>
  <c r="I20" i="1"/>
  <c r="P16" i="1"/>
  <c r="AF15" i="1"/>
  <c r="H15" i="1" s="1"/>
  <c r="N17" i="1"/>
  <c r="O17" i="1" s="1"/>
  <c r="I17" i="1"/>
  <c r="P14" i="1"/>
  <c r="Q14" i="1" s="1"/>
  <c r="P20" i="1"/>
  <c r="Q17" i="1" l="1"/>
  <c r="I15" i="1"/>
  <c r="N15" i="1"/>
  <c r="O15" i="1" s="1"/>
  <c r="Q13" i="1"/>
  <c r="Q20" i="1"/>
  <c r="N16" i="1"/>
  <c r="O16" i="1" s="1"/>
  <c r="I16" i="1"/>
  <c r="I21" i="1"/>
  <c r="Q15" i="1" l="1"/>
  <c r="Q16" i="1"/>
  <c r="Q21" i="1" s="1"/>
  <c r="Q23" i="1" s="1"/>
  <c r="R12" i="1" l="1"/>
  <c r="R13" i="1"/>
  <c r="S13" i="1" s="1"/>
  <c r="R18" i="1"/>
  <c r="S18" i="1" s="1"/>
  <c r="R14" i="1"/>
  <c r="S14" i="1" s="1"/>
  <c r="R19" i="1"/>
  <c r="S19" i="1" s="1"/>
  <c r="R16" i="1"/>
  <c r="S16" i="1" s="1"/>
  <c r="R17" i="1"/>
  <c r="S17" i="1" s="1"/>
  <c r="R15" i="1"/>
  <c r="S15" i="1" s="1"/>
  <c r="R20" i="1"/>
  <c r="S20" i="1" s="1"/>
  <c r="S21" i="1" l="1"/>
  <c r="S23" i="1" s="1"/>
  <c r="T12" i="1" l="1"/>
  <c r="T14" i="1"/>
  <c r="U14" i="1" s="1"/>
  <c r="T13" i="1"/>
  <c r="U13" i="1" s="1"/>
  <c r="T20" i="1"/>
  <c r="U20" i="1" s="1"/>
  <c r="T15" i="1"/>
  <c r="U15" i="1" s="1"/>
  <c r="T16" i="1"/>
  <c r="U16" i="1" s="1"/>
  <c r="T17" i="1"/>
  <c r="U17" i="1" s="1"/>
  <c r="T18" i="1"/>
  <c r="U18" i="1" s="1"/>
  <c r="T19" i="1"/>
  <c r="U19" i="1" s="1"/>
  <c r="U21" i="1" l="1"/>
  <c r="U23" i="1" s="1"/>
</calcChain>
</file>

<file path=xl/sharedStrings.xml><?xml version="1.0" encoding="utf-8"?>
<sst xmlns="http://schemas.openxmlformats.org/spreadsheetml/2006/main" count="63" uniqueCount="49">
  <si>
    <t xml:space="preserve"> Método de Bishop Simplificado</t>
  </si>
  <si>
    <t>Estabilidade do Talude:</t>
  </si>
  <si>
    <t>Jusante</t>
  </si>
  <si>
    <t>Materiais</t>
  </si>
  <si>
    <r>
      <t>g</t>
    </r>
    <r>
      <rPr>
        <sz val="10"/>
        <rFont val="Arial"/>
        <family val="2"/>
      </rPr>
      <t xml:space="preserve"> (kN/m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</si>
  <si>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c' (kPa)</t>
  </si>
  <si>
    <r>
      <t>j</t>
    </r>
    <r>
      <rPr>
        <sz val="10"/>
        <rFont val="Arial"/>
        <family val="2"/>
      </rPr>
      <t>'</t>
    </r>
    <r>
      <rPr>
        <sz val="10"/>
        <rFont val="Arial"/>
        <family val="2"/>
      </rPr>
      <t xml:space="preserve"> (</t>
    </r>
    <r>
      <rPr>
        <sz val="10"/>
        <rFont val="Arial"/>
        <family val="2"/>
      </rPr>
      <t>º</t>
    </r>
    <r>
      <rPr>
        <sz val="10"/>
        <rFont val="Arial"/>
        <family val="2"/>
      </rPr>
      <t>)</t>
    </r>
  </si>
  <si>
    <t>Condição:</t>
  </si>
  <si>
    <t>Operação</t>
  </si>
  <si>
    <t>aterro (A)</t>
  </si>
  <si>
    <t>dreno (D)</t>
  </si>
  <si>
    <t>Centro do Círculo</t>
  </si>
  <si>
    <t/>
  </si>
  <si>
    <t>XesqLam</t>
  </si>
  <si>
    <t>YesqLam</t>
  </si>
  <si>
    <t>Lamela (i)</t>
  </si>
  <si>
    <t>Material da lamela</t>
  </si>
  <si>
    <r>
      <t>a</t>
    </r>
    <r>
      <rPr>
        <sz val="10"/>
        <rFont val="Arial"/>
        <family val="2"/>
      </rPr>
      <t xml:space="preserve"> (º)</t>
    </r>
  </si>
  <si>
    <r>
      <t xml:space="preserve">sen </t>
    </r>
    <r>
      <rPr>
        <sz val="10"/>
        <rFont val="Symbol"/>
        <family val="1"/>
        <charset val="2"/>
      </rPr>
      <t>a</t>
    </r>
  </si>
  <si>
    <r>
      <t xml:space="preserve">cos </t>
    </r>
    <r>
      <rPr>
        <sz val="10"/>
        <rFont val="Symbol"/>
        <family val="1"/>
        <charset val="2"/>
      </rPr>
      <t>a</t>
    </r>
  </si>
  <si>
    <r>
      <t xml:space="preserve">tg </t>
    </r>
    <r>
      <rPr>
        <sz val="10"/>
        <rFont val="Symbol"/>
        <family val="1"/>
        <charset val="2"/>
      </rPr>
      <t>a</t>
    </r>
  </si>
  <si>
    <r>
      <t>D</t>
    </r>
    <r>
      <rPr>
        <sz val="10"/>
        <rFont val="Arial"/>
        <family val="2"/>
      </rPr>
      <t xml:space="preserve">x (m) </t>
    </r>
  </si>
  <si>
    <t>P (kN)</t>
  </si>
  <si>
    <r>
      <t>P.sen</t>
    </r>
    <r>
      <rPr>
        <sz val="10"/>
        <rFont val="Symbol"/>
        <family val="1"/>
        <charset val="2"/>
      </rPr>
      <t>a</t>
    </r>
    <r>
      <rPr>
        <sz val="10"/>
        <rFont val="Arial"/>
        <family val="2"/>
      </rPr>
      <t xml:space="preserve"> (kN)</t>
    </r>
  </si>
  <si>
    <r>
      <t>u</t>
    </r>
    <r>
      <rPr>
        <vertAlign val="subscript"/>
        <sz val="10"/>
        <rFont val="Arial"/>
        <family val="2"/>
      </rPr>
      <t>méd</t>
    </r>
    <r>
      <rPr>
        <sz val="10"/>
        <rFont val="Arial"/>
        <family val="2"/>
      </rPr>
      <t xml:space="preserve"> base
(</t>
    </r>
    <r>
      <rPr>
        <sz val="8"/>
        <rFont val="Arial"/>
        <family val="2"/>
      </rPr>
      <t>kPa</t>
    </r>
    <r>
      <rPr>
        <sz val="10"/>
        <rFont val="Arial"/>
        <family val="2"/>
      </rPr>
      <t>)</t>
    </r>
  </si>
  <si>
    <t>Material da base</t>
  </si>
  <si>
    <r>
      <t>A=(P-u.</t>
    </r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>x).tg</t>
    </r>
    <r>
      <rPr>
        <sz val="10"/>
        <rFont val="Symbol"/>
        <family val="1"/>
        <charset val="2"/>
      </rPr>
      <t>j</t>
    </r>
    <r>
      <rPr>
        <sz val="10"/>
        <rFont val="Arial"/>
        <family val="2"/>
      </rPr>
      <t>'</t>
    </r>
  </si>
  <si>
    <r>
      <t>B = A+c'.</t>
    </r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>x</t>
    </r>
  </si>
  <si>
    <r>
      <t>B/M</t>
    </r>
    <r>
      <rPr>
        <sz val="10"/>
        <rFont val="Symbol"/>
        <family val="1"/>
        <charset val="2"/>
      </rPr>
      <t>a</t>
    </r>
  </si>
  <si>
    <t>alfa rad</t>
  </si>
  <si>
    <t>alfa graus</t>
  </si>
  <si>
    <t>Xméd</t>
  </si>
  <si>
    <t>Ytopo</t>
  </si>
  <si>
    <t>Ybase</t>
  </si>
  <si>
    <t>Altura</t>
  </si>
  <si>
    <t>Peso</t>
  </si>
  <si>
    <t>Gama méd</t>
  </si>
  <si>
    <t>%A</t>
  </si>
  <si>
    <t>%D</t>
  </si>
  <si>
    <t>100% A</t>
  </si>
  <si>
    <t>A</t>
  </si>
  <si>
    <t>95%A 5%D</t>
  </si>
  <si>
    <t>90%A 10%D</t>
  </si>
  <si>
    <t>80% A 20% D</t>
  </si>
  <si>
    <t>D</t>
  </si>
  <si>
    <t>97%A 3%D</t>
  </si>
  <si>
    <t>30% A 70% D</t>
  </si>
  <si>
    <t>S =</t>
  </si>
  <si>
    <t>F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</si>
</sst>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0"/>
      <name val="Arial"/>
      <family val="2"/>
    </font>
    <font>
      <sz val="10"/>
      <name val="Symbol"/>
      <family val="1"/>
      <charset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quotePrefix="1" applyBorder="1" applyAlignment="1">
      <alignment horizontal="centerContinuous"/>
    </xf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horizontal="centerContinuous"/>
    </xf>
    <xf numFmtId="0" fontId="2" fillId="0" borderId="0" xfId="0" applyFo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4" xfId="0" quotePrefix="1" applyBorder="1" applyAlignment="1">
      <alignment horizontal="center" vertical="center"/>
    </xf>
    <xf numFmtId="0" fontId="3" fillId="0" borderId="4" xfId="0" quotePrefix="1" applyFont="1" applyBorder="1" applyAlignment="1">
      <alignment horizontal="center" vertical="center"/>
    </xf>
    <xf numFmtId="0" fontId="2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2" fontId="0" fillId="0" borderId="5" xfId="0" applyNumberFormat="1" applyBorder="1" applyAlignment="1"/>
    <xf numFmtId="2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5" xfId="0" applyBorder="1" applyAlignment="1">
      <alignment horizontal="center" shrinkToFit="1"/>
    </xf>
    <xf numFmtId="0" fontId="2" fillId="0" borderId="5" xfId="0" applyFont="1" applyBorder="1" applyAlignment="1">
      <alignment horizontal="center" shrinkToFit="1"/>
    </xf>
    <xf numFmtId="165" fontId="0" fillId="0" borderId="8" xfId="0" applyNumberFormat="1" applyBorder="1" applyAlignment="1">
      <alignment horizontal="center"/>
    </xf>
    <xf numFmtId="0" fontId="3" fillId="0" borderId="0" xfId="0" quotePrefix="1" applyFont="1" applyAlignment="1">
      <alignment horizontal="right"/>
    </xf>
    <xf numFmtId="165" fontId="7" fillId="0" borderId="2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/>
    <xf numFmtId="2" fontId="7" fillId="0" borderId="0" xfId="0" applyNumberFormat="1" applyFont="1" applyAlignment="1">
      <alignment horizontal="center"/>
    </xf>
    <xf numFmtId="2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l07comple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7 1a"/>
      <sheetName val="Col7 1b"/>
      <sheetName val="GeoSlope"/>
    </sheetNames>
    <sheetDataSet>
      <sheetData sheetId="0">
        <row r="15">
          <cell r="AB15">
            <v>93.84</v>
          </cell>
        </row>
        <row r="16">
          <cell r="AB16">
            <v>103.84</v>
          </cell>
        </row>
        <row r="17">
          <cell r="AB17">
            <v>113.84</v>
          </cell>
        </row>
        <row r="18">
          <cell r="AB18">
            <v>123.84</v>
          </cell>
        </row>
        <row r="19">
          <cell r="AB19">
            <v>133.84</v>
          </cell>
        </row>
        <row r="20">
          <cell r="AB20">
            <v>143.69499999999999</v>
          </cell>
        </row>
      </sheetData>
      <sheetData sheetId="1">
        <row r="10">
          <cell r="J10">
            <v>68.84</v>
          </cell>
          <cell r="K10">
            <v>34.42</v>
          </cell>
        </row>
        <row r="11">
          <cell r="J11">
            <v>78.84</v>
          </cell>
          <cell r="K11">
            <v>18.967399051359237</v>
          </cell>
          <cell r="N11">
            <v>25.351049054942827</v>
          </cell>
        </row>
        <row r="12">
          <cell r="J12">
            <v>88.84</v>
          </cell>
          <cell r="K12">
            <v>10.195314776771333</v>
          </cell>
          <cell r="N12">
            <v>14.069875862246086</v>
          </cell>
        </row>
        <row r="13">
          <cell r="J13">
            <v>98.84</v>
          </cell>
          <cell r="K13">
            <v>4.6685746883885884</v>
          </cell>
          <cell r="N13">
            <v>7.1075307778146808</v>
          </cell>
        </row>
        <row r="14">
          <cell r="J14">
            <v>108.84</v>
          </cell>
          <cell r="K14">
            <v>1.420549423881269</v>
          </cell>
          <cell r="N14">
            <v>2.7917123305227776</v>
          </cell>
        </row>
        <row r="15">
          <cell r="J15">
            <v>118.84</v>
          </cell>
          <cell r="K15">
            <v>6.3819462600370969E-2</v>
          </cell>
          <cell r="N15">
            <v>0.51861263737751528</v>
          </cell>
        </row>
        <row r="16">
          <cell r="J16">
            <v>128.84</v>
          </cell>
          <cell r="K16">
            <v>0.46342594761965472</v>
          </cell>
          <cell r="N16">
            <v>4.5563453433111079E-2</v>
          </cell>
        </row>
        <row r="17">
          <cell r="J17">
            <v>138.84</v>
          </cell>
          <cell r="K17">
            <v>2.6576990101489173</v>
          </cell>
          <cell r="N17">
            <v>1.3271266736842477</v>
          </cell>
        </row>
        <row r="18">
          <cell r="J18">
            <v>148.55000000000001</v>
          </cell>
          <cell r="K18">
            <v>6.7249999999999943</v>
          </cell>
          <cell r="N18">
            <v>4.429583413375461</v>
          </cell>
        </row>
      </sheetData>
      <sheetData sheetId="2">
        <row r="9">
          <cell r="B9">
            <v>162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"/>
  <sheetViews>
    <sheetView tabSelected="1" workbookViewId="0"/>
  </sheetViews>
  <sheetFormatPr defaultRowHeight="15" x14ac:dyDescent="0.25"/>
  <cols>
    <col min="1" max="8" width="8.7109375" customWidth="1"/>
    <col min="9" max="9" width="11" customWidth="1"/>
    <col min="10" max="11" width="10.7109375" customWidth="1"/>
    <col min="12" max="13" width="8.7109375" customWidth="1"/>
    <col min="14" max="14" width="15.7109375" customWidth="1"/>
    <col min="15" max="15" width="13" customWidth="1"/>
    <col min="16" max="16" width="8.7109375" customWidth="1"/>
    <col min="17" max="17" width="11.5703125" customWidth="1"/>
    <col min="18" max="19" width="12.7109375" customWidth="1"/>
    <col min="21" max="21" width="9.5703125" bestFit="1" customWidth="1"/>
  </cols>
  <sheetData>
    <row r="1" spans="1:35" x14ac:dyDescent="0.25">
      <c r="A1" s="1" t="s">
        <v>0</v>
      </c>
      <c r="B1" s="1"/>
    </row>
    <row r="3" spans="1:35" x14ac:dyDescent="0.25">
      <c r="E3" s="2"/>
    </row>
    <row r="4" spans="1:35" x14ac:dyDescent="0.25">
      <c r="A4" s="3" t="s">
        <v>1</v>
      </c>
      <c r="B4" s="3"/>
      <c r="D4" t="s">
        <v>2</v>
      </c>
    </row>
    <row r="5" spans="1:35" x14ac:dyDescent="0.25">
      <c r="F5" t="s">
        <v>3</v>
      </c>
      <c r="G5" s="4" t="s">
        <v>4</v>
      </c>
      <c r="H5" s="5" t="s">
        <v>5</v>
      </c>
      <c r="I5" s="6" t="s">
        <v>6</v>
      </c>
    </row>
    <row r="6" spans="1:35" x14ac:dyDescent="0.25">
      <c r="B6" s="3" t="s">
        <v>7</v>
      </c>
      <c r="D6" t="s">
        <v>8</v>
      </c>
      <c r="F6" t="s">
        <v>9</v>
      </c>
      <c r="G6" s="7">
        <v>18</v>
      </c>
      <c r="H6" s="7">
        <v>30</v>
      </c>
      <c r="I6" s="7">
        <v>25</v>
      </c>
    </row>
    <row r="7" spans="1:35" x14ac:dyDescent="0.25">
      <c r="F7" t="s">
        <v>10</v>
      </c>
      <c r="G7" s="7">
        <v>19</v>
      </c>
      <c r="H7" s="7">
        <v>15</v>
      </c>
      <c r="I7" s="7">
        <v>32</v>
      </c>
    </row>
    <row r="8" spans="1:35" x14ac:dyDescent="0.25">
      <c r="B8" t="s">
        <v>11</v>
      </c>
      <c r="D8" s="8">
        <v>6</v>
      </c>
      <c r="L8" s="5"/>
      <c r="M8" s="6"/>
    </row>
    <row r="9" spans="1:35" x14ac:dyDescent="0.25">
      <c r="L9" s="7"/>
      <c r="M9" s="7"/>
    </row>
    <row r="10" spans="1:35" x14ac:dyDescent="0.25">
      <c r="L10" s="7"/>
      <c r="M10" s="7"/>
    </row>
    <row r="11" spans="1:35" ht="15.75" thickBot="1" x14ac:dyDescent="0.3">
      <c r="P11" s="9" t="s">
        <v>12</v>
      </c>
      <c r="Q11" s="10"/>
      <c r="R11" s="11"/>
      <c r="S11" s="10"/>
      <c r="X11" s="12" t="s">
        <v>13</v>
      </c>
      <c r="Y11" s="12" t="s">
        <v>14</v>
      </c>
    </row>
    <row r="12" spans="1:35" ht="45.75" thickBot="1" x14ac:dyDescent="0.3">
      <c r="A12" s="13" t="s">
        <v>15</v>
      </c>
      <c r="B12" s="14" t="s">
        <v>16</v>
      </c>
      <c r="C12" s="15" t="s">
        <v>17</v>
      </c>
      <c r="D12" s="16" t="s">
        <v>18</v>
      </c>
      <c r="E12" s="16" t="s">
        <v>19</v>
      </c>
      <c r="F12" s="16" t="s">
        <v>20</v>
      </c>
      <c r="G12" s="17" t="s">
        <v>21</v>
      </c>
      <c r="H12" s="16" t="s">
        <v>22</v>
      </c>
      <c r="I12" s="16" t="s">
        <v>23</v>
      </c>
      <c r="J12" s="18" t="s">
        <v>24</v>
      </c>
      <c r="K12" s="19" t="s">
        <v>25</v>
      </c>
      <c r="L12" s="20" t="s">
        <v>5</v>
      </c>
      <c r="M12" s="15" t="s">
        <v>6</v>
      </c>
      <c r="N12" s="16" t="s">
        <v>26</v>
      </c>
      <c r="O12" s="16" t="s">
        <v>27</v>
      </c>
      <c r="P12" s="21" t="str">
        <f>"Ma
F ="&amp;TEXT(O$23,"#,##")</f>
        <v>Ma
F =1,5</v>
      </c>
      <c r="Q12" s="22" t="s">
        <v>28</v>
      </c>
      <c r="R12" s="21" t="str">
        <f>"Ma
F ="&amp;TEXT(Q$23,"#,##")</f>
        <v>Ma
F =1,91</v>
      </c>
      <c r="S12" s="23" t="s">
        <v>28</v>
      </c>
      <c r="T12" s="21" t="str">
        <f>"Ma
F ="&amp;TEXT(S$23,"#,##")</f>
        <v>Ma
F =1,94</v>
      </c>
      <c r="U12" s="23" t="s">
        <v>28</v>
      </c>
      <c r="V12" s="24"/>
      <c r="W12" s="25" t="s">
        <v>21</v>
      </c>
      <c r="X12" s="24">
        <f>+'[1]Col7 1b'!J10</f>
        <v>68.84</v>
      </c>
      <c r="Y12" s="24">
        <f>+'[1]Col7 1b'!K10</f>
        <v>34.42</v>
      </c>
      <c r="Z12" s="26" t="s">
        <v>29</v>
      </c>
      <c r="AA12" s="26" t="s">
        <v>30</v>
      </c>
      <c r="AB12" s="26" t="s">
        <v>31</v>
      </c>
      <c r="AC12" s="26" t="s">
        <v>32</v>
      </c>
      <c r="AD12" s="27" t="s">
        <v>33</v>
      </c>
      <c r="AE12" s="27" t="s">
        <v>34</v>
      </c>
      <c r="AF12" s="27" t="s">
        <v>35</v>
      </c>
      <c r="AG12" s="27" t="s">
        <v>36</v>
      </c>
      <c r="AH12" s="27" t="s">
        <v>37</v>
      </c>
      <c r="AI12" s="27" t="s">
        <v>38</v>
      </c>
    </row>
    <row r="13" spans="1:35" x14ac:dyDescent="0.25">
      <c r="A13" s="28">
        <v>1</v>
      </c>
      <c r="B13" s="28" t="s">
        <v>39</v>
      </c>
      <c r="C13" s="29">
        <f>+AA13</f>
        <v>57.091468773241957</v>
      </c>
      <c r="D13" s="30">
        <f>SIN(C13*PI()/180)</f>
        <v>0.83953897764010432</v>
      </c>
      <c r="E13" s="30">
        <f>COS(C13*PI()/180)</f>
        <v>0.54329946164432041</v>
      </c>
      <c r="F13" s="30">
        <f>TAN(C13*PI()/180)</f>
        <v>1.5452600948640764</v>
      </c>
      <c r="G13" s="31">
        <f>+W13</f>
        <v>10</v>
      </c>
      <c r="H13" s="28">
        <f>+AF13</f>
        <v>2082.4111701102916</v>
      </c>
      <c r="I13" s="32">
        <f t="shared" ref="I13:I20" si="0">+H13*D13</f>
        <v>1748.2653447807274</v>
      </c>
      <c r="J13" s="28">
        <v>46</v>
      </c>
      <c r="K13" s="28" t="s">
        <v>40</v>
      </c>
      <c r="L13" s="28">
        <v>30</v>
      </c>
      <c r="M13" s="28">
        <v>25</v>
      </c>
      <c r="N13" s="32">
        <f t="shared" ref="N13:N20" si="1">+(H13-J13*G13)*TAN(M13*PI()/180)</f>
        <v>756.54275329864106</v>
      </c>
      <c r="O13" s="32">
        <f t="shared" ref="O13:O20" si="2">+N13+L13*G13</f>
        <v>1056.5427532986409</v>
      </c>
      <c r="P13" s="30">
        <f t="shared" ref="P13:P20" si="3">+$E13*(1+($F13*TAN($M13*PI()/180))/O$23)</f>
        <v>0.80428843137311956</v>
      </c>
      <c r="Q13" s="33">
        <f t="shared" ref="Q13:Q20" si="4">+$O13/P13</f>
        <v>1313.6366408936913</v>
      </c>
      <c r="R13" s="30">
        <f t="shared" ref="R13:R20" si="5">+$E13*(1+($F13*TAN($M13*PI()/180))/Q$23)</f>
        <v>0.74855831372266224</v>
      </c>
      <c r="S13" s="33">
        <f t="shared" ref="S13:S20" si="6">+$O13/R13</f>
        <v>1411.4368031587792</v>
      </c>
      <c r="T13" s="30">
        <f t="shared" ref="T13:T20" si="7">+$E13*(1+($F13*TAN($M13*PI()/180))/S$23)</f>
        <v>0.74493346475545674</v>
      </c>
      <c r="U13" s="34">
        <f t="shared" ref="U13:U20" si="8">+$O13/T13</f>
        <v>1418.304859811175</v>
      </c>
      <c r="V13" s="35"/>
      <c r="W13" s="35">
        <f>+X13-X12</f>
        <v>10</v>
      </c>
      <c r="X13" s="24">
        <f>+'[1]Col7 1b'!J11</f>
        <v>78.84</v>
      </c>
      <c r="Y13" s="24">
        <f>+'[1]Col7 1b'!K11</f>
        <v>18.967399051359237</v>
      </c>
      <c r="Z13" s="35">
        <f>-ATAN((Y13-Y12)/(X13-X12))</f>
        <v>0.99643410489260009</v>
      </c>
      <c r="AA13" s="36">
        <f>DEGREES(Z13)</f>
        <v>57.091468773241957</v>
      </c>
      <c r="AB13">
        <f t="shared" ref="AB13:AB20" si="9">0.5*(X13+X12)</f>
        <v>73.84</v>
      </c>
      <c r="AC13">
        <f>AB13/2</f>
        <v>36.92</v>
      </c>
      <c r="AD13">
        <f>+'[1]Col7 1b'!N11</f>
        <v>25.351049054942827</v>
      </c>
      <c r="AE13">
        <f>AC13-AD13</f>
        <v>11.568950945057175</v>
      </c>
      <c r="AF13">
        <f t="shared" ref="AF13:AF20" si="10">AE13*W13*$G$6</f>
        <v>2082.4111701102916</v>
      </c>
      <c r="AG13">
        <f t="shared" ref="AG13:AG20" si="11">AH13*$G$6+AI13*$G$7</f>
        <v>18</v>
      </c>
      <c r="AH13">
        <v>1</v>
      </c>
      <c r="AI13">
        <v>0</v>
      </c>
    </row>
    <row r="14" spans="1:35" x14ac:dyDescent="0.25">
      <c r="A14" s="28">
        <v>2</v>
      </c>
      <c r="B14" s="37" t="s">
        <v>41</v>
      </c>
      <c r="C14" s="29">
        <f t="shared" ref="C14:C20" si="12">+AA14</f>
        <v>41.257511813343726</v>
      </c>
      <c r="D14" s="30">
        <f t="shared" ref="D14:D20" si="13">SIN(C14*PI()/180)</f>
        <v>0.65944438004942407</v>
      </c>
      <c r="E14" s="30">
        <f t="shared" ref="E14:E20" si="14">COS(C14*PI()/180)</f>
        <v>0.75175335690719125</v>
      </c>
      <c r="F14" s="30">
        <f t="shared" ref="F14:F20" si="15">TAN(C14*PI()/180)</f>
        <v>0.87720842745879046</v>
      </c>
      <c r="G14" s="31">
        <f t="shared" ref="G14:G20" si="16">+W14</f>
        <v>10</v>
      </c>
      <c r="H14" s="28">
        <f t="shared" ref="H14:H20" si="17">+AF14</f>
        <v>4307.4223447957047</v>
      </c>
      <c r="I14" s="32">
        <f t="shared" si="0"/>
        <v>2840.5054577748401</v>
      </c>
      <c r="J14" s="28">
        <v>81.5</v>
      </c>
      <c r="K14" s="28" t="s">
        <v>40</v>
      </c>
      <c r="L14" s="28">
        <v>30</v>
      </c>
      <c r="M14" s="28">
        <v>25</v>
      </c>
      <c r="N14" s="32">
        <f t="shared" si="1"/>
        <v>1628.543284889874</v>
      </c>
      <c r="O14" s="32">
        <f t="shared" si="2"/>
        <v>1928.543284889874</v>
      </c>
      <c r="P14" s="30">
        <f t="shared" si="3"/>
        <v>0.95675599993673899</v>
      </c>
      <c r="Q14" s="30">
        <f t="shared" si="4"/>
        <v>2015.7106775576949</v>
      </c>
      <c r="R14" s="30">
        <f t="shared" si="5"/>
        <v>0.91298088780627906</v>
      </c>
      <c r="S14" s="30">
        <f t="shared" si="6"/>
        <v>2112.3588791916554</v>
      </c>
      <c r="T14" s="30">
        <f t="shared" si="7"/>
        <v>0.91013362717441337</v>
      </c>
      <c r="U14" s="30">
        <f t="shared" si="8"/>
        <v>2118.9671794428687</v>
      </c>
      <c r="V14" s="35"/>
      <c r="W14" s="35">
        <f t="shared" ref="W14:W20" si="18">+X14-X13</f>
        <v>10</v>
      </c>
      <c r="X14" s="24">
        <f>+'[1]Col7 1b'!J12</f>
        <v>88.84</v>
      </c>
      <c r="Y14" s="24">
        <f>+'[1]Col7 1b'!K12</f>
        <v>10.195314776771333</v>
      </c>
      <c r="Z14" s="35">
        <f t="shared" ref="Z14:Z20" si="19">-ATAN((Y14-Y13)/(X14-X13))</f>
        <v>0.72007942232330413</v>
      </c>
      <c r="AA14" s="36">
        <f t="shared" ref="AA14:AA20" si="20">DEGREES(Z14)</f>
        <v>41.257511813343726</v>
      </c>
      <c r="AB14">
        <f t="shared" si="9"/>
        <v>83.84</v>
      </c>
      <c r="AC14">
        <v>38</v>
      </c>
      <c r="AD14">
        <f>+'[1]Col7 1b'!N12</f>
        <v>14.069875862246086</v>
      </c>
      <c r="AE14">
        <f t="shared" ref="AE14:AE20" si="21">AC14-AD14</f>
        <v>23.930124137753914</v>
      </c>
      <c r="AF14">
        <f t="shared" si="10"/>
        <v>4307.4223447957047</v>
      </c>
      <c r="AG14">
        <f t="shared" si="11"/>
        <v>18.049999999999997</v>
      </c>
      <c r="AH14">
        <v>0.95</v>
      </c>
      <c r="AI14">
        <v>0.05</v>
      </c>
    </row>
    <row r="15" spans="1:35" x14ac:dyDescent="0.25">
      <c r="A15" s="28">
        <v>3</v>
      </c>
      <c r="B15" s="37" t="s">
        <v>42</v>
      </c>
      <c r="C15" s="29">
        <f t="shared" si="12"/>
        <v>28.928288104988095</v>
      </c>
      <c r="D15" s="30">
        <f t="shared" si="13"/>
        <v>0.48371455918131467</v>
      </c>
      <c r="E15" s="30">
        <f t="shared" si="14"/>
        <v>0.8752258138537885</v>
      </c>
      <c r="F15" s="30">
        <f t="shared" si="15"/>
        <v>0.55267400883827444</v>
      </c>
      <c r="G15" s="31">
        <f t="shared" si="16"/>
        <v>10</v>
      </c>
      <c r="H15" s="28">
        <f t="shared" si="17"/>
        <v>4855.0444599933571</v>
      </c>
      <c r="I15" s="32">
        <f t="shared" si="0"/>
        <v>2348.4556907713709</v>
      </c>
      <c r="J15" s="28">
        <v>95</v>
      </c>
      <c r="K15" s="28" t="s">
        <v>40</v>
      </c>
      <c r="L15" s="28">
        <v>30</v>
      </c>
      <c r="M15" s="28">
        <v>25</v>
      </c>
      <c r="N15" s="32">
        <f t="shared" si="1"/>
        <v>1820.9521371306535</v>
      </c>
      <c r="O15" s="32">
        <f t="shared" si="2"/>
        <v>2120.9521371306537</v>
      </c>
      <c r="P15" s="30">
        <f t="shared" si="3"/>
        <v>1.0255990160586661</v>
      </c>
      <c r="Q15" s="30">
        <f t="shared" si="4"/>
        <v>2068.0130381573331</v>
      </c>
      <c r="R15" s="30">
        <f t="shared" si="5"/>
        <v>0.99348916766521844</v>
      </c>
      <c r="S15" s="30">
        <f t="shared" si="6"/>
        <v>2134.8517992552111</v>
      </c>
      <c r="T15" s="30">
        <f t="shared" si="7"/>
        <v>0.99140064972028707</v>
      </c>
      <c r="U15" s="30">
        <f t="shared" si="8"/>
        <v>2139.3491498407402</v>
      </c>
      <c r="V15" s="35"/>
      <c r="W15" s="35">
        <f t="shared" si="18"/>
        <v>10</v>
      </c>
      <c r="X15" s="24">
        <f>+'[1]Col7 1b'!J13</f>
        <v>98.84</v>
      </c>
      <c r="Y15" s="24">
        <f>+'[1]Col7 1b'!K13</f>
        <v>4.6685746883885884</v>
      </c>
      <c r="Z15" s="35">
        <f t="shared" si="19"/>
        <v>0.50489387439755329</v>
      </c>
      <c r="AA15" s="36">
        <f t="shared" si="20"/>
        <v>28.928288104988095</v>
      </c>
      <c r="AB15">
        <f t="shared" si="9"/>
        <v>93.84</v>
      </c>
      <c r="AC15">
        <f>([1]GeoSlope!$B$9-'[1]Col7 1a'!AB15)/2</f>
        <v>34.08</v>
      </c>
      <c r="AD15">
        <f>+'[1]Col7 1b'!N13</f>
        <v>7.1075307778146808</v>
      </c>
      <c r="AE15">
        <f t="shared" si="21"/>
        <v>26.972469222185318</v>
      </c>
      <c r="AF15">
        <f t="shared" si="10"/>
        <v>4855.0444599933571</v>
      </c>
      <c r="AG15">
        <f t="shared" si="11"/>
        <v>18.099999999999998</v>
      </c>
      <c r="AH15">
        <v>0.9</v>
      </c>
      <c r="AI15">
        <v>0.1</v>
      </c>
    </row>
    <row r="16" spans="1:35" x14ac:dyDescent="0.25">
      <c r="A16" s="28">
        <v>4</v>
      </c>
      <c r="B16" s="37" t="s">
        <v>42</v>
      </c>
      <c r="C16" s="29">
        <f t="shared" si="12"/>
        <v>17.993927523262933</v>
      </c>
      <c r="D16" s="30">
        <f t="shared" si="13"/>
        <v>0.30891619518783126</v>
      </c>
      <c r="E16" s="30">
        <f t="shared" si="14"/>
        <v>0.95108926203100086</v>
      </c>
      <c r="F16" s="30">
        <f t="shared" si="15"/>
        <v>0.32480252645073193</v>
      </c>
      <c r="G16" s="31">
        <f t="shared" si="16"/>
        <v>10</v>
      </c>
      <c r="H16" s="28">
        <f t="shared" si="17"/>
        <v>4731.8917805059</v>
      </c>
      <c r="I16" s="32">
        <f t="shared" si="0"/>
        <v>1461.7580048744551</v>
      </c>
      <c r="J16" s="28">
        <v>27</v>
      </c>
      <c r="K16" s="38" t="s">
        <v>43</v>
      </c>
      <c r="L16" s="28">
        <f>0.8*H$6+0.2*H$7</f>
        <v>27</v>
      </c>
      <c r="M16" s="28">
        <f>0.8*I$6+0.2*I$7</f>
        <v>26.4</v>
      </c>
      <c r="N16" s="32">
        <f t="shared" si="1"/>
        <v>2214.9023150022276</v>
      </c>
      <c r="O16" s="32">
        <f t="shared" si="2"/>
        <v>2484.9023150022276</v>
      </c>
      <c r="P16" s="30">
        <f t="shared" si="3"/>
        <v>1.0533208160477039</v>
      </c>
      <c r="Q16" s="30">
        <f t="shared" si="4"/>
        <v>2359.1125107791363</v>
      </c>
      <c r="R16" s="30">
        <f t="shared" si="5"/>
        <v>1.0314908646177248</v>
      </c>
      <c r="S16" s="30">
        <f t="shared" si="6"/>
        <v>2409.0395758600766</v>
      </c>
      <c r="T16" s="30">
        <f t="shared" si="7"/>
        <v>1.0300709810748367</v>
      </c>
      <c r="U16" s="30">
        <f t="shared" si="8"/>
        <v>2412.3602748320645</v>
      </c>
      <c r="V16" s="35"/>
      <c r="W16" s="35">
        <f t="shared" si="18"/>
        <v>10</v>
      </c>
      <c r="X16" s="24">
        <f>+'[1]Col7 1b'!J14</f>
        <v>108.84</v>
      </c>
      <c r="Y16" s="24">
        <f>+'[1]Col7 1b'!K14</f>
        <v>1.420549423881269</v>
      </c>
      <c r="Z16" s="35">
        <f t="shared" si="19"/>
        <v>0.31405328064616672</v>
      </c>
      <c r="AA16" s="36">
        <f t="shared" si="20"/>
        <v>17.993927523262933</v>
      </c>
      <c r="AB16">
        <f t="shared" si="9"/>
        <v>103.84</v>
      </c>
      <c r="AC16">
        <f>([1]GeoSlope!$B$9-'[1]Col7 1a'!AB16)/2</f>
        <v>29.08</v>
      </c>
      <c r="AD16">
        <f>+'[1]Col7 1b'!N14</f>
        <v>2.7917123305227776</v>
      </c>
      <c r="AE16">
        <f t="shared" si="21"/>
        <v>26.288287669477221</v>
      </c>
      <c r="AF16">
        <f t="shared" si="10"/>
        <v>4731.8917805059</v>
      </c>
      <c r="AG16">
        <f t="shared" si="11"/>
        <v>18.099999999999998</v>
      </c>
      <c r="AH16">
        <v>0.9</v>
      </c>
      <c r="AI16">
        <v>0.1</v>
      </c>
    </row>
    <row r="17" spans="1:35" x14ac:dyDescent="0.25">
      <c r="A17" s="28">
        <v>5</v>
      </c>
      <c r="B17" s="37" t="s">
        <v>41</v>
      </c>
      <c r="C17" s="29">
        <f t="shared" si="12"/>
        <v>7.7263140488031112</v>
      </c>
      <c r="D17" s="30">
        <f t="shared" si="13"/>
        <v>0.13444129694591997</v>
      </c>
      <c r="E17" s="30">
        <f t="shared" si="14"/>
        <v>0.99092155979951257</v>
      </c>
      <c r="F17" s="30">
        <f t="shared" si="15"/>
        <v>0.13567299612808981</v>
      </c>
      <c r="G17" s="31">
        <f t="shared" si="16"/>
        <v>10</v>
      </c>
      <c r="H17" s="28">
        <f t="shared" si="17"/>
        <v>4241.049725272047</v>
      </c>
      <c r="I17" s="32">
        <f t="shared" si="0"/>
        <v>570.17222547771155</v>
      </c>
      <c r="J17" s="28">
        <v>0</v>
      </c>
      <c r="K17" s="28" t="s">
        <v>44</v>
      </c>
      <c r="L17" s="28">
        <v>15</v>
      </c>
      <c r="M17" s="28">
        <v>32</v>
      </c>
      <c r="N17" s="32">
        <f t="shared" si="1"/>
        <v>2650.1019932459753</v>
      </c>
      <c r="O17" s="32">
        <f t="shared" si="2"/>
        <v>2800.1019932459753</v>
      </c>
      <c r="P17" s="30">
        <f t="shared" si="3"/>
        <v>1.0469270571944769</v>
      </c>
      <c r="Q17" s="30">
        <f t="shared" si="4"/>
        <v>2674.5912945927703</v>
      </c>
      <c r="R17" s="30">
        <f t="shared" si="5"/>
        <v>1.03496795807187</v>
      </c>
      <c r="S17" s="30">
        <f t="shared" si="6"/>
        <v>2705.4963116563763</v>
      </c>
      <c r="T17" s="30">
        <f t="shared" si="7"/>
        <v>1.0341901034767087</v>
      </c>
      <c r="U17" s="30">
        <f t="shared" si="8"/>
        <v>2707.5312206456802</v>
      </c>
      <c r="V17" s="35"/>
      <c r="W17" s="35">
        <f t="shared" si="18"/>
        <v>10</v>
      </c>
      <c r="X17" s="24">
        <f>+'[1]Col7 1b'!J15</f>
        <v>118.84</v>
      </c>
      <c r="Y17" s="24">
        <f>+'[1]Col7 1b'!K15</f>
        <v>6.3819462600370969E-2</v>
      </c>
      <c r="Z17" s="35">
        <f t="shared" si="19"/>
        <v>0.13484961919470814</v>
      </c>
      <c r="AA17" s="36">
        <f t="shared" si="20"/>
        <v>7.7263140488031112</v>
      </c>
      <c r="AB17">
        <f t="shared" si="9"/>
        <v>113.84</v>
      </c>
      <c r="AC17">
        <f>([1]GeoSlope!$B$9-'[1]Col7 1a'!AB17)/2</f>
        <v>24.08</v>
      </c>
      <c r="AD17">
        <f>+'[1]Col7 1b'!N15</f>
        <v>0.51861263737751528</v>
      </c>
      <c r="AE17">
        <f t="shared" si="21"/>
        <v>23.561387362622483</v>
      </c>
      <c r="AF17">
        <f t="shared" si="10"/>
        <v>4241.049725272047</v>
      </c>
      <c r="AG17">
        <f t="shared" si="11"/>
        <v>18.049999999999997</v>
      </c>
      <c r="AH17">
        <v>0.95</v>
      </c>
      <c r="AI17">
        <v>0.05</v>
      </c>
    </row>
    <row r="18" spans="1:35" x14ac:dyDescent="0.25">
      <c r="A18" s="28">
        <v>6</v>
      </c>
      <c r="B18" s="37" t="s">
        <v>41</v>
      </c>
      <c r="C18" s="29">
        <f t="shared" si="12"/>
        <v>-2.2883589660618617</v>
      </c>
      <c r="D18" s="30">
        <f t="shared" si="13"/>
        <v>-3.9928781013348381E-2</v>
      </c>
      <c r="E18" s="30">
        <f t="shared" si="14"/>
        <v>0.99920252824279221</v>
      </c>
      <c r="F18" s="30">
        <f t="shared" si="15"/>
        <v>-3.9960648501928375E-2</v>
      </c>
      <c r="G18" s="31">
        <f t="shared" si="16"/>
        <v>10</v>
      </c>
      <c r="H18" s="28">
        <f t="shared" si="17"/>
        <v>3426.1985783820401</v>
      </c>
      <c r="I18" s="32">
        <f t="shared" si="0"/>
        <v>-136.80393274446203</v>
      </c>
      <c r="J18" s="28">
        <v>0</v>
      </c>
      <c r="K18" s="28" t="s">
        <v>44</v>
      </c>
      <c r="L18" s="28">
        <v>15</v>
      </c>
      <c r="M18" s="28">
        <v>32</v>
      </c>
      <c r="N18" s="32">
        <f t="shared" si="1"/>
        <v>2140.9264851862445</v>
      </c>
      <c r="O18" s="32">
        <f t="shared" si="2"/>
        <v>2290.9264851862445</v>
      </c>
      <c r="P18" s="30">
        <f t="shared" si="3"/>
        <v>0.98256901389989848</v>
      </c>
      <c r="Q18" s="30">
        <f t="shared" si="4"/>
        <v>2331.5680148444394</v>
      </c>
      <c r="R18" s="30">
        <f t="shared" si="5"/>
        <v>0.98612084106038467</v>
      </c>
      <c r="S18" s="30">
        <f t="shared" si="6"/>
        <v>2323.1701327017795</v>
      </c>
      <c r="T18" s="30">
        <f t="shared" si="7"/>
        <v>0.98635186223093252</v>
      </c>
      <c r="U18" s="30">
        <f t="shared" si="8"/>
        <v>2322.6260048869603</v>
      </c>
      <c r="V18" s="35"/>
      <c r="W18" s="35">
        <f t="shared" si="18"/>
        <v>10</v>
      </c>
      <c r="X18" s="24">
        <f>+'[1]Col7 1b'!J16</f>
        <v>128.84</v>
      </c>
      <c r="Y18" s="24">
        <f>+'[1]Col7 1b'!K16</f>
        <v>0.46342594761965472</v>
      </c>
      <c r="Z18" s="35">
        <f t="shared" si="19"/>
        <v>-3.9939398425312661E-2</v>
      </c>
      <c r="AA18" s="36">
        <f t="shared" si="20"/>
        <v>-2.2883589660618617</v>
      </c>
      <c r="AB18">
        <f t="shared" si="9"/>
        <v>123.84</v>
      </c>
      <c r="AC18">
        <f>([1]GeoSlope!$B$9-'[1]Col7 1a'!AB18)/2</f>
        <v>19.079999999999998</v>
      </c>
      <c r="AD18">
        <f>+'[1]Col7 1b'!N16</f>
        <v>4.5563453433111079E-2</v>
      </c>
      <c r="AE18">
        <f t="shared" si="21"/>
        <v>19.034436546566887</v>
      </c>
      <c r="AF18">
        <f t="shared" si="10"/>
        <v>3426.1985783820401</v>
      </c>
      <c r="AG18">
        <f t="shared" si="11"/>
        <v>18.049999999999997</v>
      </c>
      <c r="AH18">
        <v>0.95</v>
      </c>
      <c r="AI18">
        <v>0.05</v>
      </c>
    </row>
    <row r="19" spans="1:35" x14ac:dyDescent="0.25">
      <c r="A19" s="28">
        <v>7</v>
      </c>
      <c r="B19" s="37" t="s">
        <v>45</v>
      </c>
      <c r="C19" s="29">
        <f t="shared" si="12"/>
        <v>-12.376116662463268</v>
      </c>
      <c r="D19" s="30">
        <f t="shared" si="13"/>
        <v>-0.21432818964108225</v>
      </c>
      <c r="E19" s="30">
        <f t="shared" si="14"/>
        <v>0.97676170437071097</v>
      </c>
      <c r="F19" s="30">
        <f t="shared" si="15"/>
        <v>-0.21942730625292628</v>
      </c>
      <c r="G19" s="31">
        <f t="shared" si="16"/>
        <v>10</v>
      </c>
      <c r="H19" s="28">
        <f t="shared" si="17"/>
        <v>2295.5171987368349</v>
      </c>
      <c r="I19" s="32">
        <f t="shared" si="0"/>
        <v>-491.99404549523422</v>
      </c>
      <c r="J19" s="28">
        <v>0</v>
      </c>
      <c r="K19" s="38" t="s">
        <v>46</v>
      </c>
      <c r="L19" s="28">
        <f>0.3*H$6+0.7*H$7</f>
        <v>19.5</v>
      </c>
      <c r="M19" s="28">
        <f>0.3*I$6+0.7*I$7</f>
        <v>29.9</v>
      </c>
      <c r="N19" s="32">
        <f t="shared" si="1"/>
        <v>1319.9809335648713</v>
      </c>
      <c r="O19" s="32">
        <f t="shared" si="2"/>
        <v>1514.9809335648713</v>
      </c>
      <c r="P19" s="30">
        <f t="shared" si="3"/>
        <v>0.89459892089359816</v>
      </c>
      <c r="Q19" s="30">
        <f t="shared" si="4"/>
        <v>1693.475029068429</v>
      </c>
      <c r="R19" s="30">
        <f t="shared" si="5"/>
        <v>0.91214349986345522</v>
      </c>
      <c r="S19" s="30">
        <f t="shared" si="6"/>
        <v>1660.9019674992574</v>
      </c>
      <c r="T19" s="30">
        <f t="shared" si="7"/>
        <v>0.91328465031567241</v>
      </c>
      <c r="U19" s="30">
        <f t="shared" si="8"/>
        <v>1658.8266681600589</v>
      </c>
      <c r="V19" s="35"/>
      <c r="W19" s="35">
        <f t="shared" si="18"/>
        <v>10</v>
      </c>
      <c r="X19" s="24">
        <f>+'[1]Col7 1b'!J17</f>
        <v>138.84</v>
      </c>
      <c r="Y19" s="24">
        <f>+'[1]Col7 1b'!K17</f>
        <v>2.6576990101489173</v>
      </c>
      <c r="Z19" s="35">
        <f t="shared" si="19"/>
        <v>-0.21600398437091572</v>
      </c>
      <c r="AA19" s="36">
        <f t="shared" si="20"/>
        <v>-12.376116662463268</v>
      </c>
      <c r="AB19">
        <f t="shared" si="9"/>
        <v>133.84</v>
      </c>
      <c r="AC19">
        <f>([1]GeoSlope!$B$9-'[1]Col7 1a'!AB19)/2</f>
        <v>14.079999999999998</v>
      </c>
      <c r="AD19">
        <f>+'[1]Col7 1b'!N17</f>
        <v>1.3271266736842477</v>
      </c>
      <c r="AE19">
        <f t="shared" si="21"/>
        <v>12.752873326315751</v>
      </c>
      <c r="AF19">
        <f t="shared" si="10"/>
        <v>2295.5171987368349</v>
      </c>
      <c r="AG19">
        <f t="shared" si="11"/>
        <v>18.03</v>
      </c>
      <c r="AH19">
        <v>0.97</v>
      </c>
      <c r="AI19">
        <v>0.03</v>
      </c>
    </row>
    <row r="20" spans="1:35" ht="15.75" thickBot="1" x14ac:dyDescent="0.3">
      <c r="A20" s="28">
        <v>8</v>
      </c>
      <c r="B20" s="28" t="s">
        <v>39</v>
      </c>
      <c r="C20" s="29">
        <f t="shared" si="12"/>
        <v>-22.727715546349266</v>
      </c>
      <c r="D20" s="30">
        <f t="shared" si="13"/>
        <v>-0.38635225423591329</v>
      </c>
      <c r="E20" s="30">
        <f t="shared" si="14"/>
        <v>0.9223513081504402</v>
      </c>
      <c r="F20" s="30">
        <f t="shared" si="15"/>
        <v>-0.41887754787343701</v>
      </c>
      <c r="G20" s="31">
        <f t="shared" si="16"/>
        <v>9.710000000000008</v>
      </c>
      <c r="H20" s="28">
        <f t="shared" si="17"/>
        <v>825.47136101023818</v>
      </c>
      <c r="I20" s="32">
        <f t="shared" si="0"/>
        <v>-318.92272113349293</v>
      </c>
      <c r="J20" s="28">
        <v>0</v>
      </c>
      <c r="K20" s="28" t="s">
        <v>40</v>
      </c>
      <c r="L20" s="28">
        <v>30</v>
      </c>
      <c r="M20" s="28">
        <v>25</v>
      </c>
      <c r="N20" s="32">
        <f t="shared" si="1"/>
        <v>384.92361722670358</v>
      </c>
      <c r="O20" s="32">
        <f t="shared" si="2"/>
        <v>676.22361722670382</v>
      </c>
      <c r="P20" s="30">
        <f t="shared" si="3"/>
        <v>0.80224529822000468</v>
      </c>
      <c r="Q20" s="30">
        <f t="shared" si="4"/>
        <v>842.91378051960714</v>
      </c>
      <c r="R20" s="30">
        <f t="shared" si="5"/>
        <v>0.82789206049852382</v>
      </c>
      <c r="S20" s="30">
        <f t="shared" si="6"/>
        <v>816.80166955521804</v>
      </c>
      <c r="T20" s="30">
        <f t="shared" si="7"/>
        <v>0.82956020052185087</v>
      </c>
      <c r="U20" s="39">
        <f t="shared" si="8"/>
        <v>815.15918531447426</v>
      </c>
      <c r="V20" s="35"/>
      <c r="W20" s="35">
        <f t="shared" si="18"/>
        <v>9.710000000000008</v>
      </c>
      <c r="X20" s="24">
        <f>+'[1]Col7 1b'!J18</f>
        <v>148.55000000000001</v>
      </c>
      <c r="Y20" s="24">
        <f>+'[1]Col7 1b'!K18</f>
        <v>6.7249999999999943</v>
      </c>
      <c r="Z20" s="35">
        <f t="shared" si="19"/>
        <v>-0.39667346774049661</v>
      </c>
      <c r="AA20" s="36">
        <f t="shared" si="20"/>
        <v>-22.727715546349266</v>
      </c>
      <c r="AB20">
        <f t="shared" si="9"/>
        <v>143.69499999999999</v>
      </c>
      <c r="AC20">
        <f>([1]GeoSlope!$B$9-'[1]Col7 1a'!AB20)/2</f>
        <v>9.1525000000000034</v>
      </c>
      <c r="AD20">
        <f>+'[1]Col7 1b'!N18</f>
        <v>4.429583413375461</v>
      </c>
      <c r="AE20">
        <f t="shared" si="21"/>
        <v>4.7229165866245424</v>
      </c>
      <c r="AF20">
        <f t="shared" si="10"/>
        <v>825.47136101023818</v>
      </c>
      <c r="AG20">
        <f t="shared" si="11"/>
        <v>18</v>
      </c>
      <c r="AH20">
        <v>1</v>
      </c>
      <c r="AI20">
        <v>0</v>
      </c>
    </row>
    <row r="21" spans="1:35" ht="15.75" thickBot="1" x14ac:dyDescent="0.3">
      <c r="H21" s="40" t="s">
        <v>47</v>
      </c>
      <c r="I21" s="41">
        <f>SUM(I13:I20)</f>
        <v>8021.4360243059164</v>
      </c>
      <c r="P21" s="40" t="s">
        <v>47</v>
      </c>
      <c r="Q21" s="41">
        <f>SUM(Q13:Q20)</f>
        <v>15299.020986413101</v>
      </c>
      <c r="S21" s="41">
        <f>SUM(S13:S20)</f>
        <v>15574.057138878354</v>
      </c>
      <c r="U21" s="41">
        <f>SUM(U13:U20)</f>
        <v>15593.124542934023</v>
      </c>
      <c r="V21" s="42"/>
      <c r="W21" s="36"/>
      <c r="X21" s="42"/>
      <c r="Y21" s="36"/>
      <c r="Z21" s="42"/>
      <c r="AA21" s="36"/>
    </row>
    <row r="22" spans="1:35" x14ac:dyDescent="0.25">
      <c r="W22" s="36"/>
      <c r="X22" s="36"/>
      <c r="Y22" s="36"/>
      <c r="Z22" s="36"/>
      <c r="AA22" s="36"/>
    </row>
    <row r="23" spans="1:35" x14ac:dyDescent="0.25">
      <c r="N23" s="43" t="s">
        <v>48</v>
      </c>
      <c r="O23" s="44">
        <v>1.5</v>
      </c>
      <c r="P23" s="45"/>
      <c r="Q23" s="46">
        <f>+Q21/$I$21</f>
        <v>1.90726709532498</v>
      </c>
      <c r="R23" s="45"/>
      <c r="S23" s="46">
        <f>+S21/$I$21</f>
        <v>1.941554740533626</v>
      </c>
      <c r="T23" s="45"/>
      <c r="U23" s="46">
        <f>+U21/$I$21</f>
        <v>1.9439317967113345</v>
      </c>
      <c r="V23" s="46"/>
      <c r="W23" s="36"/>
      <c r="X23" s="47"/>
      <c r="Y23" s="36"/>
      <c r="Z23" s="47"/>
      <c r="AA23" s="3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Waldemar</dc:creator>
  <cp:lastModifiedBy>Waldemar</cp:lastModifiedBy>
  <dcterms:created xsi:type="dcterms:W3CDTF">2019-10-09T23:27:47Z</dcterms:created>
  <dcterms:modified xsi:type="dcterms:W3CDTF">2019-10-09T23:29:39Z</dcterms:modified>
</cp:coreProperties>
</file>