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e6f4b1e99dc1c6/USP/PME3453 - Máqs de Fluxo/2023/Provas/PRec/"/>
    </mc:Choice>
  </mc:AlternateContent>
  <xr:revisionPtr revIDLastSave="1286" documentId="13_ncr:1_{34DAED88-63D8-4AAC-A557-47099DC7EA2C}" xr6:coauthVersionLast="47" xr6:coauthVersionMax="47" xr10:uidLastSave="{96FE5D6A-F322-4DF6-91AE-7FFCA5FC6982}"/>
  <bookViews>
    <workbookView xWindow="-60" yWindow="-16320" windowWidth="29040" windowHeight="15720" xr2:uid="{4F82DF53-CA75-47B9-BEA9-23274D3185C2}"/>
  </bookViews>
  <sheets>
    <sheet name="Questão 1" sheetId="1" r:id="rId1"/>
    <sheet name="Questão 2" sheetId="2" r:id="rId2"/>
    <sheet name="Dados para o gráfic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2" l="1"/>
  <c r="I6" i="2"/>
  <c r="AL63" i="2" l="1"/>
  <c r="AG26" i="2"/>
  <c r="V34" i="2"/>
  <c r="AG53" i="2"/>
  <c r="AG52" i="2"/>
  <c r="AG63" i="2" s="1"/>
  <c r="AN33" i="2"/>
  <c r="AM40" i="2" s="1"/>
  <c r="AH36" i="2"/>
  <c r="AG28" i="2"/>
  <c r="V7" i="2"/>
  <c r="I13" i="2"/>
  <c r="K5" i="2"/>
  <c r="E6" i="2"/>
  <c r="AM39" i="2"/>
  <c r="AM41" i="2"/>
  <c r="AM37" i="2" l="1"/>
  <c r="AM42" i="2"/>
  <c r="AM38" i="2"/>
  <c r="AM36" i="2"/>
  <c r="AI44" i="2" l="1"/>
  <c r="AI53" i="2"/>
  <c r="AG55" i="2" s="1"/>
  <c r="AH39" i="2" l="1"/>
  <c r="AI41" i="2"/>
  <c r="AH38" i="2"/>
  <c r="AI40" i="2"/>
  <c r="AI43" i="2"/>
  <c r="AH40" i="2"/>
  <c r="AH37" i="2"/>
  <c r="AI39" i="2"/>
  <c r="AH44" i="2"/>
  <c r="AI36" i="2"/>
  <c r="AI38" i="2"/>
  <c r="AH41" i="2"/>
  <c r="AI42" i="2"/>
  <c r="AH45" i="2"/>
  <c r="AH43" i="2"/>
  <c r="AI45" i="2"/>
  <c r="AI37" i="2"/>
  <c r="AH42" i="2"/>
  <c r="AI24" i="2" l="1"/>
  <c r="X32" i="2"/>
  <c r="W19" i="2"/>
  <c r="W16" i="2"/>
  <c r="X16" i="2" s="1"/>
  <c r="V21" i="2"/>
  <c r="W21" i="2" s="1"/>
  <c r="V20" i="2"/>
  <c r="W20" i="2" s="1"/>
  <c r="V19" i="2"/>
  <c r="V18" i="2"/>
  <c r="W18" i="2" s="1"/>
  <c r="V17" i="2"/>
  <c r="W17" i="2" s="1"/>
  <c r="X17" i="2" s="1"/>
  <c r="V16" i="2"/>
  <c r="X5" i="2"/>
  <c r="O10" i="2"/>
  <c r="O11" i="2"/>
  <c r="O12" i="2"/>
  <c r="O13" i="2"/>
  <c r="O14" i="2"/>
  <c r="I7" i="2"/>
  <c r="P9" i="2" s="1"/>
  <c r="X19" i="2" l="1"/>
  <c r="X20" i="2"/>
  <c r="X18" i="2"/>
  <c r="X21" i="2"/>
  <c r="E33" i="2" l="1"/>
  <c r="C38" i="2" s="1"/>
  <c r="C26" i="2"/>
  <c r="C27" i="2" s="1"/>
  <c r="C24" i="2"/>
  <c r="C15" i="2"/>
  <c r="C16" i="2" s="1"/>
  <c r="C8" i="2" l="1"/>
  <c r="D16" i="4"/>
  <c r="D15" i="4"/>
  <c r="C2" i="4"/>
  <c r="E1" i="4"/>
  <c r="D11" i="4" l="1"/>
  <c r="D12" i="4" l="1"/>
  <c r="D13" i="4" l="1"/>
  <c r="D14" i="4" l="1"/>
  <c r="K11" i="1" l="1"/>
  <c r="P6" i="1" s="1"/>
  <c r="P8" i="1" s="1"/>
  <c r="K19" i="1" l="1"/>
  <c r="K21" i="1" s="1"/>
  <c r="P14" i="2"/>
  <c r="Q14" i="2" s="1"/>
  <c r="P11" i="2" l="1"/>
  <c r="Q11" i="2" s="1"/>
  <c r="P12" i="2"/>
  <c r="Q12" i="2" s="1"/>
  <c r="P13" i="2"/>
  <c r="Q13" i="2" s="1"/>
  <c r="P10" i="2"/>
  <c r="Q10" i="2" s="1"/>
  <c r="G7" i="1"/>
  <c r="G13" i="1" s="1"/>
  <c r="G14" i="1" s="1"/>
  <c r="G16" i="1" s="1"/>
  <c r="C9" i="1"/>
  <c r="O9" i="2" l="1"/>
  <c r="Q9" i="2" s="1"/>
</calcChain>
</file>

<file path=xl/sharedStrings.xml><?xml version="1.0" encoding="utf-8"?>
<sst xmlns="http://schemas.openxmlformats.org/spreadsheetml/2006/main" count="256" uniqueCount="118">
  <si>
    <t>g</t>
  </si>
  <si>
    <t>H</t>
  </si>
  <si>
    <t>m</t>
  </si>
  <si>
    <t>P</t>
  </si>
  <si>
    <t>Q</t>
  </si>
  <si>
    <t>n1'</t>
  </si>
  <si>
    <t>Q1'</t>
  </si>
  <si>
    <t>D</t>
  </si>
  <si>
    <t>n</t>
  </si>
  <si>
    <t>rpm</t>
  </si>
  <si>
    <t>s</t>
  </si>
  <si>
    <t>h</t>
  </si>
  <si>
    <t>°</t>
  </si>
  <si>
    <t>Elevação</t>
  </si>
  <si>
    <t>manm</t>
  </si>
  <si>
    <t>Ha</t>
  </si>
  <si>
    <t>T água</t>
  </si>
  <si>
    <t>° C</t>
  </si>
  <si>
    <t>hv</t>
  </si>
  <si>
    <t>NPSHr</t>
  </si>
  <si>
    <t>Hs</t>
  </si>
  <si>
    <t>Cálculo com base em n1' e Q1'</t>
  </si>
  <si>
    <t>no ponto de máximo rendimento.</t>
  </si>
  <si>
    <t>Diagrama de colina apresentado</t>
  </si>
  <si>
    <t>não é de uma Pelton e Kaplans</t>
  </si>
  <si>
    <t>não se aplicam para H = 150 m.</t>
  </si>
  <si>
    <t>Logo, turbina deve ser Francis.</t>
  </si>
  <si>
    <t>r</t>
  </si>
  <si>
    <t>MW</t>
  </si>
  <si>
    <t>D2 (mm)</t>
  </si>
  <si>
    <t>NPSH</t>
  </si>
  <si>
    <t>rend</t>
  </si>
  <si>
    <r>
      <t>dm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Arial"/>
        <family val="2"/>
      </rPr>
      <t>/s</t>
    </r>
  </si>
  <si>
    <t>L</t>
  </si>
  <si>
    <t>e</t>
  </si>
  <si>
    <t>mm</t>
  </si>
  <si>
    <t>f</t>
  </si>
  <si>
    <t>k</t>
  </si>
  <si>
    <t>p</t>
  </si>
  <si>
    <t>Curva de dissipação do sistema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</si>
  <si>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t</t>
    </r>
  </si>
  <si>
    <t>Questão 2.1 (0,5 ponto)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</si>
  <si>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</si>
  <si>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</si>
  <si>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t>Questão 2.4 (0,5 ponto)</t>
  </si>
  <si>
    <t>Questão 2.5 (0,5 ponto)</t>
  </si>
  <si>
    <r>
      <t>n</t>
    </r>
    <r>
      <rPr>
        <vertAlign val="subscript"/>
        <sz val="11"/>
        <color theme="1"/>
        <rFont val="Calibri"/>
        <family val="2"/>
        <scheme val="minor"/>
      </rPr>
      <t>q</t>
    </r>
  </si>
  <si>
    <t>Hz</t>
  </si>
  <si>
    <t>p*</t>
  </si>
  <si>
    <t>Número de pares de polos</t>
  </si>
  <si>
    <t>Rotação síncrona</t>
  </si>
  <si>
    <t>Escorregamento</t>
  </si>
  <si>
    <r>
      <t>n</t>
    </r>
    <r>
      <rPr>
        <vertAlign val="subscript"/>
        <sz val="11"/>
        <color theme="1"/>
        <rFont val="Calibri"/>
        <family val="2"/>
        <scheme val="minor"/>
      </rPr>
      <t>sinc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</si>
  <si>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</si>
  <si>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NPSHd</t>
  </si>
  <si>
    <t>Questão 1.3 (0,5 ponto)</t>
  </si>
  <si>
    <t>máximo rendimento.</t>
  </si>
  <si>
    <t xml:space="preserve">Porque passa pelo ponto de </t>
  </si>
  <si>
    <t>Questão 1.4 (0,5 ponto)</t>
  </si>
  <si>
    <t>Questão 1.5 (0,5 ponto)</t>
  </si>
  <si>
    <t>Não houve a redução esperada.</t>
  </si>
  <si>
    <t xml:space="preserve">Trabalhando com a máquina no limite de </t>
  </si>
  <si>
    <t>cavitação, conseguimos admitir mais água</t>
  </si>
  <si>
    <t>e gerar mais potência para uma turbina de</t>
  </si>
  <si>
    <t>mesmo diâmetro.</t>
  </si>
  <si>
    <t>Questão 1.1 (1,0 ponto)</t>
  </si>
  <si>
    <t>Questão 1.2 (1,0 ponto)</t>
  </si>
  <si>
    <t>Questão 1.6 (1,0 ponto)</t>
  </si>
  <si>
    <t>No ponto de máximo rendimento</t>
  </si>
  <si>
    <t>Questão 1.7 (0,5 ponto)</t>
  </si>
  <si>
    <t>H(m)</t>
  </si>
  <si>
    <r>
      <t>Q(m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Arial"/>
        <family val="2"/>
      </rPr>
      <t>/h)</t>
    </r>
  </si>
  <si>
    <t>KSB Meganorm 25-200</t>
  </si>
  <si>
    <t>NPSH(m)</t>
  </si>
  <si>
    <t>n (rpm)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</si>
  <si>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Arial"/>
        <family val="2"/>
      </rPr>
      <t>/h</t>
    </r>
  </si>
  <si>
    <t>C2</t>
  </si>
  <si>
    <t>C1</t>
  </si>
  <si>
    <t>Qmáx</t>
  </si>
  <si>
    <t>209 mm</t>
  </si>
  <si>
    <t>Ponto ótimo da bomba Meganorm 25-200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</si>
  <si>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</t>
    </r>
  </si>
  <si>
    <t>mais provável é que seja uma bomba radial</t>
  </si>
  <si>
    <t>Como o enunciado afirma que é uma BHF,</t>
  </si>
  <si>
    <t>Qmín</t>
  </si>
  <si>
    <r>
      <t>de aplicação desse tipo de bomba (n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=10).</t>
    </r>
  </si>
  <si>
    <t>Questão 2.2 (1,0 ponto)</t>
  </si>
  <si>
    <t>Em uma bomba radial, a máxima potência ocorre</t>
  </si>
  <si>
    <t>na máxima vazão</t>
  </si>
  <si>
    <t>W</t>
  </si>
  <si>
    <r>
      <t>m/s</t>
    </r>
    <r>
      <rPr>
        <vertAlign val="superscript"/>
        <sz val="11"/>
        <color rgb="FF000000"/>
        <rFont val="Calibri"/>
        <family val="2"/>
      </rPr>
      <t>2</t>
    </r>
  </si>
  <si>
    <r>
      <t>kg/m</t>
    </r>
    <r>
      <rPr>
        <vertAlign val="superscript"/>
        <sz val="11"/>
        <color rgb="FF000000"/>
        <rFont val="Calibri"/>
        <family val="2"/>
      </rPr>
      <t>3</t>
    </r>
  </si>
  <si>
    <t>Questão 2.3 (1,0 ponto)</t>
  </si>
  <si>
    <r>
      <rPr>
        <sz val="11"/>
        <color rgb="FF000000"/>
        <rFont val="Symbol"/>
        <family val="1"/>
        <charset val="2"/>
      </rPr>
      <t>e</t>
    </r>
    <r>
      <rPr>
        <sz val="11"/>
        <color rgb="FF000000"/>
        <rFont val="Calibri"/>
        <family val="2"/>
      </rPr>
      <t>/D</t>
    </r>
  </si>
  <si>
    <r>
      <t>H</t>
    </r>
    <r>
      <rPr>
        <vertAlign val="subscript"/>
        <sz val="11"/>
        <color theme="1"/>
        <rFont val="Calibri"/>
        <family val="2"/>
        <scheme val="minor"/>
      </rPr>
      <t>g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</si>
  <si>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 h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</si>
  <si>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Arial"/>
        <family val="2"/>
      </rPr>
      <t>/s</t>
    </r>
  </si>
  <si>
    <r>
      <t>H</t>
    </r>
    <r>
      <rPr>
        <vertAlign val="subscript"/>
        <sz val="11"/>
        <color theme="1"/>
        <rFont val="Calibri"/>
        <family val="2"/>
        <scheme val="minor"/>
      </rPr>
      <t>B</t>
    </r>
  </si>
  <si>
    <t>Questão 2.6 (0,5 ponto)</t>
  </si>
  <si>
    <t>Q by-pass</t>
  </si>
  <si>
    <t>Questão 2.7 (1,0 ponto)</t>
  </si>
  <si>
    <t>Nova rotação "ideal"</t>
  </si>
  <si>
    <t>a</t>
  </si>
  <si>
    <t>IsoRend</t>
  </si>
  <si>
    <t>IsoRendimento</t>
  </si>
  <si>
    <r>
      <t>n</t>
    </r>
    <r>
      <rPr>
        <vertAlign val="subscript"/>
        <sz val="11"/>
        <color theme="1"/>
        <rFont val="Calibri"/>
        <family val="2"/>
        <scheme val="minor"/>
      </rPr>
      <t>new</t>
    </r>
  </si>
  <si>
    <t>A hipótese de que o novo ponto de operação seja homólogo ao do item 2.4 não é muito precisa.</t>
  </si>
  <si>
    <t>Usando as cargas como referência:</t>
  </si>
  <si>
    <t>Usando as vazões como referência:</t>
  </si>
  <si>
    <t>Valor mais adequado seria ao redor de 1670 rpm.</t>
  </si>
  <si>
    <r>
      <t>já que o n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calculado está próximo ao limite</t>
    </r>
  </si>
  <si>
    <t>Nova curva de dissipação do sistema</t>
  </si>
  <si>
    <t xml:space="preserve">Reparem que a curva de iso-rendimento (amarela) no gráfico acima não cruza a curva da bomba </t>
  </si>
  <si>
    <t>original no ponto de rendimento igual a 33%.</t>
  </si>
  <si>
    <t>para T água = 25°C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</si>
  <si>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hs</t>
    </r>
  </si>
  <si>
    <t>Obs. Um pouco abaixo da faixa recomendada.</t>
  </si>
  <si>
    <t xml:space="preserve">Lembrando que a curva da bomba para 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</si>
</sst>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%"/>
  </numFmts>
  <fonts count="16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sz val="11"/>
      <color rgb="FF000000"/>
      <name val="Calibri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E4D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3" fillId="0" borderId="0"/>
    <xf numFmtId="0" fontId="2" fillId="0" borderId="0"/>
  </cellStyleXfs>
  <cellXfs count="68">
    <xf numFmtId="0" fontId="0" fillId="0" borderId="0" xfId="0"/>
    <xf numFmtId="0" fontId="4" fillId="0" borderId="0" xfId="0" applyFont="1"/>
    <xf numFmtId="0" fontId="3" fillId="0" borderId="0" xfId="2" applyAlignment="1">
      <alignment horizontal="center" vertical="center"/>
    </xf>
    <xf numFmtId="0" fontId="3" fillId="0" borderId="0" xfId="2" applyAlignment="1">
      <alignment horizontal="left" vertical="center"/>
    </xf>
    <xf numFmtId="164" fontId="3" fillId="0" borderId="1" xfId="2" applyNumberForma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0" xfId="2" applyFill="1" applyAlignment="1">
      <alignment horizontal="right" vertical="center"/>
    </xf>
    <xf numFmtId="0" fontId="3" fillId="0" borderId="0" xfId="2" applyAlignment="1">
      <alignment horizontal="right" vertical="center"/>
    </xf>
    <xf numFmtId="2" fontId="3" fillId="0" borderId="0" xfId="2" applyNumberFormat="1" applyAlignment="1">
      <alignment horizontal="right" vertical="center"/>
    </xf>
    <xf numFmtId="0" fontId="3" fillId="0" borderId="1" xfId="2" applyBorder="1" applyAlignment="1">
      <alignment horizontal="right" vertical="center"/>
    </xf>
    <xf numFmtId="164" fontId="3" fillId="0" borderId="1" xfId="2" applyNumberFormat="1" applyBorder="1" applyAlignment="1">
      <alignment horizontal="right" vertical="center"/>
    </xf>
    <xf numFmtId="0" fontId="9" fillId="0" borderId="1" xfId="2" applyFont="1" applyBorder="1" applyAlignment="1">
      <alignment horizontal="right" vertical="center"/>
    </xf>
    <xf numFmtId="0" fontId="3" fillId="3" borderId="0" xfId="2" applyFill="1" applyAlignment="1">
      <alignment horizontal="right" vertical="center"/>
    </xf>
    <xf numFmtId="1" fontId="3" fillId="0" borderId="0" xfId="2" applyNumberFormat="1" applyAlignment="1">
      <alignment horizontal="right" vertical="center"/>
    </xf>
    <xf numFmtId="166" fontId="3" fillId="0" borderId="0" xfId="1" applyNumberFormat="1" applyFont="1" applyAlignment="1">
      <alignment horizontal="right" vertical="center"/>
    </xf>
    <xf numFmtId="0" fontId="3" fillId="3" borderId="1" xfId="2" applyFill="1" applyBorder="1" applyAlignment="1">
      <alignment horizontal="right" vertical="center"/>
    </xf>
    <xf numFmtId="9" fontId="3" fillId="3" borderId="0" xfId="1" applyFont="1" applyFill="1" applyAlignment="1">
      <alignment horizontal="right" vertical="center"/>
    </xf>
    <xf numFmtId="164" fontId="3" fillId="0" borderId="0" xfId="2" applyNumberFormat="1" applyAlignment="1">
      <alignment horizontal="right"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horizontal="left" vertical="center"/>
    </xf>
    <xf numFmtId="0" fontId="2" fillId="0" borderId="1" xfId="3" applyBorder="1" applyAlignment="1">
      <alignment horizontal="center" vertical="center"/>
    </xf>
    <xf numFmtId="9" fontId="2" fillId="0" borderId="1" xfId="3" applyNumberFormat="1" applyBorder="1" applyAlignment="1">
      <alignment horizontal="center" vertical="center"/>
    </xf>
    <xf numFmtId="2" fontId="2" fillId="0" borderId="1" xfId="3" applyNumberFormat="1" applyBorder="1" applyAlignment="1">
      <alignment horizontal="center" vertical="center"/>
    </xf>
    <xf numFmtId="164" fontId="2" fillId="0" borderId="1" xfId="3" applyNumberFormat="1" applyBorder="1" applyAlignment="1">
      <alignment horizontal="center" vertical="center"/>
    </xf>
    <xf numFmtId="164" fontId="2" fillId="0" borderId="0" xfId="3" applyNumberFormat="1" applyAlignment="1">
      <alignment horizontal="center" vertical="center"/>
    </xf>
    <xf numFmtId="164" fontId="2" fillId="0" borderId="2" xfId="3" applyNumberForma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" fontId="3" fillId="0" borderId="0" xfId="2" applyNumberForma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3" fillId="0" borderId="0" xfId="2" applyFont="1" applyAlignment="1">
      <alignment horizontal="left" vertical="center"/>
    </xf>
    <xf numFmtId="0" fontId="11" fillId="4" borderId="0" xfId="0" applyFont="1" applyFill="1"/>
    <xf numFmtId="165" fontId="11" fillId="0" borderId="0" xfId="0" applyNumberFormat="1" applyFont="1"/>
    <xf numFmtId="0" fontId="14" fillId="0" borderId="0" xfId="0" applyFont="1" applyAlignment="1">
      <alignment horizontal="center"/>
    </xf>
    <xf numFmtId="0" fontId="11" fillId="5" borderId="0" xfId="0" applyFont="1" applyFill="1"/>
    <xf numFmtId="0" fontId="14" fillId="0" borderId="0" xfId="2" applyFont="1" applyAlignment="1">
      <alignment horizontal="center" vertical="center"/>
    </xf>
    <xf numFmtId="0" fontId="13" fillId="6" borderId="0" xfId="2" applyFont="1" applyFill="1" applyAlignment="1">
      <alignment vertical="center"/>
    </xf>
    <xf numFmtId="0" fontId="13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165" fontId="13" fillId="0" borderId="0" xfId="2" applyNumberFormat="1" applyFont="1" applyAlignment="1">
      <alignment vertical="center"/>
    </xf>
    <xf numFmtId="0" fontId="2" fillId="0" borderId="1" xfId="2" applyFont="1" applyBorder="1" applyAlignment="1">
      <alignment horizontal="right" vertical="center"/>
    </xf>
    <xf numFmtId="165" fontId="3" fillId="0" borderId="1" xfId="2" applyNumberFormat="1" applyBorder="1" applyAlignment="1">
      <alignment horizontal="right" vertical="center"/>
    </xf>
    <xf numFmtId="0" fontId="3" fillId="3" borderId="0" xfId="2" applyFill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166" fontId="3" fillId="3" borderId="0" xfId="1" applyNumberFormat="1" applyFont="1" applyFill="1" applyAlignment="1">
      <alignment horizontal="right" vertical="center"/>
    </xf>
    <xf numFmtId="0" fontId="1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 applyAlignment="1">
      <alignment horizontal="right"/>
    </xf>
    <xf numFmtId="166" fontId="2" fillId="3" borderId="0" xfId="1" applyNumberFormat="1" applyFont="1" applyFill="1" applyAlignment="1">
      <alignment horizontal="right"/>
    </xf>
    <xf numFmtId="10" fontId="2" fillId="3" borderId="0" xfId="1" applyNumberFormat="1" applyFont="1" applyFill="1"/>
    <xf numFmtId="164" fontId="2" fillId="0" borderId="0" xfId="0" applyNumberFormat="1" applyFont="1"/>
    <xf numFmtId="0" fontId="2" fillId="3" borderId="0" xfId="0" applyFont="1" applyFill="1"/>
    <xf numFmtId="2" fontId="2" fillId="0" borderId="0" xfId="0" applyNumberFormat="1" applyFont="1"/>
    <xf numFmtId="164" fontId="2" fillId="2" borderId="0" xfId="0" applyNumberFormat="1" applyFont="1" applyFill="1"/>
    <xf numFmtId="2" fontId="2" fillId="3" borderId="0" xfId="0" applyNumberFormat="1" applyFont="1" applyFill="1"/>
    <xf numFmtId="164" fontId="2" fillId="3" borderId="0" xfId="0" applyNumberFormat="1" applyFont="1" applyFill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6" fontId="11" fillId="4" borderId="0" xfId="0" applyNumberFormat="1" applyFont="1" applyFill="1"/>
    <xf numFmtId="0" fontId="13" fillId="0" borderId="0" xfId="2" applyFont="1" applyAlignment="1">
      <alignment horizontal="right" vertical="center"/>
    </xf>
    <xf numFmtId="1" fontId="3" fillId="0" borderId="0" xfId="2" applyNumberFormat="1" applyAlignment="1">
      <alignment horizontal="center" vertical="center"/>
    </xf>
    <xf numFmtId="0" fontId="1" fillId="0" borderId="0" xfId="2" applyFont="1" applyAlignment="1">
      <alignment horizontal="left" vertical="center"/>
    </xf>
  </cellXfs>
  <cellStyles count="4">
    <cellStyle name="Normal" xfId="0" builtinId="0"/>
    <cellStyle name="Normal 2" xfId="2" xr:uid="{476FC7E4-94CF-43A1-B3CC-F69ABC97C78D}"/>
    <cellStyle name="Normal 3" xfId="3" xr:uid="{6FD25ACF-0D44-47D3-80D2-9BCBC77199AA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para o gráfico'!$C$2</c:f>
              <c:strCache>
                <c:ptCount val="1"/>
                <c:pt idx="0">
                  <c:v>d2: 209 mm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7F-4D88-BDEA-5524E8CAA2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gráfico'!$B$7:$B$16</c:f>
              <c:numCache>
                <c:formatCode>0.0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8.6</c:v>
                </c:pt>
              </c:numCache>
            </c:numRef>
          </c:xVal>
          <c:yVal>
            <c:numRef>
              <c:f>'Dados para o gráfico'!$C$7:$C$16</c:f>
              <c:numCache>
                <c:formatCode>0.0</c:formatCode>
                <c:ptCount val="10"/>
                <c:pt idx="0">
                  <c:v>23.8</c:v>
                </c:pt>
                <c:pt idx="1">
                  <c:v>23.8</c:v>
                </c:pt>
                <c:pt idx="2">
                  <c:v>23.7</c:v>
                </c:pt>
                <c:pt idx="3">
                  <c:v>23.5</c:v>
                </c:pt>
                <c:pt idx="4">
                  <c:v>23.2</c:v>
                </c:pt>
                <c:pt idx="5">
                  <c:v>22.7</c:v>
                </c:pt>
                <c:pt idx="6">
                  <c:v>22.1</c:v>
                </c:pt>
                <c:pt idx="7">
                  <c:v>21.2</c:v>
                </c:pt>
                <c:pt idx="8">
                  <c:v>20</c:v>
                </c:pt>
                <c:pt idx="9">
                  <c:v>19.2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7F-4D88-BDEA-5524E8CAA223}"/>
            </c:ext>
          </c:extLst>
        </c:ser>
        <c:ser>
          <c:idx val="11"/>
          <c:order val="2"/>
          <c:tx>
            <c:strRef>
              <c:f>'Dados para o gráfico'!$R$2</c:f>
              <c:strCache>
                <c:ptCount val="1"/>
                <c:pt idx="0">
                  <c:v>33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999999999999186E-3"/>
                  <c:y val="-2.65113084377491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7F-4D88-BDEA-5524E8CAA223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gráfico'!$Q$5:$Q$6</c:f>
              <c:numCache>
                <c:formatCode>0.00</c:formatCode>
                <c:ptCount val="2"/>
                <c:pt idx="0">
                  <c:v>5.75</c:v>
                </c:pt>
                <c:pt idx="1">
                  <c:v>5.65</c:v>
                </c:pt>
              </c:numCache>
            </c:numRef>
          </c:xVal>
          <c:yVal>
            <c:numRef>
              <c:f>'Dados para o gráfico'!$R$5:$R$6</c:f>
              <c:numCache>
                <c:formatCode>0.00</c:formatCode>
                <c:ptCount val="2"/>
                <c:pt idx="0">
                  <c:v>23</c:v>
                </c:pt>
                <c:pt idx="1">
                  <c:v>21.2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7F-4D88-BDEA-5524E8CAA223}"/>
            </c:ext>
          </c:extLst>
        </c:ser>
        <c:ser>
          <c:idx val="1"/>
          <c:order val="3"/>
          <c:tx>
            <c:strRef>
              <c:f>'Dados para o gráfico'!$L$2</c:f>
              <c:strCache>
                <c:ptCount val="1"/>
                <c:pt idx="0">
                  <c:v>18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7F-4D88-BDEA-5524E8CAA2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gráfico'!$K$5:$K$6</c:f>
              <c:numCache>
                <c:formatCode>0.00</c:formatCode>
                <c:ptCount val="2"/>
                <c:pt idx="0">
                  <c:v>2.4500000000000002</c:v>
                </c:pt>
                <c:pt idx="1">
                  <c:v>2.35</c:v>
                </c:pt>
              </c:numCache>
            </c:numRef>
          </c:xVal>
          <c:yVal>
            <c:numRef>
              <c:f>'Dados para o gráfico'!$L$5:$L$6</c:f>
              <c:numCache>
                <c:formatCode>0.00</c:formatCode>
                <c:ptCount val="2"/>
                <c:pt idx="0">
                  <c:v>24.2</c:v>
                </c:pt>
                <c:pt idx="1">
                  <c:v>22.8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47F-4D88-BDEA-5524E8CAA223}"/>
            </c:ext>
          </c:extLst>
        </c:ser>
        <c:ser>
          <c:idx val="3"/>
          <c:order val="4"/>
          <c:tx>
            <c:strRef>
              <c:f>'Dados para o gráfico'!$N$2</c:f>
              <c:strCache>
                <c:ptCount val="1"/>
                <c:pt idx="0">
                  <c:v>23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7F-4D88-BDEA-5524E8CAA2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gráfico'!$M$5:$M$6</c:f>
              <c:numCache>
                <c:formatCode>0.00</c:formatCode>
                <c:ptCount val="2"/>
                <c:pt idx="0">
                  <c:v>3.35</c:v>
                </c:pt>
                <c:pt idx="1">
                  <c:v>3.25</c:v>
                </c:pt>
              </c:numCache>
            </c:numRef>
          </c:xVal>
          <c:yVal>
            <c:numRef>
              <c:f>'Dados para o gráfico'!$N$5:$N$6</c:f>
              <c:numCache>
                <c:formatCode>0.00</c:formatCode>
                <c:ptCount val="2"/>
                <c:pt idx="0">
                  <c:v>24</c:v>
                </c:pt>
                <c:pt idx="1">
                  <c:v>22.5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47F-4D88-BDEA-5524E8CAA223}"/>
            </c:ext>
          </c:extLst>
        </c:ser>
        <c:ser>
          <c:idx val="5"/>
          <c:order val="5"/>
          <c:tx>
            <c:strRef>
              <c:f>'Dados para o gráfico'!$P$2</c:f>
              <c:strCache>
                <c:ptCount val="1"/>
                <c:pt idx="0">
                  <c:v>28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7F-4D88-BDEA-5524E8CAA2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gráfico'!$O$5:$O$6</c:f>
              <c:numCache>
                <c:formatCode>0.00</c:formatCode>
                <c:ptCount val="2"/>
                <c:pt idx="0">
                  <c:v>4.3499999999999996</c:v>
                </c:pt>
                <c:pt idx="1">
                  <c:v>4.25</c:v>
                </c:pt>
              </c:numCache>
            </c:numRef>
          </c:xVal>
          <c:yVal>
            <c:numRef>
              <c:f>'Dados para o gráfico'!$P$5:$P$6</c:f>
              <c:numCache>
                <c:formatCode>0.00</c:formatCode>
                <c:ptCount val="2"/>
                <c:pt idx="0">
                  <c:v>23.5</c:v>
                </c:pt>
                <c:pt idx="1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47F-4D88-BDEA-5524E8CAA223}"/>
            </c:ext>
          </c:extLst>
        </c:ser>
        <c:ser>
          <c:idx val="6"/>
          <c:order val="6"/>
          <c:tx>
            <c:strRef>
              <c:f>'Dados para o gráfico'!$T$2</c:f>
              <c:strCache>
                <c:ptCount val="1"/>
                <c:pt idx="0">
                  <c:v>38%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7F-4D88-BDEA-5524E8CAA2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gráfico'!$S$5:$S$6</c:f>
              <c:numCache>
                <c:formatCode>0.00</c:formatCode>
                <c:ptCount val="2"/>
                <c:pt idx="0">
                  <c:v>8.0500000000000007</c:v>
                </c:pt>
                <c:pt idx="1">
                  <c:v>7.95</c:v>
                </c:pt>
              </c:numCache>
            </c:numRef>
          </c:xVal>
          <c:yVal>
            <c:numRef>
              <c:f>'Dados para o gráfico'!$T$5:$T$6</c:f>
              <c:numCache>
                <c:formatCode>0.00</c:formatCode>
                <c:ptCount val="2"/>
                <c:pt idx="0">
                  <c:v>20.8</c:v>
                </c:pt>
                <c:pt idx="1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47F-4D88-BDEA-5524E8CAA223}"/>
            </c:ext>
          </c:extLst>
        </c:ser>
        <c:ser>
          <c:idx val="8"/>
          <c:order val="7"/>
          <c:tx>
            <c:strRef>
              <c:f>'Dados para o gráfico'!$J$2</c:f>
              <c:strCache>
                <c:ptCount val="1"/>
                <c:pt idx="0">
                  <c:v>13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7F-4D88-BDEA-5524E8CAA2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gráfico'!$I$5:$I$6</c:f>
              <c:numCache>
                <c:formatCode>0.00</c:formatCode>
                <c:ptCount val="2"/>
                <c:pt idx="0">
                  <c:v>1.8</c:v>
                </c:pt>
                <c:pt idx="1">
                  <c:v>1.7</c:v>
                </c:pt>
              </c:numCache>
            </c:numRef>
          </c:xVal>
          <c:yVal>
            <c:numRef>
              <c:f>'Dados para o gráfico'!$J$5:$J$6</c:f>
              <c:numCache>
                <c:formatCode>0.00</c:formatCode>
                <c:ptCount val="2"/>
                <c:pt idx="0">
                  <c:v>24.5</c:v>
                </c:pt>
                <c:pt idx="1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47F-4D88-BDEA-5524E8CAA223}"/>
            </c:ext>
          </c:extLst>
        </c:ser>
        <c:ser>
          <c:idx val="2"/>
          <c:order val="8"/>
          <c:tx>
            <c:v>HB</c:v>
          </c:tx>
          <c:marker>
            <c:symbol val="none"/>
          </c:marker>
          <c:xVal>
            <c:numRef>
              <c:f>'Questão 2'!$N$9:$N$14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</c:numCache>
            </c:numRef>
          </c:xVal>
          <c:yVal>
            <c:numRef>
              <c:f>'Questão 2'!$Q$9:$Q$14</c:f>
              <c:numCache>
                <c:formatCode>0.0</c:formatCode>
                <c:ptCount val="6"/>
                <c:pt idx="0">
                  <c:v>15</c:v>
                </c:pt>
                <c:pt idx="1">
                  <c:v>15.225535469693334</c:v>
                </c:pt>
                <c:pt idx="2">
                  <c:v>15.902141878773335</c:v>
                </c:pt>
                <c:pt idx="3">
                  <c:v>18.608567515093345</c:v>
                </c:pt>
                <c:pt idx="4">
                  <c:v>23.119276908960025</c:v>
                </c:pt>
                <c:pt idx="5">
                  <c:v>29.434270060373372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47F-4D88-BDEA-5524E8CAA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56664"/>
        <c:axId val="277661368"/>
      </c:scatterChart>
      <c:scatterChart>
        <c:scatterStyle val="smoothMarker"/>
        <c:varyColors val="0"/>
        <c:ser>
          <c:idx val="4"/>
          <c:order val="1"/>
          <c:tx>
            <c:strRef>
              <c:f>'Dados para o gráfico'!$D$5</c:f>
              <c:strCache>
                <c:ptCount val="1"/>
                <c:pt idx="0">
                  <c:v>Q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'Dados para o gráfico'!$D$10:$D$16</c:f>
              <c:numCache>
                <c:formatCode>0.0</c:formatCode>
                <c:ptCount val="7"/>
                <c:pt idx="0">
                  <c:v>2.75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8.6</c:v>
                </c:pt>
              </c:numCache>
            </c:numRef>
          </c:xVal>
          <c:yVal>
            <c:numRef>
              <c:f>'Dados para o gráfico'!$E$10:$E$16</c:f>
              <c:numCache>
                <c:formatCode>0.00</c:formatCode>
                <c:ptCount val="7"/>
                <c:pt idx="0">
                  <c:v>0.4</c:v>
                </c:pt>
                <c:pt idx="1">
                  <c:v>0.55000000000000004</c:v>
                </c:pt>
                <c:pt idx="2">
                  <c:v>0.73</c:v>
                </c:pt>
                <c:pt idx="3">
                  <c:v>0.95</c:v>
                </c:pt>
                <c:pt idx="4">
                  <c:v>1.2</c:v>
                </c:pt>
                <c:pt idx="5">
                  <c:v>1.5</c:v>
                </c:pt>
                <c:pt idx="6">
                  <c:v>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47F-4D88-BDEA-5524E8CAA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57056"/>
        <c:axId val="277659016"/>
      </c:scatterChart>
      <c:valAx>
        <c:axId val="27765666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Q(m</a:t>
                </a:r>
                <a:r>
                  <a:rPr lang="en-US" sz="1200" baseline="30000"/>
                  <a:t>3</a:t>
                </a:r>
                <a:r>
                  <a:rPr lang="en-US" sz="1200"/>
                  <a:t>/h)</a:t>
                </a:r>
              </a:p>
            </c:rich>
          </c:tx>
          <c:layout>
            <c:manualLayout>
              <c:xMode val="edge"/>
              <c:yMode val="edge"/>
              <c:x val="0.42652495348372821"/>
              <c:y val="0.92006043656761005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277661368"/>
        <c:crosses val="autoZero"/>
        <c:crossBetween val="midCat"/>
      </c:valAx>
      <c:valAx>
        <c:axId val="277661368"/>
        <c:scaling>
          <c:orientation val="minMax"/>
          <c:max val="30"/>
        </c:scaling>
        <c:delete val="0"/>
        <c:axPos val="l"/>
        <c:majorGridlines/>
        <c:minorGridlines/>
        <c:title>
          <c:tx>
            <c:strRef>
              <c:f>'Dados para o gráfico'!$E$1</c:f>
              <c:strCache>
                <c:ptCount val="1"/>
                <c:pt idx="0">
                  <c:v>H(m)</c:v>
                </c:pt>
              </c:strCache>
            </c:strRef>
          </c:tx>
          <c:layout>
            <c:manualLayout>
              <c:xMode val="edge"/>
              <c:yMode val="edge"/>
              <c:x val="8.4000379296866861E-3"/>
              <c:y val="0.3758581709295058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0.0" sourceLinked="0"/>
        <c:majorTickMark val="out"/>
        <c:minorTickMark val="in"/>
        <c:tickLblPos val="nextTo"/>
        <c:crossAx val="277656664"/>
        <c:crosses val="autoZero"/>
        <c:crossBetween val="midCat"/>
      </c:valAx>
      <c:valAx>
        <c:axId val="277659016"/>
        <c:scaling>
          <c:orientation val="minMax"/>
          <c:max val="6"/>
        </c:scaling>
        <c:delete val="0"/>
        <c:axPos val="r"/>
        <c:title>
          <c:tx>
            <c:strRef>
              <c:f>'Dados para o gráfico'!$E$2</c:f>
              <c:strCache>
                <c:ptCount val="1"/>
                <c:pt idx="0">
                  <c:v>NPSH(m)</c:v>
                </c:pt>
              </c:strCache>
            </c:strRef>
          </c:tx>
          <c:layout>
            <c:manualLayout>
              <c:xMode val="edge"/>
              <c:yMode val="edge"/>
              <c:x val="0.94828363211772215"/>
              <c:y val="0.33832450772255374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#,##0.0" sourceLinked="0"/>
        <c:majorTickMark val="out"/>
        <c:minorTickMark val="none"/>
        <c:tickLblPos val="nextTo"/>
        <c:crossAx val="277657056"/>
        <c:crosses val="max"/>
        <c:crossBetween val="midCat"/>
      </c:valAx>
      <c:valAx>
        <c:axId val="27765705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77659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para o gráfico'!$C$2</c:f>
              <c:strCache>
                <c:ptCount val="1"/>
                <c:pt idx="0">
                  <c:v>d2: 209 mm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1E-4A41-8349-F790A6035D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gráfico'!$B$7:$B$16</c:f>
              <c:numCache>
                <c:formatCode>0.0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8.6</c:v>
                </c:pt>
              </c:numCache>
            </c:numRef>
          </c:xVal>
          <c:yVal>
            <c:numRef>
              <c:f>'Dados para o gráfico'!$C$7:$C$16</c:f>
              <c:numCache>
                <c:formatCode>0.0</c:formatCode>
                <c:ptCount val="10"/>
                <c:pt idx="0">
                  <c:v>23.8</c:v>
                </c:pt>
                <c:pt idx="1">
                  <c:v>23.8</c:v>
                </c:pt>
                <c:pt idx="2">
                  <c:v>23.7</c:v>
                </c:pt>
                <c:pt idx="3">
                  <c:v>23.5</c:v>
                </c:pt>
                <c:pt idx="4">
                  <c:v>23.2</c:v>
                </c:pt>
                <c:pt idx="5">
                  <c:v>22.7</c:v>
                </c:pt>
                <c:pt idx="6">
                  <c:v>22.1</c:v>
                </c:pt>
                <c:pt idx="7">
                  <c:v>21.2</c:v>
                </c:pt>
                <c:pt idx="8">
                  <c:v>20</c:v>
                </c:pt>
                <c:pt idx="9">
                  <c:v>19.2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1E-4A41-8349-F790A6035DDD}"/>
            </c:ext>
          </c:extLst>
        </c:ser>
        <c:ser>
          <c:idx val="11"/>
          <c:order val="2"/>
          <c:tx>
            <c:strRef>
              <c:f>'Dados para o gráfico'!$R$2</c:f>
              <c:strCache>
                <c:ptCount val="1"/>
                <c:pt idx="0">
                  <c:v>33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999999999999186E-3"/>
                  <c:y val="-2.65113084377491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1E-4A41-8349-F790A6035DDD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gráfico'!$Q$5:$Q$6</c:f>
              <c:numCache>
                <c:formatCode>0.00</c:formatCode>
                <c:ptCount val="2"/>
                <c:pt idx="0">
                  <c:v>5.75</c:v>
                </c:pt>
                <c:pt idx="1">
                  <c:v>5.65</c:v>
                </c:pt>
              </c:numCache>
            </c:numRef>
          </c:xVal>
          <c:yVal>
            <c:numRef>
              <c:f>'Dados para o gráfico'!$R$5:$R$6</c:f>
              <c:numCache>
                <c:formatCode>0.00</c:formatCode>
                <c:ptCount val="2"/>
                <c:pt idx="0">
                  <c:v>23</c:v>
                </c:pt>
                <c:pt idx="1">
                  <c:v>21.2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F1E-4A41-8349-F790A6035DDD}"/>
            </c:ext>
          </c:extLst>
        </c:ser>
        <c:ser>
          <c:idx val="1"/>
          <c:order val="3"/>
          <c:tx>
            <c:strRef>
              <c:f>'Dados para o gráfico'!$L$2</c:f>
              <c:strCache>
                <c:ptCount val="1"/>
                <c:pt idx="0">
                  <c:v>18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1E-4A41-8349-F790A6035D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gráfico'!$K$5:$K$6</c:f>
              <c:numCache>
                <c:formatCode>0.00</c:formatCode>
                <c:ptCount val="2"/>
                <c:pt idx="0">
                  <c:v>2.4500000000000002</c:v>
                </c:pt>
                <c:pt idx="1">
                  <c:v>2.35</c:v>
                </c:pt>
              </c:numCache>
            </c:numRef>
          </c:xVal>
          <c:yVal>
            <c:numRef>
              <c:f>'Dados para o gráfico'!$L$5:$L$6</c:f>
              <c:numCache>
                <c:formatCode>0.00</c:formatCode>
                <c:ptCount val="2"/>
                <c:pt idx="0">
                  <c:v>24.2</c:v>
                </c:pt>
                <c:pt idx="1">
                  <c:v>22.8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F1E-4A41-8349-F790A6035DDD}"/>
            </c:ext>
          </c:extLst>
        </c:ser>
        <c:ser>
          <c:idx val="3"/>
          <c:order val="4"/>
          <c:tx>
            <c:strRef>
              <c:f>'Dados para o gráfico'!$N$2</c:f>
              <c:strCache>
                <c:ptCount val="1"/>
                <c:pt idx="0">
                  <c:v>23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1E-4A41-8349-F790A6035D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gráfico'!$M$5:$M$6</c:f>
              <c:numCache>
                <c:formatCode>0.00</c:formatCode>
                <c:ptCount val="2"/>
                <c:pt idx="0">
                  <c:v>3.35</c:v>
                </c:pt>
                <c:pt idx="1">
                  <c:v>3.25</c:v>
                </c:pt>
              </c:numCache>
            </c:numRef>
          </c:xVal>
          <c:yVal>
            <c:numRef>
              <c:f>'Dados para o gráfico'!$N$5:$N$6</c:f>
              <c:numCache>
                <c:formatCode>0.00</c:formatCode>
                <c:ptCount val="2"/>
                <c:pt idx="0">
                  <c:v>24</c:v>
                </c:pt>
                <c:pt idx="1">
                  <c:v>22.5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F1E-4A41-8349-F790A6035DDD}"/>
            </c:ext>
          </c:extLst>
        </c:ser>
        <c:ser>
          <c:idx val="5"/>
          <c:order val="5"/>
          <c:tx>
            <c:strRef>
              <c:f>'Dados para o gráfico'!$P$2</c:f>
              <c:strCache>
                <c:ptCount val="1"/>
                <c:pt idx="0">
                  <c:v>28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1E-4A41-8349-F790A6035D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gráfico'!$O$5:$O$6</c:f>
              <c:numCache>
                <c:formatCode>0.00</c:formatCode>
                <c:ptCount val="2"/>
                <c:pt idx="0">
                  <c:v>4.3499999999999996</c:v>
                </c:pt>
                <c:pt idx="1">
                  <c:v>4.25</c:v>
                </c:pt>
              </c:numCache>
            </c:numRef>
          </c:xVal>
          <c:yVal>
            <c:numRef>
              <c:f>'Dados para o gráfico'!$P$5:$P$6</c:f>
              <c:numCache>
                <c:formatCode>0.00</c:formatCode>
                <c:ptCount val="2"/>
                <c:pt idx="0">
                  <c:v>23.5</c:v>
                </c:pt>
                <c:pt idx="1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F1E-4A41-8349-F790A6035DDD}"/>
            </c:ext>
          </c:extLst>
        </c:ser>
        <c:ser>
          <c:idx val="6"/>
          <c:order val="6"/>
          <c:tx>
            <c:strRef>
              <c:f>'Dados para o gráfico'!$T$2</c:f>
              <c:strCache>
                <c:ptCount val="1"/>
                <c:pt idx="0">
                  <c:v>38%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1E-4A41-8349-F790A6035D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gráfico'!$S$5:$S$6</c:f>
              <c:numCache>
                <c:formatCode>0.00</c:formatCode>
                <c:ptCount val="2"/>
                <c:pt idx="0">
                  <c:v>8.0500000000000007</c:v>
                </c:pt>
                <c:pt idx="1">
                  <c:v>7.95</c:v>
                </c:pt>
              </c:numCache>
            </c:numRef>
          </c:xVal>
          <c:yVal>
            <c:numRef>
              <c:f>'Dados para o gráfico'!$T$5:$T$6</c:f>
              <c:numCache>
                <c:formatCode>0.00</c:formatCode>
                <c:ptCount val="2"/>
                <c:pt idx="0">
                  <c:v>20.8</c:v>
                </c:pt>
                <c:pt idx="1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F1E-4A41-8349-F790A6035DDD}"/>
            </c:ext>
          </c:extLst>
        </c:ser>
        <c:ser>
          <c:idx val="8"/>
          <c:order val="7"/>
          <c:tx>
            <c:strRef>
              <c:f>'Dados para o gráfico'!$J$2</c:f>
              <c:strCache>
                <c:ptCount val="1"/>
                <c:pt idx="0">
                  <c:v>13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1E-4A41-8349-F790A6035D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gráfico'!$I$5:$I$6</c:f>
              <c:numCache>
                <c:formatCode>0.00</c:formatCode>
                <c:ptCount val="2"/>
                <c:pt idx="0">
                  <c:v>1.8</c:v>
                </c:pt>
                <c:pt idx="1">
                  <c:v>1.7</c:v>
                </c:pt>
              </c:numCache>
            </c:numRef>
          </c:xVal>
          <c:yVal>
            <c:numRef>
              <c:f>'Dados para o gráfico'!$J$5:$J$6</c:f>
              <c:numCache>
                <c:formatCode>0.00</c:formatCode>
                <c:ptCount val="2"/>
                <c:pt idx="0">
                  <c:v>24.5</c:v>
                </c:pt>
                <c:pt idx="1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F1E-4A41-8349-F790A6035DDD}"/>
            </c:ext>
          </c:extLst>
        </c:ser>
        <c:ser>
          <c:idx val="2"/>
          <c:order val="8"/>
          <c:marker>
            <c:symbol val="none"/>
          </c:marker>
          <c:xVal>
            <c:numRef>
              <c:f>'Questão 2'!$U$16:$U$21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</c:numCache>
            </c:numRef>
          </c:xVal>
          <c:yVal>
            <c:numRef>
              <c:f>'Questão 2'!$X$16:$X$21</c:f>
              <c:numCache>
                <c:formatCode>0.0</c:formatCode>
                <c:ptCount val="6"/>
                <c:pt idx="0">
                  <c:v>15</c:v>
                </c:pt>
                <c:pt idx="1">
                  <c:v>15.316358024691358</c:v>
                </c:pt>
                <c:pt idx="2">
                  <c:v>16.265432098765434</c:v>
                </c:pt>
                <c:pt idx="3">
                  <c:v>20.061728395061728</c:v>
                </c:pt>
                <c:pt idx="4">
                  <c:v>26.388888888888893</c:v>
                </c:pt>
                <c:pt idx="5">
                  <c:v>35.246913580246911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F1E-4A41-8349-F790A6035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56664"/>
        <c:axId val="277661368"/>
      </c:scatterChart>
      <c:scatterChart>
        <c:scatterStyle val="smoothMarker"/>
        <c:varyColors val="0"/>
        <c:ser>
          <c:idx val="4"/>
          <c:order val="1"/>
          <c:tx>
            <c:strRef>
              <c:f>'Dados para o gráfico'!$D$5</c:f>
              <c:strCache>
                <c:ptCount val="1"/>
                <c:pt idx="0">
                  <c:v>Q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'Dados para o gráfico'!$D$10:$D$16</c:f>
              <c:numCache>
                <c:formatCode>0.0</c:formatCode>
                <c:ptCount val="7"/>
                <c:pt idx="0">
                  <c:v>2.75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8.6</c:v>
                </c:pt>
              </c:numCache>
            </c:numRef>
          </c:xVal>
          <c:yVal>
            <c:numRef>
              <c:f>'Dados para o gráfico'!$E$10:$E$16</c:f>
              <c:numCache>
                <c:formatCode>0.00</c:formatCode>
                <c:ptCount val="7"/>
                <c:pt idx="0">
                  <c:v>0.4</c:v>
                </c:pt>
                <c:pt idx="1">
                  <c:v>0.55000000000000004</c:v>
                </c:pt>
                <c:pt idx="2">
                  <c:v>0.73</c:v>
                </c:pt>
                <c:pt idx="3">
                  <c:v>0.95</c:v>
                </c:pt>
                <c:pt idx="4">
                  <c:v>1.2</c:v>
                </c:pt>
                <c:pt idx="5">
                  <c:v>1.5</c:v>
                </c:pt>
                <c:pt idx="6">
                  <c:v>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F1E-4A41-8349-F790A6035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57056"/>
        <c:axId val="277659016"/>
      </c:scatterChart>
      <c:valAx>
        <c:axId val="27765666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Q(m</a:t>
                </a:r>
                <a:r>
                  <a:rPr lang="en-US" sz="1200" baseline="30000"/>
                  <a:t>3</a:t>
                </a:r>
                <a:r>
                  <a:rPr lang="en-US" sz="1200"/>
                  <a:t>/h)</a:t>
                </a:r>
              </a:p>
            </c:rich>
          </c:tx>
          <c:layout>
            <c:manualLayout>
              <c:xMode val="edge"/>
              <c:yMode val="edge"/>
              <c:x val="0.42652495348372821"/>
              <c:y val="0.92006043656761005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277661368"/>
        <c:crosses val="autoZero"/>
        <c:crossBetween val="midCat"/>
      </c:valAx>
      <c:valAx>
        <c:axId val="277661368"/>
        <c:scaling>
          <c:orientation val="minMax"/>
          <c:max val="30"/>
        </c:scaling>
        <c:delete val="0"/>
        <c:axPos val="l"/>
        <c:majorGridlines/>
        <c:minorGridlines/>
        <c:title>
          <c:tx>
            <c:strRef>
              <c:f>'Dados para o gráfico'!$E$1</c:f>
              <c:strCache>
                <c:ptCount val="1"/>
                <c:pt idx="0">
                  <c:v>H(m)</c:v>
                </c:pt>
              </c:strCache>
            </c:strRef>
          </c:tx>
          <c:layout>
            <c:manualLayout>
              <c:xMode val="edge"/>
              <c:yMode val="edge"/>
              <c:x val="8.4000379296866861E-3"/>
              <c:y val="0.3758581709295058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0.0" sourceLinked="0"/>
        <c:majorTickMark val="out"/>
        <c:minorTickMark val="in"/>
        <c:tickLblPos val="nextTo"/>
        <c:crossAx val="277656664"/>
        <c:crosses val="autoZero"/>
        <c:crossBetween val="midCat"/>
      </c:valAx>
      <c:valAx>
        <c:axId val="277659016"/>
        <c:scaling>
          <c:orientation val="minMax"/>
          <c:max val="6"/>
        </c:scaling>
        <c:delete val="0"/>
        <c:axPos val="r"/>
        <c:title>
          <c:tx>
            <c:strRef>
              <c:f>'Dados para o gráfico'!$E$2</c:f>
              <c:strCache>
                <c:ptCount val="1"/>
                <c:pt idx="0">
                  <c:v>NPSH(m)</c:v>
                </c:pt>
              </c:strCache>
            </c:strRef>
          </c:tx>
          <c:layout>
            <c:manualLayout>
              <c:xMode val="edge"/>
              <c:yMode val="edge"/>
              <c:x val="0.94828363211772215"/>
              <c:y val="0.33832450772255374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#,##0.0" sourceLinked="0"/>
        <c:majorTickMark val="out"/>
        <c:minorTickMark val="none"/>
        <c:tickLblPos val="nextTo"/>
        <c:crossAx val="277657056"/>
        <c:crosses val="max"/>
        <c:crossBetween val="midCat"/>
      </c:valAx>
      <c:valAx>
        <c:axId val="27765705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77659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para o gráfico'!$C$2</c:f>
              <c:strCache>
                <c:ptCount val="1"/>
                <c:pt idx="0">
                  <c:v>d2: 209 mm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2D-407B-B6ED-483A221CD6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gráfico'!$B$7:$B$16</c:f>
              <c:numCache>
                <c:formatCode>0.0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8.6</c:v>
                </c:pt>
              </c:numCache>
            </c:numRef>
          </c:xVal>
          <c:yVal>
            <c:numRef>
              <c:f>'Dados para o gráfico'!$C$7:$C$16</c:f>
              <c:numCache>
                <c:formatCode>0.0</c:formatCode>
                <c:ptCount val="10"/>
                <c:pt idx="0">
                  <c:v>23.8</c:v>
                </c:pt>
                <c:pt idx="1">
                  <c:v>23.8</c:v>
                </c:pt>
                <c:pt idx="2">
                  <c:v>23.7</c:v>
                </c:pt>
                <c:pt idx="3">
                  <c:v>23.5</c:v>
                </c:pt>
                <c:pt idx="4">
                  <c:v>23.2</c:v>
                </c:pt>
                <c:pt idx="5">
                  <c:v>22.7</c:v>
                </c:pt>
                <c:pt idx="6">
                  <c:v>22.1</c:v>
                </c:pt>
                <c:pt idx="7">
                  <c:v>21.2</c:v>
                </c:pt>
                <c:pt idx="8">
                  <c:v>20</c:v>
                </c:pt>
                <c:pt idx="9">
                  <c:v>19.2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2D-407B-B6ED-483A221CD69D}"/>
            </c:ext>
          </c:extLst>
        </c:ser>
        <c:ser>
          <c:idx val="11"/>
          <c:order val="2"/>
          <c:tx>
            <c:strRef>
              <c:f>'Dados para o gráfico'!$R$2</c:f>
              <c:strCache>
                <c:ptCount val="1"/>
                <c:pt idx="0">
                  <c:v>33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999999999999186E-3"/>
                  <c:y val="-2.65113084377491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2D-407B-B6ED-483A221CD69D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gráfico'!$Q$5:$Q$6</c:f>
              <c:numCache>
                <c:formatCode>0.00</c:formatCode>
                <c:ptCount val="2"/>
                <c:pt idx="0">
                  <c:v>5.75</c:v>
                </c:pt>
                <c:pt idx="1">
                  <c:v>5.65</c:v>
                </c:pt>
              </c:numCache>
            </c:numRef>
          </c:xVal>
          <c:yVal>
            <c:numRef>
              <c:f>'Dados para o gráfico'!$R$5:$R$6</c:f>
              <c:numCache>
                <c:formatCode>0.00</c:formatCode>
                <c:ptCount val="2"/>
                <c:pt idx="0">
                  <c:v>23</c:v>
                </c:pt>
                <c:pt idx="1">
                  <c:v>21.2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2D-407B-B6ED-483A221CD69D}"/>
            </c:ext>
          </c:extLst>
        </c:ser>
        <c:ser>
          <c:idx val="1"/>
          <c:order val="3"/>
          <c:tx>
            <c:strRef>
              <c:f>'Dados para o gráfico'!$L$2</c:f>
              <c:strCache>
                <c:ptCount val="1"/>
                <c:pt idx="0">
                  <c:v>18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2D-407B-B6ED-483A221CD6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gráfico'!$K$5:$K$6</c:f>
              <c:numCache>
                <c:formatCode>0.00</c:formatCode>
                <c:ptCount val="2"/>
                <c:pt idx="0">
                  <c:v>2.4500000000000002</c:v>
                </c:pt>
                <c:pt idx="1">
                  <c:v>2.35</c:v>
                </c:pt>
              </c:numCache>
            </c:numRef>
          </c:xVal>
          <c:yVal>
            <c:numRef>
              <c:f>'Dados para o gráfico'!$L$5:$L$6</c:f>
              <c:numCache>
                <c:formatCode>0.00</c:formatCode>
                <c:ptCount val="2"/>
                <c:pt idx="0">
                  <c:v>24.2</c:v>
                </c:pt>
                <c:pt idx="1">
                  <c:v>22.8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D2D-407B-B6ED-483A221CD69D}"/>
            </c:ext>
          </c:extLst>
        </c:ser>
        <c:ser>
          <c:idx val="3"/>
          <c:order val="4"/>
          <c:tx>
            <c:strRef>
              <c:f>'Dados para o gráfico'!$N$2</c:f>
              <c:strCache>
                <c:ptCount val="1"/>
                <c:pt idx="0">
                  <c:v>23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2D-407B-B6ED-483A221CD6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gráfico'!$M$5:$M$6</c:f>
              <c:numCache>
                <c:formatCode>0.00</c:formatCode>
                <c:ptCount val="2"/>
                <c:pt idx="0">
                  <c:v>3.35</c:v>
                </c:pt>
                <c:pt idx="1">
                  <c:v>3.25</c:v>
                </c:pt>
              </c:numCache>
            </c:numRef>
          </c:xVal>
          <c:yVal>
            <c:numRef>
              <c:f>'Dados para o gráfico'!$N$5:$N$6</c:f>
              <c:numCache>
                <c:formatCode>0.00</c:formatCode>
                <c:ptCount val="2"/>
                <c:pt idx="0">
                  <c:v>24</c:v>
                </c:pt>
                <c:pt idx="1">
                  <c:v>22.5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D2D-407B-B6ED-483A221CD69D}"/>
            </c:ext>
          </c:extLst>
        </c:ser>
        <c:ser>
          <c:idx val="5"/>
          <c:order val="5"/>
          <c:tx>
            <c:strRef>
              <c:f>'Dados para o gráfico'!$P$2</c:f>
              <c:strCache>
                <c:ptCount val="1"/>
                <c:pt idx="0">
                  <c:v>28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2D-407B-B6ED-483A221CD6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gráfico'!$O$5:$O$6</c:f>
              <c:numCache>
                <c:formatCode>0.00</c:formatCode>
                <c:ptCount val="2"/>
                <c:pt idx="0">
                  <c:v>4.3499999999999996</c:v>
                </c:pt>
                <c:pt idx="1">
                  <c:v>4.25</c:v>
                </c:pt>
              </c:numCache>
            </c:numRef>
          </c:xVal>
          <c:yVal>
            <c:numRef>
              <c:f>'Dados para o gráfico'!$P$5:$P$6</c:f>
              <c:numCache>
                <c:formatCode>0.00</c:formatCode>
                <c:ptCount val="2"/>
                <c:pt idx="0">
                  <c:v>23.5</c:v>
                </c:pt>
                <c:pt idx="1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D2D-407B-B6ED-483A221CD69D}"/>
            </c:ext>
          </c:extLst>
        </c:ser>
        <c:ser>
          <c:idx val="6"/>
          <c:order val="6"/>
          <c:tx>
            <c:strRef>
              <c:f>'Dados para o gráfico'!$T$2</c:f>
              <c:strCache>
                <c:ptCount val="1"/>
                <c:pt idx="0">
                  <c:v>38%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2D-407B-B6ED-483A221CD6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gráfico'!$S$5:$S$6</c:f>
              <c:numCache>
                <c:formatCode>0.00</c:formatCode>
                <c:ptCount val="2"/>
                <c:pt idx="0">
                  <c:v>8.0500000000000007</c:v>
                </c:pt>
                <c:pt idx="1">
                  <c:v>7.95</c:v>
                </c:pt>
              </c:numCache>
            </c:numRef>
          </c:xVal>
          <c:yVal>
            <c:numRef>
              <c:f>'Dados para o gráfico'!$T$5:$T$6</c:f>
              <c:numCache>
                <c:formatCode>0.00</c:formatCode>
                <c:ptCount val="2"/>
                <c:pt idx="0">
                  <c:v>20.8</c:v>
                </c:pt>
                <c:pt idx="1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D2D-407B-B6ED-483A221CD69D}"/>
            </c:ext>
          </c:extLst>
        </c:ser>
        <c:ser>
          <c:idx val="8"/>
          <c:order val="7"/>
          <c:tx>
            <c:strRef>
              <c:f>'Dados para o gráfico'!$J$2</c:f>
              <c:strCache>
                <c:ptCount val="1"/>
                <c:pt idx="0">
                  <c:v>13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2D-407B-B6ED-483A221CD6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gráfico'!$I$5:$I$6</c:f>
              <c:numCache>
                <c:formatCode>0.00</c:formatCode>
                <c:ptCount val="2"/>
                <c:pt idx="0">
                  <c:v>1.8</c:v>
                </c:pt>
                <c:pt idx="1">
                  <c:v>1.7</c:v>
                </c:pt>
              </c:numCache>
            </c:numRef>
          </c:xVal>
          <c:yVal>
            <c:numRef>
              <c:f>'Dados para o gráfico'!$J$5:$J$6</c:f>
              <c:numCache>
                <c:formatCode>0.00</c:formatCode>
                <c:ptCount val="2"/>
                <c:pt idx="0">
                  <c:v>24.5</c:v>
                </c:pt>
                <c:pt idx="1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D2D-407B-B6ED-483A221CD69D}"/>
            </c:ext>
          </c:extLst>
        </c:ser>
        <c:ser>
          <c:idx val="2"/>
          <c:order val="8"/>
          <c:tx>
            <c:v>HB</c:v>
          </c:tx>
          <c:marker>
            <c:symbol val="none"/>
          </c:marker>
          <c:xVal>
            <c:numRef>
              <c:f>'Questão 2'!$N$9:$N$14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</c:numCache>
            </c:numRef>
          </c:xVal>
          <c:yVal>
            <c:numRef>
              <c:f>'Questão 2'!$Q$9:$Q$14</c:f>
              <c:numCache>
                <c:formatCode>0.0</c:formatCode>
                <c:ptCount val="6"/>
                <c:pt idx="0">
                  <c:v>15</c:v>
                </c:pt>
                <c:pt idx="1">
                  <c:v>15.225535469693334</c:v>
                </c:pt>
                <c:pt idx="2">
                  <c:v>15.902141878773335</c:v>
                </c:pt>
                <c:pt idx="3">
                  <c:v>18.608567515093345</c:v>
                </c:pt>
                <c:pt idx="4">
                  <c:v>23.119276908960025</c:v>
                </c:pt>
                <c:pt idx="5">
                  <c:v>29.434270060373372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D2D-407B-B6ED-483A221CD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56664"/>
        <c:axId val="277661368"/>
      </c:scatterChart>
      <c:scatterChart>
        <c:scatterStyle val="smoothMarker"/>
        <c:varyColors val="0"/>
        <c:ser>
          <c:idx val="4"/>
          <c:order val="1"/>
          <c:tx>
            <c:strRef>
              <c:f>'Dados para o gráfico'!$D$5</c:f>
              <c:strCache>
                <c:ptCount val="1"/>
                <c:pt idx="0">
                  <c:v>Q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'Dados para o gráfico'!$D$10:$D$16</c:f>
              <c:numCache>
                <c:formatCode>0.0</c:formatCode>
                <c:ptCount val="7"/>
                <c:pt idx="0">
                  <c:v>2.75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8.6</c:v>
                </c:pt>
              </c:numCache>
            </c:numRef>
          </c:xVal>
          <c:yVal>
            <c:numRef>
              <c:f>'Dados para o gráfico'!$E$10:$E$16</c:f>
              <c:numCache>
                <c:formatCode>0.00</c:formatCode>
                <c:ptCount val="7"/>
                <c:pt idx="0">
                  <c:v>0.4</c:v>
                </c:pt>
                <c:pt idx="1">
                  <c:v>0.55000000000000004</c:v>
                </c:pt>
                <c:pt idx="2">
                  <c:v>0.73</c:v>
                </c:pt>
                <c:pt idx="3">
                  <c:v>0.95</c:v>
                </c:pt>
                <c:pt idx="4">
                  <c:v>1.2</c:v>
                </c:pt>
                <c:pt idx="5">
                  <c:v>1.5</c:v>
                </c:pt>
                <c:pt idx="6">
                  <c:v>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D2D-407B-B6ED-483A221CD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57056"/>
        <c:axId val="277659016"/>
      </c:scatterChart>
      <c:valAx>
        <c:axId val="27765666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Q(m</a:t>
                </a:r>
                <a:r>
                  <a:rPr lang="en-US" sz="1200" baseline="30000"/>
                  <a:t>3</a:t>
                </a:r>
                <a:r>
                  <a:rPr lang="en-US" sz="1200"/>
                  <a:t>/h)</a:t>
                </a:r>
              </a:p>
            </c:rich>
          </c:tx>
          <c:layout>
            <c:manualLayout>
              <c:xMode val="edge"/>
              <c:yMode val="edge"/>
              <c:x val="0.42652495348372821"/>
              <c:y val="0.92006043656761005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277661368"/>
        <c:crosses val="autoZero"/>
        <c:crossBetween val="midCat"/>
      </c:valAx>
      <c:valAx>
        <c:axId val="277661368"/>
        <c:scaling>
          <c:orientation val="minMax"/>
          <c:max val="30"/>
        </c:scaling>
        <c:delete val="0"/>
        <c:axPos val="l"/>
        <c:majorGridlines/>
        <c:minorGridlines/>
        <c:title>
          <c:tx>
            <c:strRef>
              <c:f>'Dados para o gráfico'!$E$1</c:f>
              <c:strCache>
                <c:ptCount val="1"/>
                <c:pt idx="0">
                  <c:v>H(m)</c:v>
                </c:pt>
              </c:strCache>
            </c:strRef>
          </c:tx>
          <c:layout>
            <c:manualLayout>
              <c:xMode val="edge"/>
              <c:yMode val="edge"/>
              <c:x val="8.4000379296866861E-3"/>
              <c:y val="0.3758581709295058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0.0" sourceLinked="0"/>
        <c:majorTickMark val="out"/>
        <c:minorTickMark val="in"/>
        <c:tickLblPos val="nextTo"/>
        <c:crossAx val="277656664"/>
        <c:crosses val="autoZero"/>
        <c:crossBetween val="midCat"/>
      </c:valAx>
      <c:valAx>
        <c:axId val="277659016"/>
        <c:scaling>
          <c:orientation val="minMax"/>
          <c:max val="6"/>
        </c:scaling>
        <c:delete val="0"/>
        <c:axPos val="r"/>
        <c:title>
          <c:tx>
            <c:strRef>
              <c:f>'Dados para o gráfico'!$E$2</c:f>
              <c:strCache>
                <c:ptCount val="1"/>
                <c:pt idx="0">
                  <c:v>NPSH(m)</c:v>
                </c:pt>
              </c:strCache>
            </c:strRef>
          </c:tx>
          <c:layout>
            <c:manualLayout>
              <c:xMode val="edge"/>
              <c:yMode val="edge"/>
              <c:x val="0.94828363211772215"/>
              <c:y val="0.33832450772255374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#,##0.0" sourceLinked="0"/>
        <c:majorTickMark val="out"/>
        <c:minorTickMark val="none"/>
        <c:tickLblPos val="nextTo"/>
        <c:crossAx val="277657056"/>
        <c:crosses val="max"/>
        <c:crossBetween val="midCat"/>
      </c:valAx>
      <c:valAx>
        <c:axId val="27765705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77659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para o gráfico'!$C$2</c:f>
              <c:strCache>
                <c:ptCount val="1"/>
                <c:pt idx="0">
                  <c:v>d2: 209 mm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9F-4C4C-8068-65DA191CFC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gráfico'!$B$7:$B$16</c:f>
              <c:numCache>
                <c:formatCode>0.0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8.6</c:v>
                </c:pt>
              </c:numCache>
            </c:numRef>
          </c:xVal>
          <c:yVal>
            <c:numRef>
              <c:f>'Dados para o gráfico'!$C$7:$C$16</c:f>
              <c:numCache>
                <c:formatCode>0.0</c:formatCode>
                <c:ptCount val="10"/>
                <c:pt idx="0">
                  <c:v>23.8</c:v>
                </c:pt>
                <c:pt idx="1">
                  <c:v>23.8</c:v>
                </c:pt>
                <c:pt idx="2">
                  <c:v>23.7</c:v>
                </c:pt>
                <c:pt idx="3">
                  <c:v>23.5</c:v>
                </c:pt>
                <c:pt idx="4">
                  <c:v>23.2</c:v>
                </c:pt>
                <c:pt idx="5">
                  <c:v>22.7</c:v>
                </c:pt>
                <c:pt idx="6">
                  <c:v>22.1</c:v>
                </c:pt>
                <c:pt idx="7">
                  <c:v>21.2</c:v>
                </c:pt>
                <c:pt idx="8">
                  <c:v>20</c:v>
                </c:pt>
                <c:pt idx="9">
                  <c:v>19.2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9F-4C4C-8068-65DA191CFCC5}"/>
            </c:ext>
          </c:extLst>
        </c:ser>
        <c:ser>
          <c:idx val="11"/>
          <c:order val="2"/>
          <c:tx>
            <c:strRef>
              <c:f>'Dados para o gráfico'!$R$2</c:f>
              <c:strCache>
                <c:ptCount val="1"/>
                <c:pt idx="0">
                  <c:v>33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999999999999186E-3"/>
                  <c:y val="-2.65113084377491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F-4C4C-8068-65DA191CFCC5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gráfico'!$Q$5:$Q$6</c:f>
              <c:numCache>
                <c:formatCode>0.00</c:formatCode>
                <c:ptCount val="2"/>
                <c:pt idx="0">
                  <c:v>5.75</c:v>
                </c:pt>
                <c:pt idx="1">
                  <c:v>5.65</c:v>
                </c:pt>
              </c:numCache>
            </c:numRef>
          </c:xVal>
          <c:yVal>
            <c:numRef>
              <c:f>'Dados para o gráfico'!$R$5:$R$6</c:f>
              <c:numCache>
                <c:formatCode>0.00</c:formatCode>
                <c:ptCount val="2"/>
                <c:pt idx="0">
                  <c:v>23</c:v>
                </c:pt>
                <c:pt idx="1">
                  <c:v>21.2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9F-4C4C-8068-65DA191CFCC5}"/>
            </c:ext>
          </c:extLst>
        </c:ser>
        <c:ser>
          <c:idx val="1"/>
          <c:order val="3"/>
          <c:tx>
            <c:strRef>
              <c:f>'Dados para o gráfico'!$L$2</c:f>
              <c:strCache>
                <c:ptCount val="1"/>
                <c:pt idx="0">
                  <c:v>18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9F-4C4C-8068-65DA191CFC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gráfico'!$K$5:$K$6</c:f>
              <c:numCache>
                <c:formatCode>0.00</c:formatCode>
                <c:ptCount val="2"/>
                <c:pt idx="0">
                  <c:v>2.4500000000000002</c:v>
                </c:pt>
                <c:pt idx="1">
                  <c:v>2.35</c:v>
                </c:pt>
              </c:numCache>
            </c:numRef>
          </c:xVal>
          <c:yVal>
            <c:numRef>
              <c:f>'Dados para o gráfico'!$L$5:$L$6</c:f>
              <c:numCache>
                <c:formatCode>0.00</c:formatCode>
                <c:ptCount val="2"/>
                <c:pt idx="0">
                  <c:v>24.2</c:v>
                </c:pt>
                <c:pt idx="1">
                  <c:v>22.8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69F-4C4C-8068-65DA191CFCC5}"/>
            </c:ext>
          </c:extLst>
        </c:ser>
        <c:ser>
          <c:idx val="3"/>
          <c:order val="4"/>
          <c:tx>
            <c:strRef>
              <c:f>'Dados para o gráfico'!$N$2</c:f>
              <c:strCache>
                <c:ptCount val="1"/>
                <c:pt idx="0">
                  <c:v>23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9F-4C4C-8068-65DA191CFC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gráfico'!$M$5:$M$6</c:f>
              <c:numCache>
                <c:formatCode>0.00</c:formatCode>
                <c:ptCount val="2"/>
                <c:pt idx="0">
                  <c:v>3.35</c:v>
                </c:pt>
                <c:pt idx="1">
                  <c:v>3.25</c:v>
                </c:pt>
              </c:numCache>
            </c:numRef>
          </c:xVal>
          <c:yVal>
            <c:numRef>
              <c:f>'Dados para o gráfico'!$N$5:$N$6</c:f>
              <c:numCache>
                <c:formatCode>0.00</c:formatCode>
                <c:ptCount val="2"/>
                <c:pt idx="0">
                  <c:v>24</c:v>
                </c:pt>
                <c:pt idx="1">
                  <c:v>22.5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69F-4C4C-8068-65DA191CFCC5}"/>
            </c:ext>
          </c:extLst>
        </c:ser>
        <c:ser>
          <c:idx val="5"/>
          <c:order val="5"/>
          <c:tx>
            <c:strRef>
              <c:f>'Dados para o gráfico'!$P$2</c:f>
              <c:strCache>
                <c:ptCount val="1"/>
                <c:pt idx="0">
                  <c:v>28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9F-4C4C-8068-65DA191CFC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gráfico'!$O$5:$O$6</c:f>
              <c:numCache>
                <c:formatCode>0.00</c:formatCode>
                <c:ptCount val="2"/>
                <c:pt idx="0">
                  <c:v>4.3499999999999996</c:v>
                </c:pt>
                <c:pt idx="1">
                  <c:v>4.25</c:v>
                </c:pt>
              </c:numCache>
            </c:numRef>
          </c:xVal>
          <c:yVal>
            <c:numRef>
              <c:f>'Dados para o gráfico'!$P$5:$P$6</c:f>
              <c:numCache>
                <c:formatCode>0.00</c:formatCode>
                <c:ptCount val="2"/>
                <c:pt idx="0">
                  <c:v>23.5</c:v>
                </c:pt>
                <c:pt idx="1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69F-4C4C-8068-65DA191CFCC5}"/>
            </c:ext>
          </c:extLst>
        </c:ser>
        <c:ser>
          <c:idx val="6"/>
          <c:order val="6"/>
          <c:tx>
            <c:strRef>
              <c:f>'Dados para o gráfico'!$T$2</c:f>
              <c:strCache>
                <c:ptCount val="1"/>
                <c:pt idx="0">
                  <c:v>38%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9F-4C4C-8068-65DA191CFC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gráfico'!$S$5:$S$6</c:f>
              <c:numCache>
                <c:formatCode>0.00</c:formatCode>
                <c:ptCount val="2"/>
                <c:pt idx="0">
                  <c:v>8.0500000000000007</c:v>
                </c:pt>
                <c:pt idx="1">
                  <c:v>7.95</c:v>
                </c:pt>
              </c:numCache>
            </c:numRef>
          </c:xVal>
          <c:yVal>
            <c:numRef>
              <c:f>'Dados para o gráfico'!$T$5:$T$6</c:f>
              <c:numCache>
                <c:formatCode>0.00</c:formatCode>
                <c:ptCount val="2"/>
                <c:pt idx="0">
                  <c:v>20.8</c:v>
                </c:pt>
                <c:pt idx="1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69F-4C4C-8068-65DA191CFCC5}"/>
            </c:ext>
          </c:extLst>
        </c:ser>
        <c:ser>
          <c:idx val="8"/>
          <c:order val="7"/>
          <c:tx>
            <c:strRef>
              <c:f>'Dados para o gráfico'!$J$2</c:f>
              <c:strCache>
                <c:ptCount val="1"/>
                <c:pt idx="0">
                  <c:v>13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9F-4C4C-8068-65DA191CFC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gráfico'!$I$5:$I$6</c:f>
              <c:numCache>
                <c:formatCode>0.00</c:formatCode>
                <c:ptCount val="2"/>
                <c:pt idx="0">
                  <c:v>1.8</c:v>
                </c:pt>
                <c:pt idx="1">
                  <c:v>1.7</c:v>
                </c:pt>
              </c:numCache>
            </c:numRef>
          </c:xVal>
          <c:yVal>
            <c:numRef>
              <c:f>'Dados para o gráfico'!$J$5:$J$6</c:f>
              <c:numCache>
                <c:formatCode>0.00</c:formatCode>
                <c:ptCount val="2"/>
                <c:pt idx="0">
                  <c:v>24.5</c:v>
                </c:pt>
                <c:pt idx="1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69F-4C4C-8068-65DA191CFCC5}"/>
            </c:ext>
          </c:extLst>
        </c:ser>
        <c:ser>
          <c:idx val="2"/>
          <c:order val="8"/>
          <c:tx>
            <c:v>HB</c:v>
          </c:tx>
          <c:marker>
            <c:symbol val="none"/>
          </c:marker>
          <c:xVal>
            <c:numRef>
              <c:f>'Questão 2'!$N$9:$N$14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</c:numCache>
            </c:numRef>
          </c:xVal>
          <c:yVal>
            <c:numRef>
              <c:f>'Questão 2'!$Q$9:$Q$14</c:f>
              <c:numCache>
                <c:formatCode>0.0</c:formatCode>
                <c:ptCount val="6"/>
                <c:pt idx="0">
                  <c:v>15</c:v>
                </c:pt>
                <c:pt idx="1">
                  <c:v>15.225535469693334</c:v>
                </c:pt>
                <c:pt idx="2">
                  <c:v>15.902141878773335</c:v>
                </c:pt>
                <c:pt idx="3">
                  <c:v>18.608567515093345</c:v>
                </c:pt>
                <c:pt idx="4">
                  <c:v>23.119276908960025</c:v>
                </c:pt>
                <c:pt idx="5">
                  <c:v>29.434270060373372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69F-4C4C-8068-65DA191CFCC5}"/>
            </c:ext>
          </c:extLst>
        </c:ser>
        <c:ser>
          <c:idx val="7"/>
          <c:order val="9"/>
          <c:tx>
            <c:v>Hnew</c:v>
          </c:tx>
          <c:marker>
            <c:symbol val="none"/>
          </c:marker>
          <c:xVal>
            <c:numRef>
              <c:f>'Questão 2'!$AH$36:$AH$45</c:f>
              <c:numCache>
                <c:formatCode>0.0</c:formatCode>
                <c:ptCount val="10"/>
                <c:pt idx="0">
                  <c:v>0</c:v>
                </c:pt>
                <c:pt idx="1">
                  <c:v>0.95428571428571429</c:v>
                </c:pt>
                <c:pt idx="2">
                  <c:v>1.9085714285714286</c:v>
                </c:pt>
                <c:pt idx="3">
                  <c:v>2.862857142857143</c:v>
                </c:pt>
                <c:pt idx="4">
                  <c:v>3.8171428571428572</c:v>
                </c:pt>
                <c:pt idx="5">
                  <c:v>4.7714285714285714</c:v>
                </c:pt>
                <c:pt idx="6">
                  <c:v>5.725714285714286</c:v>
                </c:pt>
                <c:pt idx="7">
                  <c:v>6.68</c:v>
                </c:pt>
                <c:pt idx="8">
                  <c:v>7.6342857142857143</c:v>
                </c:pt>
                <c:pt idx="9">
                  <c:v>8.2068571428571424</c:v>
                </c:pt>
              </c:numCache>
            </c:numRef>
          </c:xVal>
          <c:yVal>
            <c:numRef>
              <c:f>'Questão 2'!$AI$36:$AI$45</c:f>
              <c:numCache>
                <c:formatCode>0.0</c:formatCode>
                <c:ptCount val="10"/>
                <c:pt idx="0">
                  <c:v>21.673737142857142</c:v>
                </c:pt>
                <c:pt idx="1">
                  <c:v>21.673737142857142</c:v>
                </c:pt>
                <c:pt idx="2">
                  <c:v>21.582671020408164</c:v>
                </c:pt>
                <c:pt idx="3">
                  <c:v>21.400538775510203</c:v>
                </c:pt>
                <c:pt idx="4">
                  <c:v>21.127340408163263</c:v>
                </c:pt>
                <c:pt idx="5">
                  <c:v>20.672009795918367</c:v>
                </c:pt>
                <c:pt idx="6">
                  <c:v>20.125613061224492</c:v>
                </c:pt>
                <c:pt idx="7">
                  <c:v>19.306017959183674</c:v>
                </c:pt>
                <c:pt idx="8">
                  <c:v>18.21322448979592</c:v>
                </c:pt>
                <c:pt idx="9">
                  <c:v>17.48469551020408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69F-4C4C-8068-65DA191CFCC5}"/>
            </c:ext>
          </c:extLst>
        </c:ser>
        <c:ser>
          <c:idx val="9"/>
          <c:order val="10"/>
          <c:tx>
            <c:v>Rend</c:v>
          </c:tx>
          <c:marker>
            <c:symbol val="none"/>
          </c:marker>
          <c:xVal>
            <c:numRef>
              <c:f>'Questão 2'!$AH$36:$AH$42</c:f>
              <c:numCache>
                <c:formatCode>0.0</c:formatCode>
                <c:ptCount val="7"/>
                <c:pt idx="0">
                  <c:v>0</c:v>
                </c:pt>
                <c:pt idx="1">
                  <c:v>0.95428571428571429</c:v>
                </c:pt>
                <c:pt idx="2">
                  <c:v>1.9085714285714286</c:v>
                </c:pt>
                <c:pt idx="3">
                  <c:v>2.862857142857143</c:v>
                </c:pt>
                <c:pt idx="4">
                  <c:v>3.8171428571428572</c:v>
                </c:pt>
                <c:pt idx="5">
                  <c:v>4.7714285714285714</c:v>
                </c:pt>
                <c:pt idx="6">
                  <c:v>5.725714285714286</c:v>
                </c:pt>
              </c:numCache>
            </c:numRef>
          </c:xVal>
          <c:yVal>
            <c:numRef>
              <c:f>'Questão 2'!$AM$36:$AM$42</c:f>
              <c:numCache>
                <c:formatCode>0.0</c:formatCode>
                <c:ptCount val="7"/>
                <c:pt idx="0">
                  <c:v>0</c:v>
                </c:pt>
                <c:pt idx="1">
                  <c:v>0.74674220408163261</c:v>
                </c:pt>
                <c:pt idx="2">
                  <c:v>2.9869688163265304</c:v>
                </c:pt>
                <c:pt idx="3">
                  <c:v>6.7206798367346936</c:v>
                </c:pt>
                <c:pt idx="4">
                  <c:v>11.947875265306122</c:v>
                </c:pt>
                <c:pt idx="5">
                  <c:v>18.668555102040813</c:v>
                </c:pt>
                <c:pt idx="6">
                  <c:v>26.882719346938774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69F-4C4C-8068-65DA191CF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56664"/>
        <c:axId val="277661368"/>
      </c:scatterChart>
      <c:scatterChart>
        <c:scatterStyle val="smoothMarker"/>
        <c:varyColors val="0"/>
        <c:ser>
          <c:idx val="4"/>
          <c:order val="1"/>
          <c:tx>
            <c:strRef>
              <c:f>'Dados para o gráfico'!$D$5</c:f>
              <c:strCache>
                <c:ptCount val="1"/>
                <c:pt idx="0">
                  <c:v>Q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'Dados para o gráfico'!$D$10:$D$16</c:f>
              <c:numCache>
                <c:formatCode>0.0</c:formatCode>
                <c:ptCount val="7"/>
                <c:pt idx="0">
                  <c:v>2.75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8.6</c:v>
                </c:pt>
              </c:numCache>
            </c:numRef>
          </c:xVal>
          <c:yVal>
            <c:numRef>
              <c:f>'Dados para o gráfico'!$E$10:$E$16</c:f>
              <c:numCache>
                <c:formatCode>0.00</c:formatCode>
                <c:ptCount val="7"/>
                <c:pt idx="0">
                  <c:v>0.4</c:v>
                </c:pt>
                <c:pt idx="1">
                  <c:v>0.55000000000000004</c:v>
                </c:pt>
                <c:pt idx="2">
                  <c:v>0.73</c:v>
                </c:pt>
                <c:pt idx="3">
                  <c:v>0.95</c:v>
                </c:pt>
                <c:pt idx="4">
                  <c:v>1.2</c:v>
                </c:pt>
                <c:pt idx="5">
                  <c:v>1.5</c:v>
                </c:pt>
                <c:pt idx="6">
                  <c:v>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69F-4C4C-8068-65DA191CF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57056"/>
        <c:axId val="277659016"/>
      </c:scatterChart>
      <c:valAx>
        <c:axId val="27765666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Q(m</a:t>
                </a:r>
                <a:r>
                  <a:rPr lang="en-US" sz="1200" baseline="30000"/>
                  <a:t>3</a:t>
                </a:r>
                <a:r>
                  <a:rPr lang="en-US" sz="1200"/>
                  <a:t>/h)</a:t>
                </a:r>
              </a:p>
            </c:rich>
          </c:tx>
          <c:layout>
            <c:manualLayout>
              <c:xMode val="edge"/>
              <c:yMode val="edge"/>
              <c:x val="0.42652495348372821"/>
              <c:y val="0.92006043656761005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277661368"/>
        <c:crosses val="autoZero"/>
        <c:crossBetween val="midCat"/>
      </c:valAx>
      <c:valAx>
        <c:axId val="277661368"/>
        <c:scaling>
          <c:orientation val="minMax"/>
          <c:max val="30"/>
        </c:scaling>
        <c:delete val="0"/>
        <c:axPos val="l"/>
        <c:majorGridlines/>
        <c:minorGridlines/>
        <c:title>
          <c:tx>
            <c:strRef>
              <c:f>'Dados para o gráfico'!$E$1</c:f>
              <c:strCache>
                <c:ptCount val="1"/>
                <c:pt idx="0">
                  <c:v>H(m)</c:v>
                </c:pt>
              </c:strCache>
            </c:strRef>
          </c:tx>
          <c:layout>
            <c:manualLayout>
              <c:xMode val="edge"/>
              <c:yMode val="edge"/>
              <c:x val="8.4000379296866861E-3"/>
              <c:y val="0.3758581709295058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0.0" sourceLinked="0"/>
        <c:majorTickMark val="out"/>
        <c:minorTickMark val="in"/>
        <c:tickLblPos val="nextTo"/>
        <c:crossAx val="277656664"/>
        <c:crosses val="autoZero"/>
        <c:crossBetween val="midCat"/>
      </c:valAx>
      <c:valAx>
        <c:axId val="277659016"/>
        <c:scaling>
          <c:orientation val="minMax"/>
          <c:max val="6"/>
        </c:scaling>
        <c:delete val="0"/>
        <c:axPos val="r"/>
        <c:title>
          <c:tx>
            <c:strRef>
              <c:f>'Dados para o gráfico'!$E$2</c:f>
              <c:strCache>
                <c:ptCount val="1"/>
                <c:pt idx="0">
                  <c:v>NPSH(m)</c:v>
                </c:pt>
              </c:strCache>
            </c:strRef>
          </c:tx>
          <c:layout>
            <c:manualLayout>
              <c:xMode val="edge"/>
              <c:yMode val="edge"/>
              <c:x val="0.94828363211772215"/>
              <c:y val="0.33832450772255374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#,##0.0" sourceLinked="0"/>
        <c:majorTickMark val="out"/>
        <c:minorTickMark val="none"/>
        <c:tickLblPos val="nextTo"/>
        <c:crossAx val="277657056"/>
        <c:crosses val="max"/>
        <c:crossBetween val="midCat"/>
      </c:valAx>
      <c:valAx>
        <c:axId val="27765705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77659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para o gráfico'!$C$2</c:f>
              <c:strCache>
                <c:ptCount val="1"/>
                <c:pt idx="0">
                  <c:v>d2: 209 mm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3E-4B24-B88E-E3379A86E2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gráfico'!$B$7:$B$16</c:f>
              <c:numCache>
                <c:formatCode>0.0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8.6</c:v>
                </c:pt>
              </c:numCache>
            </c:numRef>
          </c:xVal>
          <c:yVal>
            <c:numRef>
              <c:f>'Dados para o gráfico'!$C$7:$C$16</c:f>
              <c:numCache>
                <c:formatCode>0.0</c:formatCode>
                <c:ptCount val="10"/>
                <c:pt idx="0">
                  <c:v>23.8</c:v>
                </c:pt>
                <c:pt idx="1">
                  <c:v>23.8</c:v>
                </c:pt>
                <c:pt idx="2">
                  <c:v>23.7</c:v>
                </c:pt>
                <c:pt idx="3">
                  <c:v>23.5</c:v>
                </c:pt>
                <c:pt idx="4">
                  <c:v>23.2</c:v>
                </c:pt>
                <c:pt idx="5">
                  <c:v>22.7</c:v>
                </c:pt>
                <c:pt idx="6">
                  <c:v>22.1</c:v>
                </c:pt>
                <c:pt idx="7">
                  <c:v>21.2</c:v>
                </c:pt>
                <c:pt idx="8">
                  <c:v>20</c:v>
                </c:pt>
                <c:pt idx="9">
                  <c:v>19.2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3E-4B24-B88E-E3379A86E2D3}"/>
            </c:ext>
          </c:extLst>
        </c:ser>
        <c:ser>
          <c:idx val="11"/>
          <c:order val="2"/>
          <c:tx>
            <c:strRef>
              <c:f>'Dados para o gráfico'!$R$2</c:f>
              <c:strCache>
                <c:ptCount val="1"/>
                <c:pt idx="0">
                  <c:v>33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999999999999186E-3"/>
                  <c:y val="-2.65113084377491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3E-4B24-B88E-E3379A86E2D3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gráfico'!$Q$5:$Q$6</c:f>
              <c:numCache>
                <c:formatCode>0.00</c:formatCode>
                <c:ptCount val="2"/>
                <c:pt idx="0">
                  <c:v>5.75</c:v>
                </c:pt>
                <c:pt idx="1">
                  <c:v>5.65</c:v>
                </c:pt>
              </c:numCache>
            </c:numRef>
          </c:xVal>
          <c:yVal>
            <c:numRef>
              <c:f>'Dados para o gráfico'!$R$5:$R$6</c:f>
              <c:numCache>
                <c:formatCode>0.00</c:formatCode>
                <c:ptCount val="2"/>
                <c:pt idx="0">
                  <c:v>23</c:v>
                </c:pt>
                <c:pt idx="1">
                  <c:v>21.2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3E-4B24-B88E-E3379A86E2D3}"/>
            </c:ext>
          </c:extLst>
        </c:ser>
        <c:ser>
          <c:idx val="1"/>
          <c:order val="3"/>
          <c:tx>
            <c:strRef>
              <c:f>'Dados para o gráfico'!$L$2</c:f>
              <c:strCache>
                <c:ptCount val="1"/>
                <c:pt idx="0">
                  <c:v>18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3E-4B24-B88E-E3379A86E2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gráfico'!$K$5:$K$6</c:f>
              <c:numCache>
                <c:formatCode>0.00</c:formatCode>
                <c:ptCount val="2"/>
                <c:pt idx="0">
                  <c:v>2.4500000000000002</c:v>
                </c:pt>
                <c:pt idx="1">
                  <c:v>2.35</c:v>
                </c:pt>
              </c:numCache>
            </c:numRef>
          </c:xVal>
          <c:yVal>
            <c:numRef>
              <c:f>'Dados para o gráfico'!$L$5:$L$6</c:f>
              <c:numCache>
                <c:formatCode>0.00</c:formatCode>
                <c:ptCount val="2"/>
                <c:pt idx="0">
                  <c:v>24.2</c:v>
                </c:pt>
                <c:pt idx="1">
                  <c:v>22.8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43E-4B24-B88E-E3379A86E2D3}"/>
            </c:ext>
          </c:extLst>
        </c:ser>
        <c:ser>
          <c:idx val="3"/>
          <c:order val="4"/>
          <c:tx>
            <c:strRef>
              <c:f>'Dados para o gráfico'!$N$2</c:f>
              <c:strCache>
                <c:ptCount val="1"/>
                <c:pt idx="0">
                  <c:v>23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3E-4B24-B88E-E3379A86E2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gráfico'!$M$5:$M$6</c:f>
              <c:numCache>
                <c:formatCode>0.00</c:formatCode>
                <c:ptCount val="2"/>
                <c:pt idx="0">
                  <c:v>3.35</c:v>
                </c:pt>
                <c:pt idx="1">
                  <c:v>3.25</c:v>
                </c:pt>
              </c:numCache>
            </c:numRef>
          </c:xVal>
          <c:yVal>
            <c:numRef>
              <c:f>'Dados para o gráfico'!$N$5:$N$6</c:f>
              <c:numCache>
                <c:formatCode>0.00</c:formatCode>
                <c:ptCount val="2"/>
                <c:pt idx="0">
                  <c:v>24</c:v>
                </c:pt>
                <c:pt idx="1">
                  <c:v>22.5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43E-4B24-B88E-E3379A86E2D3}"/>
            </c:ext>
          </c:extLst>
        </c:ser>
        <c:ser>
          <c:idx val="5"/>
          <c:order val="5"/>
          <c:tx>
            <c:strRef>
              <c:f>'Dados para o gráfico'!$P$2</c:f>
              <c:strCache>
                <c:ptCount val="1"/>
                <c:pt idx="0">
                  <c:v>28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3E-4B24-B88E-E3379A86E2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gráfico'!$O$5:$O$6</c:f>
              <c:numCache>
                <c:formatCode>0.00</c:formatCode>
                <c:ptCount val="2"/>
                <c:pt idx="0">
                  <c:v>4.3499999999999996</c:v>
                </c:pt>
                <c:pt idx="1">
                  <c:v>4.25</c:v>
                </c:pt>
              </c:numCache>
            </c:numRef>
          </c:xVal>
          <c:yVal>
            <c:numRef>
              <c:f>'Dados para o gráfico'!$P$5:$P$6</c:f>
              <c:numCache>
                <c:formatCode>0.00</c:formatCode>
                <c:ptCount val="2"/>
                <c:pt idx="0">
                  <c:v>23.5</c:v>
                </c:pt>
                <c:pt idx="1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43E-4B24-B88E-E3379A86E2D3}"/>
            </c:ext>
          </c:extLst>
        </c:ser>
        <c:ser>
          <c:idx val="6"/>
          <c:order val="6"/>
          <c:tx>
            <c:strRef>
              <c:f>'Dados para o gráfico'!$T$2</c:f>
              <c:strCache>
                <c:ptCount val="1"/>
                <c:pt idx="0">
                  <c:v>38%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3E-4B24-B88E-E3379A86E2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gráfico'!$S$5:$S$6</c:f>
              <c:numCache>
                <c:formatCode>0.00</c:formatCode>
                <c:ptCount val="2"/>
                <c:pt idx="0">
                  <c:v>8.0500000000000007</c:v>
                </c:pt>
                <c:pt idx="1">
                  <c:v>7.95</c:v>
                </c:pt>
              </c:numCache>
            </c:numRef>
          </c:xVal>
          <c:yVal>
            <c:numRef>
              <c:f>'Dados para o gráfico'!$T$5:$T$6</c:f>
              <c:numCache>
                <c:formatCode>0.00</c:formatCode>
                <c:ptCount val="2"/>
                <c:pt idx="0">
                  <c:v>20.8</c:v>
                </c:pt>
                <c:pt idx="1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43E-4B24-B88E-E3379A86E2D3}"/>
            </c:ext>
          </c:extLst>
        </c:ser>
        <c:ser>
          <c:idx val="8"/>
          <c:order val="7"/>
          <c:tx>
            <c:strRef>
              <c:f>'Dados para o gráfico'!$J$2</c:f>
              <c:strCache>
                <c:ptCount val="1"/>
                <c:pt idx="0">
                  <c:v>13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3E-4B24-B88E-E3379A86E2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gráfico'!$I$5:$I$6</c:f>
              <c:numCache>
                <c:formatCode>0.00</c:formatCode>
                <c:ptCount val="2"/>
                <c:pt idx="0">
                  <c:v>1.8</c:v>
                </c:pt>
                <c:pt idx="1">
                  <c:v>1.7</c:v>
                </c:pt>
              </c:numCache>
            </c:numRef>
          </c:xVal>
          <c:yVal>
            <c:numRef>
              <c:f>'Dados para o gráfico'!$J$5:$J$6</c:f>
              <c:numCache>
                <c:formatCode>0.00</c:formatCode>
                <c:ptCount val="2"/>
                <c:pt idx="0">
                  <c:v>24.5</c:v>
                </c:pt>
                <c:pt idx="1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43E-4B24-B88E-E3379A86E2D3}"/>
            </c:ext>
          </c:extLst>
        </c:ser>
        <c:ser>
          <c:idx val="7"/>
          <c:order val="8"/>
          <c:tx>
            <c:strRef>
              <c:f>'3500 rpm'!#REF!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'3500 rpm'!#REF!</c:f>
            </c:numRef>
          </c:xVal>
          <c:yVal>
            <c:numRef>
              <c:f>'3500 rpm'!#REF!</c:f>
              <c:numCache>
                <c:formatCode>ge\r\a\l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43E-4B24-B88E-E3379A86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56664"/>
        <c:axId val="277661368"/>
      </c:scatterChart>
      <c:scatterChart>
        <c:scatterStyle val="smoothMarker"/>
        <c:varyColors val="0"/>
        <c:ser>
          <c:idx val="4"/>
          <c:order val="1"/>
          <c:tx>
            <c:strRef>
              <c:f>'Dados para o gráfico'!$D$5</c:f>
              <c:strCache>
                <c:ptCount val="1"/>
                <c:pt idx="0">
                  <c:v>Q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'Dados para o gráfico'!$D$10:$D$16</c:f>
              <c:numCache>
                <c:formatCode>0.0</c:formatCode>
                <c:ptCount val="7"/>
                <c:pt idx="0">
                  <c:v>2.75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8.6</c:v>
                </c:pt>
              </c:numCache>
            </c:numRef>
          </c:xVal>
          <c:yVal>
            <c:numRef>
              <c:f>'Dados para o gráfico'!$E$10:$E$16</c:f>
              <c:numCache>
                <c:formatCode>0.00</c:formatCode>
                <c:ptCount val="7"/>
                <c:pt idx="0">
                  <c:v>0.4</c:v>
                </c:pt>
                <c:pt idx="1">
                  <c:v>0.55000000000000004</c:v>
                </c:pt>
                <c:pt idx="2">
                  <c:v>0.73</c:v>
                </c:pt>
                <c:pt idx="3">
                  <c:v>0.95</c:v>
                </c:pt>
                <c:pt idx="4">
                  <c:v>1.2</c:v>
                </c:pt>
                <c:pt idx="5">
                  <c:v>1.5</c:v>
                </c:pt>
                <c:pt idx="6">
                  <c:v>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43E-4B24-B88E-E3379A86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57056"/>
        <c:axId val="277659016"/>
      </c:scatterChart>
      <c:valAx>
        <c:axId val="27765666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Q(m</a:t>
                </a:r>
                <a:r>
                  <a:rPr lang="en-US" sz="1200" baseline="30000"/>
                  <a:t>3</a:t>
                </a:r>
                <a:r>
                  <a:rPr lang="en-US" sz="1200"/>
                  <a:t>/h)</a:t>
                </a:r>
              </a:p>
            </c:rich>
          </c:tx>
          <c:layout>
            <c:manualLayout>
              <c:xMode val="edge"/>
              <c:yMode val="edge"/>
              <c:x val="0.42652495348372821"/>
              <c:y val="0.92006043656761005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277661368"/>
        <c:crosses val="autoZero"/>
        <c:crossBetween val="midCat"/>
      </c:valAx>
      <c:valAx>
        <c:axId val="277661368"/>
        <c:scaling>
          <c:orientation val="minMax"/>
          <c:max val="30"/>
        </c:scaling>
        <c:delete val="0"/>
        <c:axPos val="l"/>
        <c:majorGridlines/>
        <c:minorGridlines/>
        <c:title>
          <c:tx>
            <c:strRef>
              <c:f>'Dados para o gráfico'!$E$1</c:f>
              <c:strCache>
                <c:ptCount val="1"/>
                <c:pt idx="0">
                  <c:v>H(m)</c:v>
                </c:pt>
              </c:strCache>
            </c:strRef>
          </c:tx>
          <c:layout>
            <c:manualLayout>
              <c:xMode val="edge"/>
              <c:yMode val="edge"/>
              <c:x val="8.4000379296866861E-3"/>
              <c:y val="0.3758581709295058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0.0" sourceLinked="0"/>
        <c:majorTickMark val="out"/>
        <c:minorTickMark val="in"/>
        <c:tickLblPos val="nextTo"/>
        <c:crossAx val="277656664"/>
        <c:crosses val="autoZero"/>
        <c:crossBetween val="midCat"/>
      </c:valAx>
      <c:valAx>
        <c:axId val="277659016"/>
        <c:scaling>
          <c:orientation val="minMax"/>
          <c:max val="6"/>
        </c:scaling>
        <c:delete val="0"/>
        <c:axPos val="r"/>
        <c:title>
          <c:tx>
            <c:strRef>
              <c:f>'Dados para o gráfico'!$E$2</c:f>
              <c:strCache>
                <c:ptCount val="1"/>
                <c:pt idx="0">
                  <c:v>NPSH(m)</c:v>
                </c:pt>
              </c:strCache>
            </c:strRef>
          </c:tx>
          <c:layout>
            <c:manualLayout>
              <c:xMode val="edge"/>
              <c:yMode val="edge"/>
              <c:x val="0.94828363211772215"/>
              <c:y val="0.33832450772255374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#,##0.0" sourceLinked="0"/>
        <c:majorTickMark val="out"/>
        <c:minorTickMark val="none"/>
        <c:tickLblPos val="nextTo"/>
        <c:crossAx val="277657056"/>
        <c:crosses val="max"/>
        <c:crossBetween val="midCat"/>
      </c:valAx>
      <c:valAx>
        <c:axId val="27765705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77659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53341</xdr:colOff>
      <xdr:row>19</xdr:row>
      <xdr:rowOff>158115</xdr:rowOff>
    </xdr:from>
    <xdr:to>
      <xdr:col>11</xdr:col>
      <xdr:colOff>211456</xdr:colOff>
      <xdr:row>23</xdr:row>
      <xdr:rowOff>56647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Objeto 1">
              <a:extLst>
                <a:ext uri="{FF2B5EF4-FFF2-40B4-BE49-F238E27FC236}">
                  <a16:creationId xmlns:a16="http://schemas.microsoft.com/office/drawing/2014/main" id="{9607957A-9154-457F-AF72-1184BDC2E4B3}"/>
                </a:ext>
              </a:extLst>
            </xdr:cNvPr>
            <xdr:cNvSpPr txBox="1"/>
          </xdr:nvSpPr>
          <xdr:spPr bwMode="auto">
            <a:xfrm>
              <a:off x="3777616" y="3777615"/>
              <a:ext cx="2196465" cy="641482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sub>
                    </m:sSub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𝑔</m:t>
                        </m:r>
                      </m:sub>
                    </m:sSub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8</m:t>
                        </m:r>
                      </m:num>
                      <m:den>
                        <m:sSup>
                          <m:sSupPr>
                            <m:ctrlP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𝜋</m:t>
                            </m:r>
                          </m:e>
                          <m:sup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𝑓</m:t>
                        </m:r>
                      </m:num>
                      <m:den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𝑔</m:t>
                        </m:r>
                      </m:den>
                    </m:f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sSup>
                          <m:sSupPr>
                            <m:ctrlP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p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5</m:t>
                            </m:r>
                          </m:sup>
                        </m:sSup>
                      </m:den>
                    </m:f>
                    <m:sSup>
                      <m:sSup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p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pt-BR" sz="1600" b="0"/>
            </a:p>
          </xdr:txBody>
        </xdr:sp>
      </mc:Choice>
      <mc:Fallback xmlns="">
        <xdr:sp macro="" textlink="">
          <xdr:nvSpPr>
            <xdr:cNvPr id="14" name="Objeto 1">
              <a:extLst>
                <a:ext uri="{FF2B5EF4-FFF2-40B4-BE49-F238E27FC236}">
                  <a16:creationId xmlns:a16="http://schemas.microsoft.com/office/drawing/2014/main" id="{9607957A-9154-457F-AF72-1184BDC2E4B3}"/>
                </a:ext>
              </a:extLst>
            </xdr:cNvPr>
            <xdr:cNvSpPr txBox="1"/>
          </xdr:nvSpPr>
          <xdr:spPr bwMode="auto">
            <a:xfrm>
              <a:off x="3777616" y="3777615"/>
              <a:ext cx="2196465" cy="641482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𝐻_𝐵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=𝐻_𝑔+8/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𝜋^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2   𝑓/𝑔  𝐿/𝐷^5  𝑄^2</a:t>
              </a:r>
              <a:endParaRPr lang="pt-BR" sz="1600" b="0"/>
            </a:p>
          </xdr:txBody>
        </xdr:sp>
      </mc:Fallback>
    </mc:AlternateContent>
    <xdr:clientData/>
  </xdr:twoCellAnchor>
  <xdr:twoCellAnchor>
    <xdr:from>
      <xdr:col>7</xdr:col>
      <xdr:colOff>104775</xdr:colOff>
      <xdr:row>13</xdr:row>
      <xdr:rowOff>66675</xdr:rowOff>
    </xdr:from>
    <xdr:to>
      <xdr:col>9</xdr:col>
      <xdr:colOff>292865</xdr:colOff>
      <xdr:row>16</xdr:row>
      <xdr:rowOff>123607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Objeto 1">
              <a:extLst>
                <a:ext uri="{FF2B5EF4-FFF2-40B4-BE49-F238E27FC236}">
                  <a16:creationId xmlns:a16="http://schemas.microsoft.com/office/drawing/2014/main" id="{723D6F37-9DFB-4B9E-AF19-9BDBAA3744D8}"/>
                </a:ext>
              </a:extLst>
            </xdr:cNvPr>
            <xdr:cNvSpPr txBox="1"/>
          </xdr:nvSpPr>
          <xdr:spPr bwMode="auto">
            <a:xfrm>
              <a:off x="3829050" y="2533650"/>
              <a:ext cx="1312040" cy="657007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𝑓</m:t>
                    </m:r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𝐷</m:t>
                        </m:r>
                      </m:den>
                    </m:f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p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𝑔</m:t>
                        </m:r>
                      </m:den>
                    </m:f>
                  </m:oMath>
                </m:oMathPara>
              </a14:m>
              <a:endParaRPr lang="pt-BR" sz="1600" b="0"/>
            </a:p>
          </xdr:txBody>
        </xdr:sp>
      </mc:Choice>
      <mc:Fallback xmlns="">
        <xdr:sp macro="" textlink="">
          <xdr:nvSpPr>
            <xdr:cNvPr id="15" name="Objeto 1">
              <a:extLst>
                <a:ext uri="{FF2B5EF4-FFF2-40B4-BE49-F238E27FC236}">
                  <a16:creationId xmlns:a16="http://schemas.microsoft.com/office/drawing/2014/main" id="{723D6F37-9DFB-4B9E-AF19-9BDBAA3744D8}"/>
                </a:ext>
              </a:extLst>
            </xdr:cNvPr>
            <xdr:cNvSpPr txBox="1"/>
          </xdr:nvSpPr>
          <xdr:spPr bwMode="auto">
            <a:xfrm>
              <a:off x="3829050" y="2533650"/>
              <a:ext cx="1312040" cy="657007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∆ℎ〗_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𝑡=𝑓 𝐿/𝐷  𝑉^2/2𝑔</a:t>
              </a:r>
              <a:endParaRPr lang="pt-BR" sz="1600" b="0"/>
            </a:p>
          </xdr:txBody>
        </xdr:sp>
      </mc:Fallback>
    </mc:AlternateContent>
    <xdr:clientData/>
  </xdr:twoCellAnchor>
  <xdr:twoCellAnchor>
    <xdr:from>
      <xdr:col>7</xdr:col>
      <xdr:colOff>102870</xdr:colOff>
      <xdr:row>16</xdr:row>
      <xdr:rowOff>104775</xdr:rowOff>
    </xdr:from>
    <xdr:to>
      <xdr:col>10</xdr:col>
      <xdr:colOff>171148</xdr:colOff>
      <xdr:row>19</xdr:row>
      <xdr:rowOff>172852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Objeto 1">
              <a:extLst>
                <a:ext uri="{FF2B5EF4-FFF2-40B4-BE49-F238E27FC236}">
                  <a16:creationId xmlns:a16="http://schemas.microsoft.com/office/drawing/2014/main" id="{2382420E-9678-4020-86CB-4EF6AE89B611}"/>
                </a:ext>
              </a:extLst>
            </xdr:cNvPr>
            <xdr:cNvSpPr txBox="1"/>
          </xdr:nvSpPr>
          <xdr:spPr bwMode="auto">
            <a:xfrm>
              <a:off x="3827145" y="3181350"/>
              <a:ext cx="1668478" cy="611002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8</m:t>
                        </m:r>
                      </m:num>
                      <m:den>
                        <m:sSup>
                          <m:sSupPr>
                            <m:ctrlP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𝜋</m:t>
                            </m:r>
                          </m:e>
                          <m:sup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𝑓</m:t>
                        </m:r>
                      </m:num>
                      <m:den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𝑔</m:t>
                        </m:r>
                      </m:den>
                    </m:f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sSup>
                          <m:sSupPr>
                            <m:ctrlP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p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5</m:t>
                            </m:r>
                          </m:sup>
                        </m:sSup>
                      </m:den>
                    </m:f>
                    <m:sSup>
                      <m:sSup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p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pt-BR" sz="1600" b="0"/>
            </a:p>
          </xdr:txBody>
        </xdr:sp>
      </mc:Choice>
      <mc:Fallback xmlns="">
        <xdr:sp macro="" textlink="">
          <xdr:nvSpPr>
            <xdr:cNvPr id="16" name="Objeto 1">
              <a:extLst>
                <a:ext uri="{FF2B5EF4-FFF2-40B4-BE49-F238E27FC236}">
                  <a16:creationId xmlns:a16="http://schemas.microsoft.com/office/drawing/2014/main" id="{2382420E-9678-4020-86CB-4EF6AE89B611}"/>
                </a:ext>
              </a:extLst>
            </xdr:cNvPr>
            <xdr:cNvSpPr txBox="1"/>
          </xdr:nvSpPr>
          <xdr:spPr bwMode="auto">
            <a:xfrm>
              <a:off x="3827145" y="3181350"/>
              <a:ext cx="1668478" cy="611002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∆ℎ〗_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𝑡=8/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𝜋^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2   𝑓/𝑔  𝐿/𝐷^5  𝑄^2</a:t>
              </a:r>
              <a:endParaRPr lang="pt-BR" sz="1600" b="0"/>
            </a:p>
          </xdr:txBody>
        </xdr:sp>
      </mc:Fallback>
    </mc:AlternateContent>
    <xdr:clientData/>
  </xdr:twoCellAnchor>
  <xdr:twoCellAnchor>
    <xdr:from>
      <xdr:col>7</xdr:col>
      <xdr:colOff>19050</xdr:colOff>
      <xdr:row>23</xdr:row>
      <xdr:rowOff>72390</xdr:rowOff>
    </xdr:from>
    <xdr:to>
      <xdr:col>19</xdr:col>
      <xdr:colOff>380655</xdr:colOff>
      <xdr:row>42</xdr:row>
      <xdr:rowOff>28149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02F5B8D4-FDE1-9759-914F-0716FDEE73F7}"/>
            </a:ext>
          </a:extLst>
        </xdr:cNvPr>
        <xdr:cNvGrpSpPr/>
      </xdr:nvGrpSpPr>
      <xdr:grpSpPr>
        <a:xfrm>
          <a:off x="3739515" y="4482465"/>
          <a:ext cx="6032790" cy="3582879"/>
          <a:chOff x="3742414" y="4470455"/>
          <a:chExt cx="6030719" cy="3568882"/>
        </a:xfrm>
      </xdr:grpSpPr>
      <xdr:graphicFrame macro="">
        <xdr:nvGraphicFramePr>
          <xdr:cNvPr id="17" name="Gráfico 16">
            <a:extLst>
              <a:ext uri="{FF2B5EF4-FFF2-40B4-BE49-F238E27FC236}">
                <a16:creationId xmlns:a16="http://schemas.microsoft.com/office/drawing/2014/main" id="{43884232-C645-4BDA-A4ED-D340E1BA4CCE}"/>
              </a:ext>
            </a:extLst>
          </xdr:cNvPr>
          <xdr:cNvGraphicFramePr>
            <a:graphicFrameLocks/>
          </xdr:cNvGraphicFramePr>
        </xdr:nvGraphicFramePr>
        <xdr:xfrm>
          <a:off x="3742414" y="4470455"/>
          <a:ext cx="6030719" cy="35688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7" name="Elipse 36">
            <a:extLst>
              <a:ext uri="{FF2B5EF4-FFF2-40B4-BE49-F238E27FC236}">
                <a16:creationId xmlns:a16="http://schemas.microsoft.com/office/drawing/2014/main" id="{32EF6512-B7F4-76EA-EF15-77CC5135B3CE}"/>
              </a:ext>
            </a:extLst>
          </xdr:cNvPr>
          <xdr:cNvSpPr/>
        </xdr:nvSpPr>
        <xdr:spPr>
          <a:xfrm>
            <a:off x="6979755" y="5173566"/>
            <a:ext cx="262475" cy="28922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19</xdr:col>
      <xdr:colOff>612252</xdr:colOff>
      <xdr:row>9</xdr:row>
      <xdr:rowOff>153478</xdr:rowOff>
    </xdr:from>
    <xdr:to>
      <xdr:col>30</xdr:col>
      <xdr:colOff>404</xdr:colOff>
      <xdr:row>28</xdr:row>
      <xdr:rowOff>96565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D44B3836-3F39-6B71-539D-AF5DFEBE5D5B}"/>
            </a:ext>
          </a:extLst>
        </xdr:cNvPr>
        <xdr:cNvGrpSpPr/>
      </xdr:nvGrpSpPr>
      <xdr:grpSpPr>
        <a:xfrm>
          <a:off x="10003902" y="1887028"/>
          <a:ext cx="6036602" cy="3596877"/>
          <a:chOff x="10026615" y="1928738"/>
          <a:chExt cx="6040833" cy="3564539"/>
        </a:xfrm>
      </xdr:grpSpPr>
      <xdr:grpSp>
        <xdr:nvGrpSpPr>
          <xdr:cNvPr id="25" name="Agrupar 24">
            <a:extLst>
              <a:ext uri="{FF2B5EF4-FFF2-40B4-BE49-F238E27FC236}">
                <a16:creationId xmlns:a16="http://schemas.microsoft.com/office/drawing/2014/main" id="{6727263C-8319-1287-2285-2BEF1CF899F5}"/>
              </a:ext>
            </a:extLst>
          </xdr:cNvPr>
          <xdr:cNvGrpSpPr/>
        </xdr:nvGrpSpPr>
        <xdr:grpSpPr>
          <a:xfrm>
            <a:off x="10026615" y="1928738"/>
            <a:ext cx="6040833" cy="3564539"/>
            <a:chOff x="10037436" y="1905145"/>
            <a:chExt cx="6014200" cy="3483719"/>
          </a:xfrm>
        </xdr:grpSpPr>
        <xdr:graphicFrame macro="">
          <xdr:nvGraphicFramePr>
            <xdr:cNvPr id="19" name="Gráfico 18">
              <a:extLst>
                <a:ext uri="{FF2B5EF4-FFF2-40B4-BE49-F238E27FC236}">
                  <a16:creationId xmlns:a16="http://schemas.microsoft.com/office/drawing/2014/main" id="{B0BE50C3-A5CF-4F58-A88B-BBACBBF78AB9}"/>
                </a:ext>
              </a:extLst>
            </xdr:cNvPr>
            <xdr:cNvGraphicFramePr>
              <a:graphicFrameLocks/>
            </xdr:cNvGraphicFramePr>
          </xdr:nvGraphicFramePr>
          <xdr:xfrm>
            <a:off x="10037436" y="1905145"/>
            <a:ext cx="6014200" cy="348371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cxnSp macro="">
          <xdr:nvCxnSpPr>
            <xdr:cNvPr id="22" name="Conector reto 21">
              <a:extLst>
                <a:ext uri="{FF2B5EF4-FFF2-40B4-BE49-F238E27FC236}">
                  <a16:creationId xmlns:a16="http://schemas.microsoft.com/office/drawing/2014/main" id="{93A4335B-672A-23C3-D5FC-7DBD1A5B62A5}"/>
                </a:ext>
              </a:extLst>
            </xdr:cNvPr>
            <xdr:cNvCxnSpPr/>
          </xdr:nvCxnSpPr>
          <xdr:spPr>
            <a:xfrm>
              <a:off x="13060680" y="2025015"/>
              <a:ext cx="0" cy="2766060"/>
            </a:xfrm>
            <a:prstGeom prst="line">
              <a:avLst/>
            </a:prstGeom>
            <a:ln w="28575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8" name="Elipse 37">
            <a:extLst>
              <a:ext uri="{FF2B5EF4-FFF2-40B4-BE49-F238E27FC236}">
                <a16:creationId xmlns:a16="http://schemas.microsoft.com/office/drawing/2014/main" id="{947DB7F2-8F9D-4997-A175-B213A26F320F}"/>
              </a:ext>
            </a:extLst>
          </xdr:cNvPr>
          <xdr:cNvSpPr/>
        </xdr:nvSpPr>
        <xdr:spPr>
          <a:xfrm>
            <a:off x="12938465" y="2608236"/>
            <a:ext cx="256760" cy="27200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31</xdr:col>
      <xdr:colOff>16694</xdr:colOff>
      <xdr:row>2</xdr:row>
      <xdr:rowOff>163607</xdr:rowOff>
    </xdr:from>
    <xdr:to>
      <xdr:col>41</xdr:col>
      <xdr:colOff>244277</xdr:colOff>
      <xdr:row>20</xdr:row>
      <xdr:rowOff>134381</xdr:rowOff>
    </xdr:to>
    <xdr:grpSp>
      <xdr:nvGrpSpPr>
        <xdr:cNvPr id="40" name="Agrupar 39">
          <a:extLst>
            <a:ext uri="{FF2B5EF4-FFF2-40B4-BE49-F238E27FC236}">
              <a16:creationId xmlns:a16="http://schemas.microsoft.com/office/drawing/2014/main" id="{C511CC9E-9885-5785-037B-403677D50CD8}"/>
            </a:ext>
          </a:extLst>
        </xdr:cNvPr>
        <xdr:cNvGrpSpPr/>
      </xdr:nvGrpSpPr>
      <xdr:grpSpPr>
        <a:xfrm>
          <a:off x="16355879" y="527462"/>
          <a:ext cx="6123558" cy="3470259"/>
          <a:chOff x="16352753" y="550108"/>
          <a:chExt cx="6067863" cy="3453112"/>
        </a:xfrm>
      </xdr:grpSpPr>
      <xdr:graphicFrame macro="">
        <xdr:nvGraphicFramePr>
          <xdr:cNvPr id="26" name="Gráfico 25">
            <a:extLst>
              <a:ext uri="{FF2B5EF4-FFF2-40B4-BE49-F238E27FC236}">
                <a16:creationId xmlns:a16="http://schemas.microsoft.com/office/drawing/2014/main" id="{2645B061-E2D9-4CF7-A01C-305D32723E23}"/>
              </a:ext>
            </a:extLst>
          </xdr:cNvPr>
          <xdr:cNvGraphicFramePr>
            <a:graphicFrameLocks/>
          </xdr:cNvGraphicFramePr>
        </xdr:nvGraphicFramePr>
        <xdr:xfrm>
          <a:off x="16352753" y="550108"/>
          <a:ext cx="6067863" cy="34531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27" name="Conector reto 26">
            <a:extLst>
              <a:ext uri="{FF2B5EF4-FFF2-40B4-BE49-F238E27FC236}">
                <a16:creationId xmlns:a16="http://schemas.microsoft.com/office/drawing/2014/main" id="{34F8B475-880C-4E7C-A8A9-F9FD69C34437}"/>
              </a:ext>
            </a:extLst>
          </xdr:cNvPr>
          <xdr:cNvCxnSpPr/>
        </xdr:nvCxnSpPr>
        <xdr:spPr>
          <a:xfrm>
            <a:off x="19421475" y="668096"/>
            <a:ext cx="0" cy="2761846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 reto 27">
            <a:extLst>
              <a:ext uri="{FF2B5EF4-FFF2-40B4-BE49-F238E27FC236}">
                <a16:creationId xmlns:a16="http://schemas.microsoft.com/office/drawing/2014/main" id="{50C84535-2735-4C77-9B23-751EE236D52B}"/>
              </a:ext>
            </a:extLst>
          </xdr:cNvPr>
          <xdr:cNvCxnSpPr/>
        </xdr:nvCxnSpPr>
        <xdr:spPr>
          <a:xfrm flipH="1">
            <a:off x="19421475" y="1518128"/>
            <a:ext cx="1151067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Elipse 38">
            <a:extLst>
              <a:ext uri="{FF2B5EF4-FFF2-40B4-BE49-F238E27FC236}">
                <a16:creationId xmlns:a16="http://schemas.microsoft.com/office/drawing/2014/main" id="{9BFE5D55-5081-4584-BB49-E6744AD9F752}"/>
              </a:ext>
            </a:extLst>
          </xdr:cNvPr>
          <xdr:cNvSpPr/>
        </xdr:nvSpPr>
        <xdr:spPr>
          <a:xfrm>
            <a:off x="20444538" y="1387005"/>
            <a:ext cx="252122" cy="2706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30</xdr:col>
      <xdr:colOff>287526</xdr:colOff>
      <xdr:row>31</xdr:row>
      <xdr:rowOff>719</xdr:rowOff>
    </xdr:from>
    <xdr:to>
      <xdr:col>41</xdr:col>
      <xdr:colOff>88374</xdr:colOff>
      <xdr:row>49</xdr:row>
      <xdr:rowOff>131738</xdr:rowOff>
    </xdr:to>
    <xdr:grpSp>
      <xdr:nvGrpSpPr>
        <xdr:cNvPr id="49" name="Agrupar 48">
          <a:extLst>
            <a:ext uri="{FF2B5EF4-FFF2-40B4-BE49-F238E27FC236}">
              <a16:creationId xmlns:a16="http://schemas.microsoft.com/office/drawing/2014/main" id="{D1D849E9-BAFE-C352-15BA-A4E96BFE3432}"/>
            </a:ext>
          </a:extLst>
        </xdr:cNvPr>
        <xdr:cNvGrpSpPr/>
      </xdr:nvGrpSpPr>
      <xdr:grpSpPr>
        <a:xfrm>
          <a:off x="16323816" y="5934794"/>
          <a:ext cx="5999718" cy="3506679"/>
          <a:chOff x="16351583" y="5884617"/>
          <a:chExt cx="5983737" cy="3487741"/>
        </a:xfrm>
      </xdr:grpSpPr>
      <xdr:grpSp>
        <xdr:nvGrpSpPr>
          <xdr:cNvPr id="44" name="Agrupar 43">
            <a:extLst>
              <a:ext uri="{FF2B5EF4-FFF2-40B4-BE49-F238E27FC236}">
                <a16:creationId xmlns:a16="http://schemas.microsoft.com/office/drawing/2014/main" id="{34756508-E6D4-D31D-DCCE-25E88DE72984}"/>
              </a:ext>
            </a:extLst>
          </xdr:cNvPr>
          <xdr:cNvGrpSpPr/>
        </xdr:nvGrpSpPr>
        <xdr:grpSpPr>
          <a:xfrm>
            <a:off x="16351583" y="5884617"/>
            <a:ext cx="5983737" cy="3487741"/>
            <a:chOff x="16347476" y="5920063"/>
            <a:chExt cx="6028199" cy="3560573"/>
          </a:xfrm>
        </xdr:grpSpPr>
        <xdr:graphicFrame macro="">
          <xdr:nvGraphicFramePr>
            <xdr:cNvPr id="42" name="Gráfico 41">
              <a:extLst>
                <a:ext uri="{FF2B5EF4-FFF2-40B4-BE49-F238E27FC236}">
                  <a16:creationId xmlns:a16="http://schemas.microsoft.com/office/drawing/2014/main" id="{EC6F8F97-B86A-46BB-9143-75730FB1CDD2}"/>
                </a:ext>
              </a:extLst>
            </xdr:cNvPr>
            <xdr:cNvGraphicFramePr>
              <a:graphicFrameLocks/>
            </xdr:cNvGraphicFramePr>
          </xdr:nvGraphicFramePr>
          <xdr:xfrm>
            <a:off x="16347476" y="5920063"/>
            <a:ext cx="6028199" cy="356057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cxnSp macro="">
          <xdr:nvCxnSpPr>
            <xdr:cNvPr id="43" name="Conector reto 42">
              <a:extLst>
                <a:ext uri="{FF2B5EF4-FFF2-40B4-BE49-F238E27FC236}">
                  <a16:creationId xmlns:a16="http://schemas.microsoft.com/office/drawing/2014/main" id="{0CC22378-A810-4A47-A9A5-AB178E4AD347}"/>
                </a:ext>
              </a:extLst>
            </xdr:cNvPr>
            <xdr:cNvCxnSpPr/>
          </xdr:nvCxnSpPr>
          <xdr:spPr>
            <a:xfrm>
              <a:off x="19390066" y="6033198"/>
              <a:ext cx="0" cy="2849756"/>
            </a:xfrm>
            <a:prstGeom prst="line">
              <a:avLst/>
            </a:prstGeom>
            <a:ln w="28575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6" name="Elipse 45">
            <a:extLst>
              <a:ext uri="{FF2B5EF4-FFF2-40B4-BE49-F238E27FC236}">
                <a16:creationId xmlns:a16="http://schemas.microsoft.com/office/drawing/2014/main" id="{60670EB8-7113-4124-AB4B-1CBE3C399544}"/>
              </a:ext>
            </a:extLst>
          </xdr:cNvPr>
          <xdr:cNvSpPr/>
        </xdr:nvSpPr>
        <xdr:spPr>
          <a:xfrm>
            <a:off x="19247373" y="6753887"/>
            <a:ext cx="251045" cy="268853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549985</xdr:colOff>
      <xdr:row>7</xdr:row>
      <xdr:rowOff>56643</xdr:rowOff>
    </xdr:from>
    <xdr:to>
      <xdr:col>18</xdr:col>
      <xdr:colOff>364416</xdr:colOff>
      <xdr:row>26</xdr:row>
      <xdr:rowOff>84939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70CB4F-160A-488D-9A98-6C7A6DB00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7097-290A-4DEA-BF5B-62DA94B87421}">
  <dimension ref="B2:Q26"/>
  <sheetViews>
    <sheetView tabSelected="1" zoomScaleNormal="100" workbookViewId="0"/>
  </sheetViews>
  <sheetFormatPr defaultRowHeight="14.4"/>
  <cols>
    <col min="1" max="1" width="3.8984375" style="50" customWidth="1"/>
    <col min="2" max="3" width="8.796875" style="50"/>
    <col min="4" max="4" width="9.59765625" style="50" customWidth="1"/>
    <col min="5" max="5" width="4.296875" style="50" customWidth="1"/>
    <col min="6" max="6" width="8.796875" style="50"/>
    <col min="7" max="7" width="7.69921875" style="50" customWidth="1"/>
    <col min="8" max="8" width="7" style="50" customWidth="1"/>
    <col min="9" max="9" width="4.3984375" style="50" customWidth="1"/>
    <col min="10" max="10" width="7" style="50" customWidth="1"/>
    <col min="11" max="11" width="6.796875" style="50" customWidth="1"/>
    <col min="12" max="12" width="5.3984375" style="50" bestFit="1" customWidth="1"/>
    <col min="13" max="13" width="16.09765625" style="50" customWidth="1"/>
    <col min="14" max="14" width="2.796875" style="50" customWidth="1"/>
    <col min="15" max="16384" width="8.796875" style="50"/>
  </cols>
  <sheetData>
    <row r="2" spans="2:17">
      <c r="B2" s="49" t="s">
        <v>65</v>
      </c>
      <c r="F2" s="49" t="s">
        <v>66</v>
      </c>
      <c r="J2" s="49" t="s">
        <v>58</v>
      </c>
      <c r="O2" s="49" t="s">
        <v>69</v>
      </c>
    </row>
    <row r="4" spans="2:17">
      <c r="B4" s="50" t="s">
        <v>21</v>
      </c>
      <c r="F4" s="51" t="s">
        <v>1</v>
      </c>
      <c r="G4" s="52">
        <v>150</v>
      </c>
      <c r="H4" s="50" t="s">
        <v>2</v>
      </c>
      <c r="J4" s="51" t="s">
        <v>6</v>
      </c>
      <c r="K4" s="53">
        <v>0.97</v>
      </c>
      <c r="O4" s="50" t="s">
        <v>68</v>
      </c>
    </row>
    <row r="5" spans="2:17">
      <c r="B5" s="50" t="s">
        <v>22</v>
      </c>
      <c r="J5" s="6" t="s">
        <v>11</v>
      </c>
      <c r="K5" s="54">
        <v>0.90500000000000003</v>
      </c>
      <c r="O5" s="6" t="s">
        <v>11</v>
      </c>
      <c r="P5" s="55">
        <v>0.93030000000000002</v>
      </c>
    </row>
    <row r="6" spans="2:17" ht="16.2">
      <c r="F6" s="51" t="s">
        <v>13</v>
      </c>
      <c r="G6" s="52">
        <v>300</v>
      </c>
      <c r="H6" s="50" t="s">
        <v>14</v>
      </c>
      <c r="J6" s="6" t="s">
        <v>0</v>
      </c>
      <c r="K6" s="53">
        <v>22.5</v>
      </c>
      <c r="L6" s="50" t="s">
        <v>12</v>
      </c>
      <c r="O6" s="51" t="s">
        <v>4</v>
      </c>
      <c r="P6" s="56">
        <f>C8*K11^2*SQRT(G4)</f>
        <v>32.720828315151643</v>
      </c>
      <c r="Q6" s="50" t="s">
        <v>43</v>
      </c>
    </row>
    <row r="7" spans="2:17">
      <c r="B7" s="51" t="s">
        <v>5</v>
      </c>
      <c r="C7" s="57">
        <v>68</v>
      </c>
      <c r="F7" s="51" t="s">
        <v>15</v>
      </c>
      <c r="G7" s="50">
        <f>10.33-0.0012*G6</f>
        <v>9.9700000000000006</v>
      </c>
      <c r="H7" s="50" t="s">
        <v>2</v>
      </c>
      <c r="O7" s="51"/>
    </row>
    <row r="8" spans="2:17">
      <c r="B8" s="51" t="s">
        <v>6</v>
      </c>
      <c r="C8" s="57">
        <v>0.78</v>
      </c>
      <c r="F8" s="51" t="s">
        <v>16</v>
      </c>
      <c r="G8" s="52">
        <v>25</v>
      </c>
      <c r="H8" s="50" t="s">
        <v>17</v>
      </c>
      <c r="J8" s="49" t="s">
        <v>59</v>
      </c>
      <c r="O8" s="51" t="s">
        <v>3</v>
      </c>
      <c r="P8" s="56">
        <f>K17*K18*P6*G4*P5/1000000</f>
        <v>44.658356351138764</v>
      </c>
      <c r="Q8" s="50" t="s">
        <v>28</v>
      </c>
    </row>
    <row r="9" spans="2:17" ht="15.6">
      <c r="B9" s="51" t="s">
        <v>46</v>
      </c>
      <c r="C9" s="58">
        <f>C7*SQRT(C8)</f>
        <v>60.05597389102936</v>
      </c>
      <c r="F9" s="51" t="s">
        <v>18</v>
      </c>
      <c r="G9" s="57">
        <v>0.31659999999999999</v>
      </c>
      <c r="H9" s="50" t="s">
        <v>2</v>
      </c>
    </row>
    <row r="10" spans="2:17">
      <c r="F10" s="63" t="s">
        <v>115</v>
      </c>
      <c r="G10" s="52">
        <v>0</v>
      </c>
      <c r="H10" s="50" t="s">
        <v>2</v>
      </c>
      <c r="J10" s="51" t="s">
        <v>8</v>
      </c>
      <c r="K10" s="52">
        <v>450</v>
      </c>
      <c r="L10" s="50" t="s">
        <v>9</v>
      </c>
    </row>
    <row r="11" spans="2:17">
      <c r="B11" s="50" t="s">
        <v>23</v>
      </c>
      <c r="F11" s="51" t="s">
        <v>20</v>
      </c>
      <c r="G11" s="59">
        <v>11.4</v>
      </c>
      <c r="H11" s="50" t="s">
        <v>2</v>
      </c>
      <c r="I11" s="49"/>
      <c r="J11" s="51" t="s">
        <v>7</v>
      </c>
      <c r="K11" s="58">
        <f>G21*SQRT(G4)/K10</f>
        <v>1.8507255834361791</v>
      </c>
      <c r="L11" s="50" t="s">
        <v>2</v>
      </c>
    </row>
    <row r="12" spans="2:17">
      <c r="B12" s="50" t="s">
        <v>24</v>
      </c>
    </row>
    <row r="13" spans="2:17">
      <c r="B13" s="50" t="s">
        <v>25</v>
      </c>
      <c r="F13" s="51" t="s">
        <v>54</v>
      </c>
      <c r="G13" s="56">
        <f>G7+G11-G9-G10</f>
        <v>21.0534</v>
      </c>
      <c r="H13" s="50" t="s">
        <v>2</v>
      </c>
      <c r="J13" s="50" t="s">
        <v>60</v>
      </c>
    </row>
    <row r="14" spans="2:17">
      <c r="B14" s="50" t="s">
        <v>26</v>
      </c>
      <c r="F14" s="51" t="s">
        <v>19</v>
      </c>
      <c r="G14" s="56">
        <f>G13</f>
        <v>21.0534</v>
      </c>
      <c r="H14" s="50" t="s">
        <v>2</v>
      </c>
    </row>
    <row r="15" spans="2:17">
      <c r="J15" s="49" t="s">
        <v>67</v>
      </c>
    </row>
    <row r="16" spans="2:17">
      <c r="F16" s="6" t="s">
        <v>10</v>
      </c>
      <c r="G16" s="60">
        <f>G14/G4</f>
        <v>0.14035600000000001</v>
      </c>
    </row>
    <row r="17" spans="6:13" ht="16.2">
      <c r="J17" s="6" t="s">
        <v>27</v>
      </c>
      <c r="K17" s="52">
        <v>997</v>
      </c>
      <c r="L17" s="50" t="s">
        <v>53</v>
      </c>
      <c r="M17" s="50" t="s">
        <v>114</v>
      </c>
    </row>
    <row r="18" spans="6:13" ht="16.2">
      <c r="J18" s="51" t="s">
        <v>0</v>
      </c>
      <c r="K18" s="52">
        <v>9.81</v>
      </c>
      <c r="L18" s="50" t="s">
        <v>42</v>
      </c>
    </row>
    <row r="19" spans="6:13" ht="16.2">
      <c r="F19" s="49" t="s">
        <v>55</v>
      </c>
      <c r="J19" s="51" t="s">
        <v>4</v>
      </c>
      <c r="K19" s="58">
        <f>K4*K11^2*SQRT(G4)</f>
        <v>40.691286494483457</v>
      </c>
      <c r="L19" s="50" t="s">
        <v>43</v>
      </c>
    </row>
    <row r="21" spans="6:13">
      <c r="F21" s="51" t="s">
        <v>5</v>
      </c>
      <c r="G21" s="61">
        <v>68</v>
      </c>
      <c r="J21" s="51" t="s">
        <v>3</v>
      </c>
      <c r="K21" s="56">
        <f>K17*K18*K5*G4*K19/1000000</f>
        <v>54.02632473512427</v>
      </c>
      <c r="L21" s="50" t="s">
        <v>28</v>
      </c>
    </row>
    <row r="23" spans="6:13">
      <c r="F23" s="50" t="s">
        <v>57</v>
      </c>
      <c r="J23" s="62" t="s">
        <v>61</v>
      </c>
    </row>
    <row r="24" spans="6:13">
      <c r="F24" s="50" t="s">
        <v>56</v>
      </c>
      <c r="J24" s="62" t="s">
        <v>62</v>
      </c>
    </row>
    <row r="25" spans="6:13">
      <c r="J25" s="50" t="s">
        <v>63</v>
      </c>
    </row>
    <row r="26" spans="6:13">
      <c r="J26" s="50" t="s">
        <v>64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0B4F-29DF-45D6-AA08-6B8E143D86BA}">
  <dimension ref="B1:AN65"/>
  <sheetViews>
    <sheetView zoomScaleNormal="100" workbookViewId="0"/>
  </sheetViews>
  <sheetFormatPr defaultColWidth="8.19921875" defaultRowHeight="14.4"/>
  <cols>
    <col min="1" max="1" width="3.5" style="2" customWidth="1"/>
    <col min="2" max="2" width="5.69921875" style="2" bestFit="1" customWidth="1"/>
    <col min="3" max="3" width="7.69921875" style="2" bestFit="1" customWidth="1"/>
    <col min="4" max="4" width="6.3984375" style="2" customWidth="1"/>
    <col min="5" max="5" width="7.19921875" style="2" customWidth="1"/>
    <col min="6" max="6" width="14.69921875" style="2" customWidth="1"/>
    <col min="7" max="7" width="3.5" style="2" customWidth="1"/>
    <col min="8" max="8" width="6.09765625" style="2" customWidth="1"/>
    <col min="9" max="9" width="8.59765625" style="2" customWidth="1"/>
    <col min="10" max="10" width="6.296875" style="2" customWidth="1"/>
    <col min="11" max="11" width="5.69921875" style="2" bestFit="1" customWidth="1"/>
    <col min="12" max="12" width="4.5" style="2" bestFit="1" customWidth="1"/>
    <col min="13" max="13" width="5.69921875" style="2" bestFit="1" customWidth="1"/>
    <col min="14" max="14" width="6.3984375" style="2" customWidth="1"/>
    <col min="15" max="15" width="7.19921875" style="2" customWidth="1"/>
    <col min="16" max="16" width="4.5" style="2" bestFit="1" customWidth="1"/>
    <col min="17" max="17" width="5.69921875" style="2" bestFit="1" customWidth="1"/>
    <col min="18" max="18" width="5.296875" style="2" customWidth="1"/>
    <col min="19" max="22" width="8.19921875" style="2"/>
    <col min="23" max="23" width="5.69921875" style="2" customWidth="1"/>
    <col min="24" max="24" width="7.19921875" style="2" customWidth="1"/>
    <col min="25" max="30" width="8.19921875" style="2"/>
    <col min="31" max="31" width="3.8984375" style="2" customWidth="1"/>
    <col min="32" max="32" width="8.19921875" style="2"/>
    <col min="33" max="33" width="9" style="2" bestFit="1" customWidth="1"/>
    <col min="34" max="34" width="5.69921875" style="2" customWidth="1"/>
    <col min="35" max="35" width="7" style="2" customWidth="1"/>
    <col min="36" max="36" width="6.09765625" style="2" customWidth="1"/>
    <col min="37" max="16384" width="8.19921875" style="2"/>
  </cols>
  <sheetData>
    <row r="1" spans="2:32">
      <c r="J1" s="3"/>
    </row>
    <row r="2" spans="2:32">
      <c r="B2" s="1" t="s">
        <v>41</v>
      </c>
      <c r="H2" s="1" t="s">
        <v>92</v>
      </c>
      <c r="U2" s="1" t="s">
        <v>44</v>
      </c>
      <c r="AF2" s="1" t="s">
        <v>98</v>
      </c>
    </row>
    <row r="4" spans="2:32">
      <c r="B4" s="27" t="s">
        <v>80</v>
      </c>
      <c r="H4" s="38" t="s">
        <v>34</v>
      </c>
      <c r="I4" s="39">
        <v>0.26</v>
      </c>
      <c r="J4" s="33" t="s">
        <v>35</v>
      </c>
      <c r="K4" s="40"/>
      <c r="L4" s="40"/>
      <c r="N4" s="2" t="s">
        <v>37</v>
      </c>
      <c r="O4" s="66">
        <f>8*I7*I11/(PI()^2*C35*K5^5)</f>
        <v>2922939.6872256082</v>
      </c>
      <c r="P4" s="66"/>
      <c r="U4" s="2" t="s">
        <v>1</v>
      </c>
      <c r="V4" s="13">
        <v>22</v>
      </c>
      <c r="W4" s="3" t="s">
        <v>2</v>
      </c>
      <c r="X4" s="3"/>
      <c r="Y4" s="3"/>
      <c r="Z4" s="3"/>
      <c r="AA4" s="3"/>
      <c r="AB4" s="3"/>
      <c r="AC4" s="3"/>
      <c r="AD4" s="3"/>
      <c r="AE4" s="3"/>
    </row>
    <row r="5" spans="2:32" ht="16.2">
      <c r="B5" s="2" t="s">
        <v>8</v>
      </c>
      <c r="C5" s="7">
        <v>1750</v>
      </c>
      <c r="D5" s="3" t="s">
        <v>9</v>
      </c>
      <c r="H5" s="40" t="s">
        <v>7</v>
      </c>
      <c r="I5" s="39">
        <v>40</v>
      </c>
      <c r="J5" s="33" t="s">
        <v>35</v>
      </c>
      <c r="K5" s="65">
        <f>I5/1000</f>
        <v>0.04</v>
      </c>
      <c r="L5" s="33" t="s">
        <v>2</v>
      </c>
      <c r="U5" s="2" t="s">
        <v>4</v>
      </c>
      <c r="V5" s="13">
        <v>5.7</v>
      </c>
      <c r="W5" s="27" t="s">
        <v>81</v>
      </c>
      <c r="X5" s="8">
        <f>V5/3600</f>
        <v>1.5833333333333333E-3</v>
      </c>
      <c r="Y5" s="27" t="s">
        <v>43</v>
      </c>
      <c r="Z5" s="67" t="s">
        <v>116</v>
      </c>
      <c r="AA5" s="27"/>
      <c r="AB5" s="27"/>
      <c r="AC5" s="27"/>
      <c r="AD5" s="27"/>
      <c r="AE5" s="27"/>
    </row>
    <row r="6" spans="2:32" ht="16.2">
      <c r="B6" s="2" t="s">
        <v>4</v>
      </c>
      <c r="C6" s="13">
        <v>8</v>
      </c>
      <c r="D6" s="27" t="s">
        <v>81</v>
      </c>
      <c r="E6" s="8">
        <f>C6/3600</f>
        <v>2.2222222222222222E-3</v>
      </c>
      <c r="F6" s="27" t="s">
        <v>43</v>
      </c>
      <c r="H6" s="41" t="s">
        <v>93</v>
      </c>
      <c r="I6" s="42">
        <f>I4/I5</f>
        <v>6.5000000000000006E-3</v>
      </c>
      <c r="J6" s="33"/>
      <c r="K6" s="40"/>
      <c r="L6" s="40"/>
      <c r="N6" s="3" t="s">
        <v>39</v>
      </c>
      <c r="U6" s="5" t="s">
        <v>11</v>
      </c>
      <c r="V6" s="17">
        <v>0.33</v>
      </c>
      <c r="W6" s="3"/>
      <c r="X6" s="3"/>
      <c r="Y6" s="3"/>
      <c r="Z6" s="3"/>
      <c r="AA6" s="3"/>
      <c r="AB6" s="3"/>
      <c r="AC6" s="3"/>
      <c r="AD6" s="3"/>
      <c r="AE6" s="3"/>
    </row>
    <row r="7" spans="2:32" ht="15.6">
      <c r="B7" s="2" t="s">
        <v>1</v>
      </c>
      <c r="C7" s="13">
        <v>20</v>
      </c>
      <c r="D7" s="3" t="s">
        <v>2</v>
      </c>
      <c r="H7" s="40" t="s">
        <v>36</v>
      </c>
      <c r="I7" s="43">
        <f>(-2*LOG10(I6/3.7))^-2</f>
        <v>3.2931073735608517E-2</v>
      </c>
      <c r="J7" s="33"/>
      <c r="K7" s="40"/>
      <c r="L7" s="40"/>
      <c r="N7" s="10" t="s">
        <v>4</v>
      </c>
      <c r="O7" s="10" t="s">
        <v>4</v>
      </c>
      <c r="P7" s="12" t="s">
        <v>40</v>
      </c>
      <c r="Q7" s="44" t="s">
        <v>97</v>
      </c>
      <c r="U7" s="2" t="s">
        <v>3</v>
      </c>
      <c r="V7" s="18">
        <f>$C$36*$C$35*X5*V4/V6</f>
        <v>1035.4999999999998</v>
      </c>
      <c r="W7" s="27" t="s">
        <v>89</v>
      </c>
      <c r="X7" s="3"/>
      <c r="Y7" s="3"/>
      <c r="Z7" s="3"/>
      <c r="AA7" s="3"/>
      <c r="AB7" s="3"/>
      <c r="AC7" s="3"/>
      <c r="AD7" s="3"/>
      <c r="AE7" s="3"/>
    </row>
    <row r="8" spans="2:32" ht="16.2">
      <c r="B8" s="2" t="s">
        <v>46</v>
      </c>
      <c r="C8" s="14">
        <f>C5*SQRT(E6)/C7^0.75</f>
        <v>8.7228678904571204</v>
      </c>
      <c r="D8" s="3"/>
      <c r="E8" s="3"/>
      <c r="N8" s="44" t="s">
        <v>95</v>
      </c>
      <c r="O8" s="44" t="s">
        <v>96</v>
      </c>
      <c r="P8" s="10" t="s">
        <v>2</v>
      </c>
      <c r="Q8" s="10" t="s">
        <v>2</v>
      </c>
    </row>
    <row r="9" spans="2:32">
      <c r="C9" s="8"/>
      <c r="D9" s="3"/>
      <c r="H9" s="28" t="s">
        <v>77</v>
      </c>
      <c r="I9" s="7">
        <v>700</v>
      </c>
      <c r="J9" s="28" t="s">
        <v>2</v>
      </c>
      <c r="N9" s="16">
        <v>0</v>
      </c>
      <c r="O9" s="45">
        <f t="shared" ref="O9:O14" si="0">N9/3600</f>
        <v>0</v>
      </c>
      <c r="P9" s="11">
        <f t="shared" ref="P9:P14" si="1">$O$4*O9^2</f>
        <v>0</v>
      </c>
      <c r="Q9" s="11">
        <f t="shared" ref="Q9:Q14" si="2">$I$13+P9</f>
        <v>15</v>
      </c>
      <c r="U9" s="1" t="s">
        <v>45</v>
      </c>
      <c r="V9" s="8"/>
    </row>
    <row r="10" spans="2:32">
      <c r="B10" s="27" t="s">
        <v>83</v>
      </c>
      <c r="H10" s="28" t="s">
        <v>76</v>
      </c>
      <c r="I10" s="7">
        <v>715</v>
      </c>
      <c r="J10" s="28" t="s">
        <v>2</v>
      </c>
      <c r="N10" s="16">
        <v>1</v>
      </c>
      <c r="O10" s="45">
        <f t="shared" si="0"/>
        <v>2.7777777777777778E-4</v>
      </c>
      <c r="P10" s="11">
        <f t="shared" si="1"/>
        <v>0.22553546969333396</v>
      </c>
      <c r="Q10" s="11">
        <f t="shared" si="2"/>
        <v>15.225535469693334</v>
      </c>
      <c r="V10" s="8"/>
      <c r="W10" s="27"/>
      <c r="X10" s="3"/>
      <c r="Y10" s="3"/>
      <c r="Z10" s="3"/>
      <c r="AA10" s="3"/>
      <c r="AB10" s="3"/>
      <c r="AC10" s="3"/>
      <c r="AD10" s="3"/>
      <c r="AE10" s="3"/>
    </row>
    <row r="11" spans="2:32">
      <c r="B11" s="27" t="s">
        <v>82</v>
      </c>
      <c r="H11" s="28" t="s">
        <v>33</v>
      </c>
      <c r="I11" s="7">
        <v>110</v>
      </c>
      <c r="J11" s="28" t="s">
        <v>2</v>
      </c>
      <c r="N11" s="16">
        <v>2</v>
      </c>
      <c r="O11" s="45">
        <f t="shared" si="0"/>
        <v>5.5555555555555556E-4</v>
      </c>
      <c r="P11" s="11">
        <f t="shared" si="1"/>
        <v>0.90214187877333585</v>
      </c>
      <c r="Q11" s="11">
        <f t="shared" si="2"/>
        <v>15.902141878773335</v>
      </c>
      <c r="U11" s="2" t="s">
        <v>37</v>
      </c>
      <c r="V11" s="29">
        <v>4100000</v>
      </c>
    </row>
    <row r="12" spans="2:32" ht="15.6">
      <c r="B12" s="27" t="s">
        <v>110</v>
      </c>
      <c r="N12" s="16">
        <v>4</v>
      </c>
      <c r="O12" s="45">
        <f t="shared" si="0"/>
        <v>1.1111111111111111E-3</v>
      </c>
      <c r="P12" s="11">
        <f t="shared" si="1"/>
        <v>3.6085675150933434</v>
      </c>
      <c r="Q12" s="11">
        <f t="shared" si="2"/>
        <v>18.608567515093345</v>
      </c>
    </row>
    <row r="13" spans="2:32" ht="15.6">
      <c r="B13" s="27" t="s">
        <v>85</v>
      </c>
      <c r="H13" s="28" t="s">
        <v>94</v>
      </c>
      <c r="I13" s="8">
        <f>I10-I9</f>
        <v>15</v>
      </c>
      <c r="J13" s="28" t="s">
        <v>2</v>
      </c>
      <c r="N13" s="16">
        <v>6</v>
      </c>
      <c r="O13" s="45">
        <f t="shared" si="0"/>
        <v>1.6666666666666668E-3</v>
      </c>
      <c r="P13" s="11">
        <f t="shared" si="1"/>
        <v>8.1192769089600247</v>
      </c>
      <c r="Q13" s="11">
        <f t="shared" si="2"/>
        <v>23.119276908960025</v>
      </c>
      <c r="U13" s="27" t="s">
        <v>111</v>
      </c>
    </row>
    <row r="14" spans="2:32" ht="15.6">
      <c r="N14" s="16">
        <v>8</v>
      </c>
      <c r="O14" s="45">
        <f t="shared" si="0"/>
        <v>2.2222222222222222E-3</v>
      </c>
      <c r="P14" s="11">
        <f t="shared" si="1"/>
        <v>14.434270060373374</v>
      </c>
      <c r="Q14" s="11">
        <f t="shared" si="2"/>
        <v>29.434270060373372</v>
      </c>
      <c r="U14" s="10" t="s">
        <v>4</v>
      </c>
      <c r="V14" s="10" t="s">
        <v>4</v>
      </c>
      <c r="W14" s="12" t="s">
        <v>40</v>
      </c>
      <c r="X14" s="44" t="s">
        <v>97</v>
      </c>
    </row>
    <row r="15" spans="2:32" ht="16.2">
      <c r="B15" s="2" t="s">
        <v>84</v>
      </c>
      <c r="C15" s="18">
        <f>2/2.7*C6</f>
        <v>5.9259259259259256</v>
      </c>
      <c r="D15" s="27" t="s">
        <v>81</v>
      </c>
      <c r="E15" s="8"/>
      <c r="U15" s="44" t="s">
        <v>95</v>
      </c>
      <c r="V15" s="44" t="s">
        <v>96</v>
      </c>
      <c r="W15" s="10" t="s">
        <v>2</v>
      </c>
      <c r="X15" s="10" t="s">
        <v>2</v>
      </c>
    </row>
    <row r="16" spans="2:32" ht="16.2">
      <c r="B16" s="2" t="s">
        <v>78</v>
      </c>
      <c r="C16" s="18">
        <f>1.7*C15</f>
        <v>10.074074074074073</v>
      </c>
      <c r="D16" s="27" t="s">
        <v>81</v>
      </c>
      <c r="E16" s="8"/>
      <c r="U16" s="16">
        <v>0</v>
      </c>
      <c r="V16" s="45">
        <f t="shared" ref="V16:V21" si="3">U16/3600</f>
        <v>0</v>
      </c>
      <c r="W16" s="11">
        <f t="shared" ref="W16:W21" si="4">$V$11*V16^2</f>
        <v>0</v>
      </c>
      <c r="X16" s="11">
        <f t="shared" ref="X16:X21" si="5">$I$13+W16</f>
        <v>15</v>
      </c>
    </row>
    <row r="17" spans="2:39">
      <c r="U17" s="16">
        <v>1</v>
      </c>
      <c r="V17" s="45">
        <f t="shared" si="3"/>
        <v>2.7777777777777778E-4</v>
      </c>
      <c r="W17" s="11">
        <f t="shared" si="4"/>
        <v>0.31635802469135804</v>
      </c>
      <c r="X17" s="11">
        <f t="shared" si="5"/>
        <v>15.316358024691358</v>
      </c>
    </row>
    <row r="18" spans="2:39">
      <c r="B18" s="67" t="s">
        <v>117</v>
      </c>
      <c r="U18" s="16">
        <v>2</v>
      </c>
      <c r="V18" s="45">
        <f t="shared" si="3"/>
        <v>5.5555555555555556E-4</v>
      </c>
      <c r="W18" s="11">
        <f t="shared" si="4"/>
        <v>1.2654320987654322</v>
      </c>
      <c r="X18" s="11">
        <f t="shared" si="5"/>
        <v>16.265432098765434</v>
      </c>
    </row>
    <row r="19" spans="2:39" ht="16.2">
      <c r="C19" s="2">
        <v>8.6</v>
      </c>
      <c r="D19" s="27" t="s">
        <v>81</v>
      </c>
      <c r="U19" s="16">
        <v>4</v>
      </c>
      <c r="V19" s="45">
        <f t="shared" si="3"/>
        <v>1.1111111111111111E-3</v>
      </c>
      <c r="W19" s="11">
        <f t="shared" si="4"/>
        <v>5.0617283950617287</v>
      </c>
      <c r="X19" s="11">
        <f t="shared" si="5"/>
        <v>20.061728395061728</v>
      </c>
    </row>
    <row r="20" spans="2:39">
      <c r="U20" s="16">
        <v>6</v>
      </c>
      <c r="V20" s="45">
        <f t="shared" si="3"/>
        <v>1.6666666666666668E-3</v>
      </c>
      <c r="W20" s="11">
        <f t="shared" si="4"/>
        <v>11.388888888888891</v>
      </c>
      <c r="X20" s="11">
        <f t="shared" si="5"/>
        <v>26.388888888888893</v>
      </c>
    </row>
    <row r="21" spans="2:39">
      <c r="B21" s="1" t="s">
        <v>86</v>
      </c>
      <c r="U21" s="16">
        <v>8</v>
      </c>
      <c r="V21" s="45">
        <f t="shared" si="3"/>
        <v>2.2222222222222222E-3</v>
      </c>
      <c r="W21" s="11">
        <f t="shared" si="4"/>
        <v>20.246913580246915</v>
      </c>
      <c r="X21" s="11">
        <f t="shared" si="5"/>
        <v>35.246913580246911</v>
      </c>
    </row>
    <row r="23" spans="2:39">
      <c r="B23" s="2" t="s">
        <v>36</v>
      </c>
      <c r="C23" s="7">
        <v>60</v>
      </c>
      <c r="D23" s="3" t="s">
        <v>47</v>
      </c>
      <c r="AF23" s="2" t="s">
        <v>1</v>
      </c>
      <c r="AG23" s="13">
        <v>20.5</v>
      </c>
      <c r="AH23" s="3" t="s">
        <v>2</v>
      </c>
      <c r="AI23" s="3"/>
      <c r="AJ23" s="3"/>
    </row>
    <row r="24" spans="2:39" ht="16.2">
      <c r="B24" s="2" t="s">
        <v>48</v>
      </c>
      <c r="C24" s="9">
        <f>60*C23/C5</f>
        <v>2.0571428571428569</v>
      </c>
      <c r="D24" s="3"/>
      <c r="AF24" s="2" t="s">
        <v>4</v>
      </c>
      <c r="AG24" s="13">
        <v>7.4</v>
      </c>
      <c r="AH24" s="27" t="s">
        <v>81</v>
      </c>
      <c r="AI24" s="8">
        <f>AG24/3600</f>
        <v>2.0555555555555557E-3</v>
      </c>
      <c r="AJ24" s="27" t="s">
        <v>43</v>
      </c>
    </row>
    <row r="25" spans="2:39">
      <c r="B25" s="2" t="s">
        <v>38</v>
      </c>
      <c r="C25" s="13">
        <v>2</v>
      </c>
      <c r="D25" s="3"/>
      <c r="E25" s="3" t="s">
        <v>49</v>
      </c>
      <c r="AF25" s="5" t="s">
        <v>11</v>
      </c>
      <c r="AG25" s="17">
        <v>0.37</v>
      </c>
      <c r="AH25" s="3"/>
      <c r="AI25" s="3"/>
      <c r="AJ25" s="3"/>
    </row>
    <row r="26" spans="2:39" ht="15.6">
      <c r="B26" s="2" t="s">
        <v>52</v>
      </c>
      <c r="C26" s="8">
        <f>60*C23/C25</f>
        <v>1800</v>
      </c>
      <c r="D26" s="3" t="s">
        <v>9</v>
      </c>
      <c r="E26" s="3" t="s">
        <v>50</v>
      </c>
      <c r="AF26" s="2" t="s">
        <v>3</v>
      </c>
      <c r="AG26" s="18">
        <f>$C$35*$C$36*AI24*AG23/AG25</f>
        <v>1117.2500000000002</v>
      </c>
      <c r="AH26" s="27" t="s">
        <v>89</v>
      </c>
      <c r="AI26" s="3"/>
      <c r="AJ26" s="3"/>
    </row>
    <row r="27" spans="2:39">
      <c r="B27" s="2" t="s">
        <v>34</v>
      </c>
      <c r="C27" s="15">
        <f>1-C5/C26</f>
        <v>2.777777777777779E-2</v>
      </c>
      <c r="E27" s="3" t="s">
        <v>51</v>
      </c>
    </row>
    <row r="28" spans="2:39" ht="16.2">
      <c r="AF28" s="28" t="s">
        <v>99</v>
      </c>
      <c r="AG28" s="8">
        <f>AG24-V32</f>
        <v>2.4000000000000004</v>
      </c>
      <c r="AH28" s="27" t="s">
        <v>81</v>
      </c>
    </row>
    <row r="29" spans="2:39">
      <c r="B29" s="33" t="s">
        <v>87</v>
      </c>
      <c r="C29" s="31"/>
      <c r="D29" s="31"/>
      <c r="E29" s="31"/>
      <c r="F29" s="31"/>
    </row>
    <row r="30" spans="2:39">
      <c r="B30" s="33" t="s">
        <v>88</v>
      </c>
      <c r="C30" s="31"/>
      <c r="D30" s="31"/>
      <c r="E30" s="31"/>
      <c r="F30" s="31"/>
      <c r="AF30" s="1" t="s">
        <v>100</v>
      </c>
    </row>
    <row r="31" spans="2:39">
      <c r="B31" s="31"/>
      <c r="C31" s="31"/>
      <c r="D31" s="31"/>
      <c r="E31" s="31"/>
      <c r="F31" s="31"/>
      <c r="U31" s="2" t="s">
        <v>1</v>
      </c>
      <c r="V31" s="13">
        <v>23</v>
      </c>
      <c r="W31" s="3" t="s">
        <v>2</v>
      </c>
      <c r="X31" s="3"/>
      <c r="Y31" s="3"/>
    </row>
    <row r="32" spans="2:39" ht="16.2">
      <c r="B32" s="30" t="s">
        <v>1</v>
      </c>
      <c r="C32" s="34">
        <v>19.2</v>
      </c>
      <c r="D32" s="31" t="s">
        <v>2</v>
      </c>
      <c r="E32" s="31"/>
      <c r="F32" s="31"/>
      <c r="U32" s="2" t="s">
        <v>4</v>
      </c>
      <c r="V32" s="13">
        <v>5</v>
      </c>
      <c r="W32" s="27" t="s">
        <v>81</v>
      </c>
      <c r="X32" s="8">
        <f>V32/3600</f>
        <v>1.3888888888888889E-3</v>
      </c>
      <c r="Y32" s="27" t="s">
        <v>43</v>
      </c>
      <c r="AF32" s="28" t="s">
        <v>8</v>
      </c>
      <c r="AG32" s="46">
        <v>1670</v>
      </c>
      <c r="AH32" s="28" t="s">
        <v>9</v>
      </c>
      <c r="AI32" s="27" t="s">
        <v>101</v>
      </c>
      <c r="AM32" s="27" t="s">
        <v>104</v>
      </c>
    </row>
    <row r="33" spans="2:40" ht="16.2">
      <c r="B33" s="30" t="s">
        <v>4</v>
      </c>
      <c r="C33" s="34">
        <v>8.6</v>
      </c>
      <c r="D33" s="27" t="s">
        <v>81</v>
      </c>
      <c r="E33" s="35">
        <f>C33/3600</f>
        <v>2.3888888888888887E-3</v>
      </c>
      <c r="F33" s="27" t="s">
        <v>43</v>
      </c>
      <c r="U33" s="5" t="s">
        <v>11</v>
      </c>
      <c r="V33" s="48">
        <v>0.30499999999999999</v>
      </c>
      <c r="W33" s="3"/>
      <c r="X33" s="3"/>
      <c r="Y33" s="3"/>
      <c r="AM33" s="28" t="s">
        <v>102</v>
      </c>
      <c r="AN33" s="2">
        <f>AG23/V32^2</f>
        <v>0.82</v>
      </c>
    </row>
    <row r="34" spans="2:40">
      <c r="B34" s="36" t="s">
        <v>11</v>
      </c>
      <c r="C34" s="64">
        <v>0.36499999999999999</v>
      </c>
      <c r="D34" s="31"/>
      <c r="E34" s="31"/>
      <c r="F34" s="31"/>
      <c r="U34" s="2" t="s">
        <v>3</v>
      </c>
      <c r="V34" s="18">
        <f>$C$36*$C$35*X32*V31/V33</f>
        <v>1027.4590163934427</v>
      </c>
      <c r="W34" s="27" t="s">
        <v>89</v>
      </c>
      <c r="X34" s="3"/>
      <c r="Y34" s="3"/>
      <c r="AF34" s="21" t="s">
        <v>4</v>
      </c>
      <c r="AG34" s="21" t="s">
        <v>1</v>
      </c>
      <c r="AH34" s="21" t="s">
        <v>4</v>
      </c>
      <c r="AI34" s="21" t="s">
        <v>1</v>
      </c>
      <c r="AM34" s="47" t="s">
        <v>103</v>
      </c>
    </row>
    <row r="35" spans="2:40" ht="16.2">
      <c r="B35" s="30" t="s">
        <v>0</v>
      </c>
      <c r="C35" s="37">
        <v>9.81</v>
      </c>
      <c r="D35" s="31" t="s">
        <v>90</v>
      </c>
      <c r="E35" s="31"/>
      <c r="F35" s="31"/>
      <c r="AF35" s="21" t="s">
        <v>75</v>
      </c>
      <c r="AG35" s="21" t="s">
        <v>2</v>
      </c>
      <c r="AH35" s="21" t="s">
        <v>75</v>
      </c>
      <c r="AI35" s="21" t="s">
        <v>2</v>
      </c>
      <c r="AM35" s="47" t="s">
        <v>2</v>
      </c>
    </row>
    <row r="36" spans="2:40" ht="16.2">
      <c r="B36" s="36" t="s">
        <v>27</v>
      </c>
      <c r="C36" s="37">
        <v>1000</v>
      </c>
      <c r="D36" s="31" t="s">
        <v>91</v>
      </c>
      <c r="E36" s="31"/>
      <c r="F36" s="31"/>
      <c r="AF36" s="24">
        <v>0</v>
      </c>
      <c r="AG36" s="24">
        <v>23.8</v>
      </c>
      <c r="AH36" s="24">
        <f>$AG$32/$C$5*AF36</f>
        <v>0</v>
      </c>
      <c r="AI36" s="24">
        <f>($AG$32/$C$5)^2*AG36</f>
        <v>21.673737142857142</v>
      </c>
      <c r="AM36" s="4">
        <f t="shared" ref="AM36:AM42" si="6">$AN$33*AH36^2</f>
        <v>0</v>
      </c>
    </row>
    <row r="37" spans="2:40">
      <c r="B37" s="30"/>
      <c r="C37" s="31"/>
      <c r="D37" s="31"/>
      <c r="E37" s="31"/>
      <c r="F37" s="31"/>
      <c r="AF37" s="24">
        <v>1</v>
      </c>
      <c r="AG37" s="24">
        <v>23.8</v>
      </c>
      <c r="AH37" s="24">
        <f t="shared" ref="AH37:AH45" si="7">$AG$32/$C$5*AF37</f>
        <v>0.95428571428571429</v>
      </c>
      <c r="AI37" s="24">
        <f t="shared" ref="AI37:AI45" si="8">($AG$32/$C$5)^2*AG37</f>
        <v>21.673737142857142</v>
      </c>
      <c r="AM37" s="4">
        <f t="shared" si="6"/>
        <v>0.74674220408163261</v>
      </c>
    </row>
    <row r="38" spans="2:40">
      <c r="B38" s="30" t="s">
        <v>3</v>
      </c>
      <c r="C38" s="32">
        <f>$C$36*$C$35*E33*C32/C34</f>
        <v>1232.7452054794519</v>
      </c>
      <c r="D38" s="31" t="s">
        <v>89</v>
      </c>
      <c r="E38" s="31"/>
      <c r="F38" s="31"/>
      <c r="AF38" s="24">
        <v>2</v>
      </c>
      <c r="AG38" s="24">
        <v>23.7</v>
      </c>
      <c r="AH38" s="24">
        <f t="shared" si="7"/>
        <v>1.9085714285714286</v>
      </c>
      <c r="AI38" s="24">
        <f t="shared" si="8"/>
        <v>21.582671020408164</v>
      </c>
      <c r="AM38" s="4">
        <f t="shared" si="6"/>
        <v>2.9869688163265304</v>
      </c>
    </row>
    <row r="39" spans="2:40">
      <c r="AF39" s="24">
        <v>3</v>
      </c>
      <c r="AG39" s="24">
        <v>23.5</v>
      </c>
      <c r="AH39" s="24">
        <f t="shared" si="7"/>
        <v>2.862857142857143</v>
      </c>
      <c r="AI39" s="24">
        <f t="shared" si="8"/>
        <v>21.400538775510203</v>
      </c>
      <c r="AM39" s="4">
        <f t="shared" si="6"/>
        <v>6.7206798367346936</v>
      </c>
    </row>
    <row r="40" spans="2:40">
      <c r="AF40" s="24">
        <v>4</v>
      </c>
      <c r="AG40" s="24">
        <v>23.2</v>
      </c>
      <c r="AH40" s="24">
        <f t="shared" si="7"/>
        <v>3.8171428571428572</v>
      </c>
      <c r="AI40" s="24">
        <f t="shared" si="8"/>
        <v>21.127340408163263</v>
      </c>
      <c r="AM40" s="4">
        <f t="shared" si="6"/>
        <v>11.947875265306122</v>
      </c>
    </row>
    <row r="41" spans="2:40">
      <c r="AF41" s="24">
        <v>5</v>
      </c>
      <c r="AG41" s="24">
        <v>22.7</v>
      </c>
      <c r="AH41" s="24">
        <f t="shared" si="7"/>
        <v>4.7714285714285714</v>
      </c>
      <c r="AI41" s="24">
        <f t="shared" si="8"/>
        <v>20.672009795918367</v>
      </c>
      <c r="AM41" s="4">
        <f t="shared" si="6"/>
        <v>18.668555102040813</v>
      </c>
    </row>
    <row r="42" spans="2:40">
      <c r="AF42" s="24">
        <v>6</v>
      </c>
      <c r="AG42" s="24">
        <v>22.1</v>
      </c>
      <c r="AH42" s="24">
        <f t="shared" si="7"/>
        <v>5.725714285714286</v>
      </c>
      <c r="AI42" s="24">
        <f t="shared" si="8"/>
        <v>20.125613061224492</v>
      </c>
      <c r="AM42" s="4">
        <f t="shared" si="6"/>
        <v>26.882719346938774</v>
      </c>
    </row>
    <row r="43" spans="2:40">
      <c r="AF43" s="24">
        <v>7</v>
      </c>
      <c r="AG43" s="24">
        <v>21.2</v>
      </c>
      <c r="AH43" s="24">
        <f t="shared" si="7"/>
        <v>6.68</v>
      </c>
      <c r="AI43" s="24">
        <f t="shared" si="8"/>
        <v>19.306017959183674</v>
      </c>
    </row>
    <row r="44" spans="2:40">
      <c r="AF44" s="24">
        <v>8</v>
      </c>
      <c r="AG44" s="24">
        <v>20</v>
      </c>
      <c r="AH44" s="24">
        <f t="shared" si="7"/>
        <v>7.6342857142857143</v>
      </c>
      <c r="AI44" s="24">
        <f t="shared" si="8"/>
        <v>18.21322448979592</v>
      </c>
    </row>
    <row r="45" spans="2:40">
      <c r="AF45" s="24">
        <v>8.6</v>
      </c>
      <c r="AG45" s="26">
        <v>19.2</v>
      </c>
      <c r="AH45" s="24">
        <f t="shared" si="7"/>
        <v>8.2068571428571424</v>
      </c>
      <c r="AI45" s="24">
        <f t="shared" si="8"/>
        <v>17.48469551020408</v>
      </c>
    </row>
    <row r="52" spans="32:39">
      <c r="AF52" s="2" t="s">
        <v>1</v>
      </c>
      <c r="AG52" s="8">
        <f>AG23</f>
        <v>20.5</v>
      </c>
      <c r="AH52" s="3" t="s">
        <v>2</v>
      </c>
      <c r="AI52" s="3"/>
      <c r="AJ52" s="3"/>
    </row>
    <row r="53" spans="32:39" ht="16.2">
      <c r="AF53" s="2" t="s">
        <v>4</v>
      </c>
      <c r="AG53" s="8">
        <f>V32</f>
        <v>5</v>
      </c>
      <c r="AH53" s="27" t="s">
        <v>81</v>
      </c>
      <c r="AI53" s="8">
        <f>AG53/3600</f>
        <v>1.3888888888888889E-3</v>
      </c>
      <c r="AJ53" s="27" t="s">
        <v>43</v>
      </c>
    </row>
    <row r="54" spans="32:39">
      <c r="AF54" s="5" t="s">
        <v>11</v>
      </c>
      <c r="AG54" s="17">
        <v>0.31</v>
      </c>
      <c r="AH54" s="3"/>
      <c r="AI54" s="3"/>
      <c r="AJ54" s="3"/>
    </row>
    <row r="55" spans="32:39">
      <c r="AF55" s="2" t="s">
        <v>3</v>
      </c>
      <c r="AG55" s="18">
        <f>$C$35*$C$36*AI53*AG52/AG54</f>
        <v>901.00806451612902</v>
      </c>
      <c r="AH55" s="27" t="s">
        <v>89</v>
      </c>
      <c r="AI55" s="3"/>
      <c r="AJ55" s="3"/>
    </row>
    <row r="57" spans="32:39">
      <c r="AF57" s="27" t="s">
        <v>106</v>
      </c>
    </row>
    <row r="58" spans="32:39">
      <c r="AF58" s="27" t="s">
        <v>112</v>
      </c>
    </row>
    <row r="59" spans="32:39">
      <c r="AF59" s="27" t="s">
        <v>113</v>
      </c>
    </row>
    <row r="61" spans="32:39">
      <c r="AF61" s="27" t="s">
        <v>107</v>
      </c>
      <c r="AK61" s="27" t="s">
        <v>108</v>
      </c>
    </row>
    <row r="63" spans="32:39" ht="15.6">
      <c r="AF63" s="28" t="s">
        <v>105</v>
      </c>
      <c r="AG63" s="14">
        <f>SQRT(C5^2*AG52/V4)</f>
        <v>1689.2877735359898</v>
      </c>
      <c r="AH63" s="28" t="s">
        <v>9</v>
      </c>
      <c r="AK63" s="28" t="s">
        <v>105</v>
      </c>
      <c r="AL63" s="14">
        <f>C5*AG53/V5</f>
        <v>1535.0877192982455</v>
      </c>
      <c r="AM63" s="28" t="s">
        <v>9</v>
      </c>
    </row>
    <row r="65" spans="32:32">
      <c r="AF65" s="27" t="s">
        <v>109</v>
      </c>
    </row>
  </sheetData>
  <mergeCells count="1">
    <mergeCell ref="O4:P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01FEF-CE0F-4FED-B8CF-1333177739B8}">
  <dimension ref="B1:T17"/>
  <sheetViews>
    <sheetView zoomScaleNormal="100" workbookViewId="0"/>
  </sheetViews>
  <sheetFormatPr defaultColWidth="8.19921875" defaultRowHeight="14.4"/>
  <cols>
    <col min="1" max="1" width="3.5" style="19" customWidth="1"/>
    <col min="2" max="5" width="8.19921875" style="19" customWidth="1"/>
    <col min="6" max="6" width="8" style="19" bestFit="1" customWidth="1"/>
    <col min="7" max="7" width="8" style="19" customWidth="1"/>
    <col min="8" max="8" width="6.59765625" style="19" customWidth="1"/>
    <col min="9" max="9" width="6.3984375" style="19" customWidth="1"/>
    <col min="10" max="10" width="6.59765625" style="19" customWidth="1"/>
    <col min="11" max="12" width="5.8984375" style="19" bestFit="1" customWidth="1"/>
    <col min="13" max="13" width="6" style="19" bestFit="1" customWidth="1"/>
    <col min="14" max="14" width="5.8984375" style="19" bestFit="1" customWidth="1"/>
    <col min="15" max="15" width="6" style="19" bestFit="1" customWidth="1"/>
    <col min="16" max="16" width="5.3984375" style="19" customWidth="1"/>
    <col min="17" max="17" width="6" style="19" bestFit="1" customWidth="1"/>
    <col min="18" max="18" width="5.296875" style="19" customWidth="1"/>
    <col min="19" max="19" width="5.8984375" style="19" bestFit="1" customWidth="1"/>
    <col min="20" max="20" width="5" style="19" bestFit="1" customWidth="1"/>
    <col min="21" max="21" width="5.69921875" style="19" bestFit="1" customWidth="1"/>
    <col min="22" max="22" width="4.5" style="19" customWidth="1"/>
    <col min="23" max="25" width="8.19921875" style="19"/>
    <col min="26" max="26" width="9" style="19" bestFit="1" customWidth="1"/>
    <col min="27" max="16384" width="8.19921875" style="19"/>
  </cols>
  <sheetData>
    <row r="1" spans="2:20" ht="16.2">
      <c r="B1" s="19" t="s">
        <v>70</v>
      </c>
      <c r="C1" s="19" t="s">
        <v>71</v>
      </c>
      <c r="E1" s="19" t="str">
        <f>B1</f>
        <v>H(m)</v>
      </c>
      <c r="F1" s="20" t="s">
        <v>72</v>
      </c>
      <c r="G1" s="20"/>
    </row>
    <row r="2" spans="2:20">
      <c r="C2" s="19" t="str">
        <f>CONCATENATE("d2: ",C4)</f>
        <v>d2: 209 mm</v>
      </c>
      <c r="E2" s="19" t="s">
        <v>73</v>
      </c>
      <c r="I2" s="21" t="s">
        <v>31</v>
      </c>
      <c r="J2" s="21">
        <v>13</v>
      </c>
      <c r="K2" s="21" t="s">
        <v>31</v>
      </c>
      <c r="L2" s="21">
        <v>18</v>
      </c>
      <c r="M2" s="21" t="s">
        <v>31</v>
      </c>
      <c r="N2" s="21">
        <v>23</v>
      </c>
      <c r="O2" s="21" t="s">
        <v>31</v>
      </c>
      <c r="P2" s="21">
        <v>28</v>
      </c>
      <c r="Q2" s="21" t="s">
        <v>31</v>
      </c>
      <c r="R2" s="21">
        <v>33</v>
      </c>
      <c r="S2" s="21" t="s">
        <v>31</v>
      </c>
      <c r="T2" s="22">
        <v>0.38</v>
      </c>
    </row>
    <row r="3" spans="2:20">
      <c r="C3" s="19" t="s">
        <v>29</v>
      </c>
      <c r="D3" s="19" t="s">
        <v>74</v>
      </c>
      <c r="I3" s="21" t="s">
        <v>4</v>
      </c>
      <c r="J3" s="21" t="s">
        <v>1</v>
      </c>
      <c r="K3" s="21" t="s">
        <v>4</v>
      </c>
      <c r="L3" s="21" t="s">
        <v>1</v>
      </c>
      <c r="M3" s="21" t="s">
        <v>4</v>
      </c>
      <c r="N3" s="21" t="s">
        <v>1</v>
      </c>
      <c r="O3" s="21" t="s">
        <v>4</v>
      </c>
      <c r="P3" s="21" t="s">
        <v>1</v>
      </c>
      <c r="Q3" s="21" t="s">
        <v>4</v>
      </c>
      <c r="R3" s="21" t="s">
        <v>1</v>
      </c>
      <c r="S3" s="21" t="s">
        <v>4</v>
      </c>
      <c r="T3" s="21" t="s">
        <v>1</v>
      </c>
    </row>
    <row r="4" spans="2:20" ht="16.2">
      <c r="C4" s="19" t="s">
        <v>79</v>
      </c>
      <c r="D4" s="19">
        <v>1750</v>
      </c>
      <c r="I4" s="21" t="s">
        <v>32</v>
      </c>
      <c r="J4" s="21" t="s">
        <v>2</v>
      </c>
      <c r="K4" s="21" t="s">
        <v>32</v>
      </c>
      <c r="L4" s="21" t="s">
        <v>2</v>
      </c>
      <c r="M4" s="21" t="s">
        <v>32</v>
      </c>
      <c r="N4" s="21" t="s">
        <v>2</v>
      </c>
      <c r="O4" s="21" t="s">
        <v>32</v>
      </c>
      <c r="P4" s="21" t="s">
        <v>2</v>
      </c>
      <c r="Q4" s="21" t="s">
        <v>32</v>
      </c>
      <c r="R4" s="21" t="s">
        <v>2</v>
      </c>
      <c r="S4" s="21" t="s">
        <v>32</v>
      </c>
      <c r="T4" s="21" t="s">
        <v>2</v>
      </c>
    </row>
    <row r="5" spans="2:20">
      <c r="B5" s="21" t="s">
        <v>4</v>
      </c>
      <c r="C5" s="21" t="s">
        <v>1</v>
      </c>
      <c r="D5" s="21" t="s">
        <v>4</v>
      </c>
      <c r="E5" s="21" t="s">
        <v>30</v>
      </c>
      <c r="I5" s="23">
        <v>1.8</v>
      </c>
      <c r="J5" s="23">
        <v>24.5</v>
      </c>
      <c r="K5" s="23">
        <v>2.4500000000000002</v>
      </c>
      <c r="L5" s="23">
        <v>24.2</v>
      </c>
      <c r="M5" s="23">
        <v>3.35</v>
      </c>
      <c r="N5" s="23">
        <v>24</v>
      </c>
      <c r="O5" s="23">
        <v>4.3499999999999996</v>
      </c>
      <c r="P5" s="23">
        <v>23.5</v>
      </c>
      <c r="Q5" s="23">
        <v>5.75</v>
      </c>
      <c r="R5" s="23">
        <v>23</v>
      </c>
      <c r="S5" s="23">
        <v>8.0500000000000007</v>
      </c>
      <c r="T5" s="23">
        <v>20.8</v>
      </c>
    </row>
    <row r="6" spans="2:20" ht="16.2">
      <c r="B6" s="21" t="s">
        <v>75</v>
      </c>
      <c r="C6" s="21" t="s">
        <v>2</v>
      </c>
      <c r="D6" s="21" t="s">
        <v>75</v>
      </c>
      <c r="E6" s="21" t="s">
        <v>2</v>
      </c>
      <c r="I6" s="23">
        <v>1.7</v>
      </c>
      <c r="J6" s="23">
        <v>23</v>
      </c>
      <c r="K6" s="23">
        <v>2.35</v>
      </c>
      <c r="L6" s="23">
        <v>22.8</v>
      </c>
      <c r="M6" s="23">
        <v>3.25</v>
      </c>
      <c r="N6" s="23">
        <v>22.5</v>
      </c>
      <c r="O6" s="23">
        <v>4.25</v>
      </c>
      <c r="P6" s="23">
        <v>22</v>
      </c>
      <c r="Q6" s="23">
        <v>5.65</v>
      </c>
      <c r="R6" s="23">
        <v>21.2</v>
      </c>
      <c r="S6" s="23">
        <v>7.95</v>
      </c>
      <c r="T6" s="23">
        <v>19</v>
      </c>
    </row>
    <row r="7" spans="2:20">
      <c r="B7" s="24">
        <v>0</v>
      </c>
      <c r="C7" s="24">
        <v>23.8</v>
      </c>
      <c r="D7" s="24"/>
      <c r="E7" s="24"/>
    </row>
    <row r="8" spans="2:20">
      <c r="B8" s="24">
        <v>1</v>
      </c>
      <c r="C8" s="24">
        <v>23.8</v>
      </c>
      <c r="D8" s="24"/>
      <c r="E8" s="24"/>
    </row>
    <row r="9" spans="2:20">
      <c r="B9" s="24">
        <v>2</v>
      </c>
      <c r="C9" s="24">
        <v>23.7</v>
      </c>
      <c r="D9" s="24"/>
      <c r="E9" s="24"/>
    </row>
    <row r="10" spans="2:20">
      <c r="B10" s="24">
        <v>3</v>
      </c>
      <c r="C10" s="24">
        <v>23.5</v>
      </c>
      <c r="D10" s="24">
        <v>2.75</v>
      </c>
      <c r="E10" s="23">
        <v>0.4</v>
      </c>
    </row>
    <row r="11" spans="2:20">
      <c r="B11" s="24">
        <v>4</v>
      </c>
      <c r="C11" s="24">
        <v>23.2</v>
      </c>
      <c r="D11" s="24">
        <f t="shared" ref="D11:D16" si="0">B11</f>
        <v>4</v>
      </c>
      <c r="E11" s="23">
        <v>0.55000000000000004</v>
      </c>
      <c r="J11" s="25"/>
      <c r="L11" s="25"/>
      <c r="N11" s="25"/>
    </row>
    <row r="12" spans="2:20">
      <c r="B12" s="24">
        <v>5</v>
      </c>
      <c r="C12" s="24">
        <v>22.7</v>
      </c>
      <c r="D12" s="24">
        <f t="shared" si="0"/>
        <v>5</v>
      </c>
      <c r="E12" s="23">
        <v>0.73</v>
      </c>
      <c r="J12" s="25"/>
      <c r="L12" s="25"/>
      <c r="N12" s="25"/>
    </row>
    <row r="13" spans="2:20">
      <c r="B13" s="24">
        <v>6</v>
      </c>
      <c r="C13" s="24">
        <v>22.1</v>
      </c>
      <c r="D13" s="24">
        <f t="shared" si="0"/>
        <v>6</v>
      </c>
      <c r="E13" s="23">
        <v>0.95</v>
      </c>
      <c r="J13" s="25"/>
      <c r="L13" s="25"/>
      <c r="N13" s="25"/>
    </row>
    <row r="14" spans="2:20">
      <c r="B14" s="24">
        <v>7</v>
      </c>
      <c r="C14" s="24">
        <v>21.2</v>
      </c>
      <c r="D14" s="24">
        <f t="shared" si="0"/>
        <v>7</v>
      </c>
      <c r="E14" s="23">
        <v>1.2</v>
      </c>
      <c r="J14" s="25"/>
      <c r="L14" s="25"/>
    </row>
    <row r="15" spans="2:20">
      <c r="B15" s="24">
        <v>8</v>
      </c>
      <c r="C15" s="24">
        <v>20</v>
      </c>
      <c r="D15" s="24">
        <f t="shared" si="0"/>
        <v>8</v>
      </c>
      <c r="E15" s="23">
        <v>1.5</v>
      </c>
      <c r="J15" s="25"/>
      <c r="L15" s="25"/>
    </row>
    <row r="16" spans="2:20">
      <c r="B16" s="24">
        <v>8.6</v>
      </c>
      <c r="C16" s="26">
        <v>19.2</v>
      </c>
      <c r="D16" s="24">
        <f t="shared" si="0"/>
        <v>8.6</v>
      </c>
      <c r="E16" s="23">
        <v>1.7</v>
      </c>
      <c r="J16" s="25"/>
      <c r="L16" s="25"/>
    </row>
    <row r="17" spans="3:7">
      <c r="C17" s="25"/>
      <c r="D17" s="25"/>
      <c r="E17" s="25"/>
      <c r="F17" s="25"/>
      <c r="G17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Questão 1</vt:lpstr>
      <vt:lpstr>Questão 2</vt:lpstr>
      <vt:lpstr>Dados para o 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Gissoni, Humberto</dc:creator>
  <cp:lastModifiedBy>Humberto Gissoni</cp:lastModifiedBy>
  <dcterms:created xsi:type="dcterms:W3CDTF">2023-06-04T15:39:57Z</dcterms:created>
  <dcterms:modified xsi:type="dcterms:W3CDTF">2023-07-19T01:36:51Z</dcterms:modified>
</cp:coreProperties>
</file>