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Aula 4/Solução de problemas/"/>
    </mc:Choice>
  </mc:AlternateContent>
  <xr:revisionPtr revIDLastSave="315" documentId="8_{B0FCDACC-2EF5-42A4-BE49-7BFF5C48B1EB}" xr6:coauthVersionLast="47" xr6:coauthVersionMax="47" xr10:uidLastSave="{F4493401-477B-4CAD-AB97-E6776B40DE5F}"/>
  <bookViews>
    <workbookView xWindow="-75" yWindow="-16185" windowWidth="23595" windowHeight="15585" xr2:uid="{BA830C1E-D827-4EA5-8751-2EF68EEAB63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1" l="1"/>
  <c r="L65" i="1"/>
  <c r="C60" i="1"/>
  <c r="C45" i="1"/>
  <c r="Q18" i="1"/>
  <c r="L68" i="1"/>
  <c r="L59" i="1"/>
  <c r="L46" i="1"/>
  <c r="L35" i="1"/>
  <c r="L47" i="1" s="1"/>
  <c r="C59" i="1" l="1"/>
  <c r="C51" i="1"/>
  <c r="C54" i="1" s="1"/>
  <c r="C56" i="1" s="1"/>
  <c r="C43" i="1"/>
  <c r="R19" i="1"/>
  <c r="R21" i="1"/>
  <c r="R20" i="1"/>
  <c r="R18" i="1"/>
  <c r="Q19" i="1"/>
  <c r="Q20" i="1"/>
  <c r="Q21" i="1"/>
  <c r="H20" i="1"/>
  <c r="C20" i="1"/>
  <c r="C19" i="1"/>
  <c r="H13" i="1"/>
  <c r="C9" i="1"/>
  <c r="C11" i="1" s="1"/>
  <c r="S18" i="1" l="1"/>
  <c r="H19" i="1"/>
  <c r="S19" i="1"/>
  <c r="S21" i="1"/>
  <c r="S20" i="1"/>
</calcChain>
</file>

<file path=xl/sharedStrings.xml><?xml version="1.0" encoding="utf-8"?>
<sst xmlns="http://schemas.openxmlformats.org/spreadsheetml/2006/main" count="159" uniqueCount="95">
  <si>
    <t>Problema 4.5.5</t>
  </si>
  <si>
    <t>m</t>
  </si>
  <si>
    <t>D</t>
  </si>
  <si>
    <t>f</t>
  </si>
  <si>
    <t>Hz</t>
  </si>
  <si>
    <t>n</t>
  </si>
  <si>
    <t>rpm</t>
  </si>
  <si>
    <t>p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</si>
  <si>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</si>
  <si>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r>
      <t>H</t>
    </r>
    <r>
      <rPr>
        <vertAlign val="subscript"/>
        <sz val="11"/>
        <color theme="1"/>
        <rFont val="Calibri"/>
        <family val="2"/>
        <scheme val="minor"/>
      </rPr>
      <t>ot</t>
    </r>
  </si>
  <si>
    <r>
      <t>Q</t>
    </r>
    <r>
      <rPr>
        <vertAlign val="subscript"/>
        <sz val="11"/>
        <color theme="1"/>
        <rFont val="Calibri"/>
        <family val="2"/>
        <scheme val="minor"/>
      </rPr>
      <t>ot</t>
    </r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</si>
  <si>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</si>
  <si>
    <t>Fig. 4.5.2</t>
  </si>
  <si>
    <t>OK</t>
  </si>
  <si>
    <r>
      <t>Q/H</t>
    </r>
    <r>
      <rPr>
        <vertAlign val="superscript"/>
        <sz val="11"/>
        <color theme="1"/>
        <rFont val="Calibri"/>
        <family val="2"/>
        <scheme val="minor"/>
      </rPr>
      <t>1,5</t>
    </r>
    <r>
      <rPr>
        <sz val="11"/>
        <color theme="1"/>
        <rFont val="Calibri"/>
        <family val="2"/>
        <scheme val="minor"/>
      </rPr>
      <t xml:space="preserve"> &lt;</t>
    </r>
  </si>
  <si>
    <t>n11</t>
  </si>
  <si>
    <t>H</t>
  </si>
  <si>
    <t>Q</t>
  </si>
  <si>
    <t>Q11</t>
  </si>
  <si>
    <t>Conforme Fig. 4.5.2</t>
  </si>
  <si>
    <t>s</t>
  </si>
  <si>
    <t>h</t>
  </si>
  <si>
    <t>&lt; 0,06</t>
  </si>
  <si>
    <t>Problema 4.5.7</t>
  </si>
  <si>
    <t>1.</t>
  </si>
  <si>
    <t>Se o objetivo é cobrir a demanda no pico e depois retornar</t>
  </si>
  <si>
    <t>a água para o reservatório superior, a opção deve ser por uma</t>
  </si>
  <si>
    <t>usina reversível.</t>
  </si>
  <si>
    <t>2.</t>
  </si>
  <si>
    <t>Considerando que a região é montanhosa (altas quedas) e buscamos</t>
  </si>
  <si>
    <t>Turbina</t>
  </si>
  <si>
    <t>Bomba</t>
  </si>
  <si>
    <t>H (m)</t>
  </si>
  <si>
    <r>
      <t>P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(MW)</t>
    </r>
  </si>
  <si>
    <r>
      <rPr>
        <sz val="11"/>
        <color theme="1"/>
        <rFont val="Symbol"/>
        <family val="1"/>
        <charset val="2"/>
      </rPr>
      <t>h</t>
    </r>
    <r>
      <rPr>
        <vertAlign val="subscript"/>
        <sz val="11"/>
        <color theme="1"/>
        <rFont val="Calibri"/>
        <family val="2"/>
        <scheme val="minor"/>
      </rPr>
      <t>u</t>
    </r>
  </si>
  <si>
    <t>n (rpm)</t>
  </si>
  <si>
    <r>
      <t>Q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</si>
  <si>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r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</si>
  <si>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</si>
  <si>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g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</si>
  <si>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</si>
  <si>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o arranjo mais econômico, devemos tentar uma solução com duas máquinas.</t>
  </si>
  <si>
    <t xml:space="preserve">Como turbinas Pelton não funcionam como bombas, a opção preferencial </t>
  </si>
  <si>
    <t>Região A</t>
  </si>
  <si>
    <t>Região B</t>
  </si>
  <si>
    <t>A faixa de nqs encontrada (&lt; 20) requer a instalação de turbinas Pelton (não Francis),</t>
  </si>
  <si>
    <t>é por um rotor Francis (radial) operando como bomba-turbina.</t>
  </si>
  <si>
    <t>em série deverão ser adotados.</t>
  </si>
  <si>
    <t>Problema 4.5.6</t>
  </si>
  <si>
    <t>1. Apesar de 55 m estar bem próximo do limite construtivo de uma</t>
  </si>
  <si>
    <t xml:space="preserve">máquina Kaplan, a menção à grande variação de vazão sugere a </t>
  </si>
  <si>
    <t>adoção desse tipo de máquina que possui uma curva de rendimento</t>
  </si>
  <si>
    <t>mais plana que uma turbina Francias.</t>
  </si>
  <si>
    <t>2. O gráfico da figura 2.8.7 indica que para essa faixa de queda, a máxima</t>
  </si>
  <si>
    <t># máqs</t>
  </si>
  <si>
    <t>adotado</t>
  </si>
  <si>
    <r>
      <t>vazão para uma máquina Kaplan é da ordem de 100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/s.</t>
    </r>
  </si>
  <si>
    <t>máquina Kaplan deve ficar em torno de 100.</t>
  </si>
  <si>
    <r>
      <t>n</t>
    </r>
    <r>
      <rPr>
        <vertAlign val="subscript"/>
        <sz val="11"/>
        <color theme="1"/>
        <rFont val="Calibri"/>
        <family val="2"/>
        <scheme val="minor"/>
      </rPr>
      <t>assincr</t>
    </r>
  </si>
  <si>
    <r>
      <t>O gráfico da figura 2.8.3 mostra que para uma queda de 55 m, o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de uma</t>
    </r>
  </si>
  <si>
    <r>
      <t>Adotando, então, por simplicidade,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~ 112,9</t>
    </r>
  </si>
  <si>
    <t>Avaliando conforme fórmula 2.8.17</t>
  </si>
  <si>
    <r>
      <t>Q</t>
    </r>
    <r>
      <rPr>
        <vertAlign val="subscript"/>
        <sz val="11"/>
        <color theme="1"/>
        <rFont val="Calibri"/>
        <family val="2"/>
        <scheme val="minor"/>
      </rPr>
      <t>tot</t>
    </r>
  </si>
  <si>
    <t xml:space="preserve">4. </t>
  </si>
  <si>
    <t>Do ponto de vista prático, o arranjo com eixo horizontal é normalmente</t>
  </si>
  <si>
    <t>aplicado a máquinas pequenas. Considerando, conforme figura 2.8.7, que</t>
  </si>
  <si>
    <t>nossa máquina está no limite superior da aplicação desse tipo de solução,</t>
  </si>
  <si>
    <t>é razoável assumir que o arranjo com eixo vertical será o escolhido.</t>
  </si>
  <si>
    <t>Problema 4.5.22</t>
  </si>
  <si>
    <t>P</t>
  </si>
  <si>
    <t>1. Para determinação da forma construtiva, deve-se considerar o ponto de máximo rendimento.</t>
  </si>
  <si>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máx</t>
    </r>
  </si>
  <si>
    <t>MW</t>
  </si>
  <si>
    <t>Turbina Francis, conforme figura 2.8.7, com foco principalmente no nq e menos na queda.</t>
  </si>
  <si>
    <t>esperada da curva).</t>
  </si>
  <si>
    <t>Condição de potência máxima, conforme gráfico.</t>
  </si>
  <si>
    <t>4. Quanto mais longe do ponto ótimo, mais sujeita a vibrações se torna a máquina.</t>
  </si>
  <si>
    <t>Além disso, a vazão 44% maior aumenta sobremaneira o risco de cavitação.</t>
  </si>
  <si>
    <t>NPSHr</t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</si>
  <si>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</si>
  <si>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t>Altitude</t>
  </si>
  <si>
    <t>Tágua</t>
  </si>
  <si>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</t>
    </r>
  </si>
  <si>
    <t>hv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</si>
  <si>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hs</t>
    </r>
  </si>
  <si>
    <t>Hipótese</t>
  </si>
  <si>
    <t>Hs</t>
  </si>
  <si>
    <r>
      <t>Obs. A rotação correta de Caconde é 257,1 rpm o que levaria a um n</t>
    </r>
    <r>
      <rPr>
        <b/>
        <vertAlign val="subscript"/>
        <sz val="11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de 46 (dentro da área</t>
    </r>
  </si>
  <si>
    <t xml:space="preserve">Como os nqs calculados estão abaixo de 25, a utilização de uma bomba-turbina </t>
  </si>
  <si>
    <t xml:space="preserve">ou uma solução do tipo 3 máquinas. </t>
  </si>
  <si>
    <t>com um único rotor não é possível. É necessário então, um arranjo com mais de um rotor</t>
  </si>
  <si>
    <t>para a solução do tipo 3 máquinas.</t>
  </si>
  <si>
    <r>
      <t>h</t>
    </r>
    <r>
      <rPr>
        <vertAlign val="subscript"/>
        <sz val="11"/>
        <color theme="1"/>
        <rFont val="Calibri"/>
        <family val="2"/>
        <scheme val="minor"/>
      </rPr>
      <t>seg</t>
    </r>
  </si>
  <si>
    <t>Turbina afogada</t>
  </si>
  <si>
    <t>Para a região B, se não for possível instalar uma bomba de simples estágio, rotores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</si>
</sst>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/>
    <xf numFmtId="166" fontId="0" fillId="2" borderId="0" xfId="0" applyNumberFormat="1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2" borderId="0" xfId="0" applyNumberFormat="1" applyFill="1"/>
    <xf numFmtId="0" fontId="5" fillId="0" borderId="0" xfId="0" applyFont="1"/>
    <xf numFmtId="166" fontId="0" fillId="2" borderId="0" xfId="1" applyNumberFormat="1" applyFont="1" applyFill="1"/>
    <xf numFmtId="0" fontId="9" fillId="0" borderId="0" xfId="0" applyFont="1"/>
    <xf numFmtId="164" fontId="0" fillId="2" borderId="0" xfId="0" applyNumberFormat="1" applyFill="1"/>
    <xf numFmtId="0" fontId="7" fillId="0" borderId="0" xfId="0" applyFont="1"/>
    <xf numFmtId="0" fontId="0" fillId="0" borderId="0" xfId="0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241934</xdr:colOff>
      <xdr:row>3</xdr:row>
      <xdr:rowOff>133349</xdr:rowOff>
    </xdr:from>
    <xdr:to>
      <xdr:col>7</xdr:col>
      <xdr:colOff>600158</xdr:colOff>
      <xdr:row>6</xdr:row>
      <xdr:rowOff>102917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621E91-AA64-C65F-3C1A-317269B2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7609" y="676274"/>
          <a:ext cx="967824" cy="560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150490</xdr:colOff>
      <xdr:row>7</xdr:row>
      <xdr:rowOff>142875</xdr:rowOff>
    </xdr:from>
    <xdr:to>
      <xdr:col>8</xdr:col>
      <xdr:colOff>50844</xdr:colOff>
      <xdr:row>10</xdr:row>
      <xdr:rowOff>145284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973794-F3B4-FFF8-5D3B-ED511462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165" y="1457325"/>
          <a:ext cx="1157654" cy="545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7064-FA19-4D62-ABA7-DCD7543BACA3}">
  <dimension ref="B2:S76"/>
  <sheetViews>
    <sheetView tabSelected="1" topLeftCell="A6" zoomScale="115" zoomScaleNormal="115" workbookViewId="0">
      <selection activeCell="K29" sqref="K29"/>
    </sheetView>
  </sheetViews>
  <sheetFormatPr defaultRowHeight="14.4"/>
  <cols>
    <col min="1" max="1" width="6.109375" customWidth="1"/>
    <col min="3" max="3" width="11" bestFit="1" customWidth="1"/>
    <col min="4" max="4" width="6.5546875" customWidth="1"/>
    <col min="8" max="8" width="9.44140625" customWidth="1"/>
  </cols>
  <sheetData>
    <row r="2" spans="2:13">
      <c r="B2" s="8" t="s">
        <v>0</v>
      </c>
      <c r="K2" s="8" t="s">
        <v>23</v>
      </c>
    </row>
    <row r="4" spans="2:13" ht="15.6">
      <c r="B4" t="s">
        <v>9</v>
      </c>
      <c r="C4" s="3">
        <v>200</v>
      </c>
      <c r="D4" t="s">
        <v>1</v>
      </c>
      <c r="K4" t="s">
        <v>24</v>
      </c>
      <c r="L4" t="s">
        <v>25</v>
      </c>
    </row>
    <row r="5" spans="2:13" ht="16.8">
      <c r="B5" t="s">
        <v>10</v>
      </c>
      <c r="C5" s="3">
        <v>265</v>
      </c>
      <c r="D5" t="s">
        <v>8</v>
      </c>
      <c r="L5" t="s">
        <v>26</v>
      </c>
    </row>
    <row r="6" spans="2:13">
      <c r="B6" t="s">
        <v>2</v>
      </c>
      <c r="C6" s="3">
        <v>6.35</v>
      </c>
      <c r="D6" t="s">
        <v>1</v>
      </c>
      <c r="L6" t="s">
        <v>27</v>
      </c>
    </row>
    <row r="7" spans="2:13">
      <c r="B7" t="s">
        <v>7</v>
      </c>
      <c r="C7" s="3">
        <v>19</v>
      </c>
    </row>
    <row r="8" spans="2:13">
      <c r="B8" t="s">
        <v>3</v>
      </c>
      <c r="C8" s="3">
        <v>60</v>
      </c>
      <c r="D8" t="s">
        <v>4</v>
      </c>
      <c r="K8" t="s">
        <v>28</v>
      </c>
      <c r="L8" t="s">
        <v>29</v>
      </c>
    </row>
    <row r="9" spans="2:13">
      <c r="B9" t="s">
        <v>5</v>
      </c>
      <c r="C9" s="2">
        <f>60*C8/C7</f>
        <v>189.47368421052633</v>
      </c>
      <c r="D9" t="s">
        <v>6</v>
      </c>
      <c r="L9" t="s">
        <v>41</v>
      </c>
    </row>
    <row r="10" spans="2:13">
      <c r="L10" t="s">
        <v>42</v>
      </c>
    </row>
    <row r="11" spans="2:13" ht="15.6">
      <c r="B11" t="s">
        <v>11</v>
      </c>
      <c r="C11" s="5">
        <f>C9*SQRT(C5)/C4^0.75</f>
        <v>57.996173449412609</v>
      </c>
      <c r="L11" t="s">
        <v>46</v>
      </c>
    </row>
    <row r="13" spans="2:13" ht="16.8">
      <c r="B13" t="s">
        <v>11</v>
      </c>
      <c r="C13" s="3">
        <v>56</v>
      </c>
      <c r="E13" t="s">
        <v>12</v>
      </c>
      <c r="G13" s="4" t="s">
        <v>14</v>
      </c>
      <c r="H13" s="1">
        <f>(63/C9)^2</f>
        <v>0.11055624999999998</v>
      </c>
      <c r="K13" t="s">
        <v>3</v>
      </c>
      <c r="L13" s="3">
        <v>50</v>
      </c>
      <c r="M13" t="s">
        <v>4</v>
      </c>
    </row>
    <row r="14" spans="2:13" ht="16.2">
      <c r="C14" s="4" t="s">
        <v>13</v>
      </c>
      <c r="K14" s="6" t="s">
        <v>37</v>
      </c>
      <c r="L14" s="3">
        <v>1000</v>
      </c>
      <c r="M14" t="s">
        <v>38</v>
      </c>
    </row>
    <row r="15" spans="2:13" ht="16.2">
      <c r="K15" t="s">
        <v>39</v>
      </c>
      <c r="L15" s="3">
        <v>9.81</v>
      </c>
      <c r="M15" t="s">
        <v>40</v>
      </c>
    </row>
    <row r="16" spans="2:13">
      <c r="B16" t="s">
        <v>16</v>
      </c>
      <c r="C16" s="3">
        <v>180</v>
      </c>
      <c r="D16" t="s">
        <v>1</v>
      </c>
      <c r="G16" t="s">
        <v>16</v>
      </c>
      <c r="H16" s="3">
        <v>180</v>
      </c>
      <c r="I16" t="s">
        <v>1</v>
      </c>
    </row>
    <row r="17" spans="2:19" ht="16.8">
      <c r="B17" t="s">
        <v>17</v>
      </c>
      <c r="C17" s="3">
        <v>240</v>
      </c>
      <c r="D17" t="s">
        <v>8</v>
      </c>
      <c r="G17" t="s">
        <v>17</v>
      </c>
      <c r="H17" s="3">
        <v>300</v>
      </c>
      <c r="I17" t="s">
        <v>8</v>
      </c>
      <c r="M17" s="9" t="s">
        <v>32</v>
      </c>
      <c r="N17" s="9" t="s">
        <v>33</v>
      </c>
      <c r="O17" s="10" t="s">
        <v>34</v>
      </c>
      <c r="P17" s="9" t="s">
        <v>7</v>
      </c>
      <c r="Q17" s="9" t="s">
        <v>35</v>
      </c>
      <c r="R17" s="9" t="s">
        <v>36</v>
      </c>
      <c r="S17" s="9" t="s">
        <v>11</v>
      </c>
    </row>
    <row r="18" spans="2:19">
      <c r="K18" s="17" t="s">
        <v>43</v>
      </c>
      <c r="L18" t="s">
        <v>30</v>
      </c>
      <c r="M18" s="3">
        <v>1047</v>
      </c>
      <c r="N18" s="3">
        <v>150</v>
      </c>
      <c r="O18" s="11">
        <v>0.9</v>
      </c>
      <c r="P18" s="3">
        <v>5</v>
      </c>
      <c r="Q18">
        <f>60*$L$13/P18</f>
        <v>600</v>
      </c>
      <c r="R18" s="2">
        <f>N18*1000000/(M18*$L$14*$L$15*O18)</f>
        <v>16.226806619628398</v>
      </c>
      <c r="S18" s="5">
        <f>Q18*SQRT(R18)/M18^0.75</f>
        <v>13.131301390511652</v>
      </c>
    </row>
    <row r="19" spans="2:19">
      <c r="B19" t="s">
        <v>15</v>
      </c>
      <c r="C19" s="5">
        <f>C9*C6/SQRT(C16)</f>
        <v>89.67809467657051</v>
      </c>
      <c r="G19" t="s">
        <v>15</v>
      </c>
      <c r="H19" s="5">
        <f>C9*C6/SQRT(H16)</f>
        <v>89.67809467657051</v>
      </c>
      <c r="K19" s="17"/>
      <c r="L19" t="s">
        <v>31</v>
      </c>
      <c r="M19" s="3">
        <v>1070</v>
      </c>
      <c r="N19" s="3">
        <v>152</v>
      </c>
      <c r="O19" s="11">
        <v>0.88</v>
      </c>
      <c r="P19" s="3">
        <v>5</v>
      </c>
      <c r="Q19">
        <f>60*$L$13/P19</f>
        <v>600</v>
      </c>
      <c r="R19" s="2">
        <f>N19*1000000*O19/(M19*$L$14*$L$15)</f>
        <v>12.743052578429412</v>
      </c>
      <c r="S19" s="5">
        <f t="shared" ref="S19:S21" si="0">Q19*SQRT(R19)/M19^0.75</f>
        <v>11.448541285829396</v>
      </c>
    </row>
    <row r="20" spans="2:19">
      <c r="B20" t="s">
        <v>18</v>
      </c>
      <c r="C20" s="2">
        <f>C17/(C6^2*SQRT(C16))</f>
        <v>0.4436367740095063</v>
      </c>
      <c r="G20" t="s">
        <v>18</v>
      </c>
      <c r="H20" s="2">
        <f>H17/(C6^2*SQRT(H16))</f>
        <v>0.5545459675118829</v>
      </c>
      <c r="K20" s="17" t="s">
        <v>44</v>
      </c>
      <c r="L20" t="s">
        <v>30</v>
      </c>
      <c r="M20" s="3">
        <v>1256</v>
      </c>
      <c r="N20" s="3">
        <v>130</v>
      </c>
      <c r="O20" s="11">
        <v>0.9</v>
      </c>
      <c r="P20" s="3">
        <v>5</v>
      </c>
      <c r="Q20">
        <f>60*$L$13/P20</f>
        <v>600</v>
      </c>
      <c r="R20" s="2">
        <f>N20*1000000/(M20*$L$14*$L$15*O20)</f>
        <v>11.7230926167602</v>
      </c>
      <c r="S20" s="5">
        <f t="shared" si="0"/>
        <v>9.7371109556311399</v>
      </c>
    </row>
    <row r="21" spans="2:19">
      <c r="K21" s="17"/>
      <c r="L21" t="s">
        <v>31</v>
      </c>
      <c r="M21" s="3">
        <v>1287</v>
      </c>
      <c r="N21" s="3">
        <v>130</v>
      </c>
      <c r="O21" s="11">
        <v>0.88</v>
      </c>
      <c r="P21" s="3">
        <v>5</v>
      </c>
      <c r="Q21">
        <f>60*$L$13/P21</f>
        <v>600</v>
      </c>
      <c r="R21" s="2">
        <f>N21*1000000*O21/(M21*$L$14*$L$15)</f>
        <v>9.0610488164004988</v>
      </c>
      <c r="S21" s="5">
        <f t="shared" si="0"/>
        <v>8.405364961728429</v>
      </c>
    </row>
    <row r="22" spans="2:19">
      <c r="B22" t="s">
        <v>19</v>
      </c>
      <c r="G22" t="s">
        <v>19</v>
      </c>
    </row>
    <row r="23" spans="2:19">
      <c r="B23" s="6" t="s">
        <v>21</v>
      </c>
      <c r="C23" s="7">
        <v>0.85499999999999998</v>
      </c>
      <c r="G23" s="6" t="s">
        <v>21</v>
      </c>
      <c r="H23" s="7">
        <v>0.84499999999999997</v>
      </c>
      <c r="K23" t="s">
        <v>88</v>
      </c>
    </row>
    <row r="24" spans="2:19">
      <c r="B24" s="6" t="s">
        <v>20</v>
      </c>
      <c r="C24" s="3" t="s">
        <v>22</v>
      </c>
      <c r="G24" s="6" t="s">
        <v>20</v>
      </c>
      <c r="H24" s="3">
        <v>7.0000000000000007E-2</v>
      </c>
      <c r="K24" t="s">
        <v>90</v>
      </c>
    </row>
    <row r="25" spans="2:19">
      <c r="K25" t="s">
        <v>89</v>
      </c>
    </row>
    <row r="26" spans="2:19">
      <c r="K26" t="s">
        <v>45</v>
      </c>
    </row>
    <row r="27" spans="2:19">
      <c r="K27" t="s">
        <v>91</v>
      </c>
    </row>
    <row r="28" spans="2:19">
      <c r="K28" t="s">
        <v>94</v>
      </c>
    </row>
    <row r="29" spans="2:19">
      <c r="K29" t="s">
        <v>47</v>
      </c>
    </row>
    <row r="30" spans="2:19">
      <c r="B30" s="8" t="s">
        <v>48</v>
      </c>
    </row>
    <row r="31" spans="2:19">
      <c r="K31" s="8" t="s">
        <v>68</v>
      </c>
    </row>
    <row r="32" spans="2:19">
      <c r="B32" t="s">
        <v>16</v>
      </c>
      <c r="C32" s="3">
        <v>55</v>
      </c>
      <c r="D32" t="s">
        <v>1</v>
      </c>
    </row>
    <row r="33" spans="2:13" ht="16.8">
      <c r="B33" t="s">
        <v>62</v>
      </c>
      <c r="C33" s="3">
        <v>950</v>
      </c>
      <c r="D33" t="s">
        <v>8</v>
      </c>
      <c r="K33" t="s">
        <v>7</v>
      </c>
      <c r="L33" s="3">
        <v>24</v>
      </c>
    </row>
    <row r="34" spans="2:13">
      <c r="K34" t="s">
        <v>3</v>
      </c>
      <c r="L34" s="3">
        <v>60</v>
      </c>
      <c r="M34" t="s">
        <v>4</v>
      </c>
    </row>
    <row r="35" spans="2:13">
      <c r="B35" t="s">
        <v>49</v>
      </c>
      <c r="K35" t="s">
        <v>5</v>
      </c>
      <c r="L35">
        <f>60*L34/L33</f>
        <v>150</v>
      </c>
      <c r="M35" t="s">
        <v>6</v>
      </c>
    </row>
    <row r="36" spans="2:13">
      <c r="B36" t="s">
        <v>50</v>
      </c>
    </row>
    <row r="37" spans="2:13">
      <c r="B37" t="s">
        <v>51</v>
      </c>
      <c r="K37" t="s">
        <v>70</v>
      </c>
    </row>
    <row r="38" spans="2:13">
      <c r="B38" t="s">
        <v>52</v>
      </c>
    </row>
    <row r="39" spans="2:13">
      <c r="K39" s="12" t="s">
        <v>71</v>
      </c>
      <c r="L39" s="13">
        <v>0.89700000000000002</v>
      </c>
    </row>
    <row r="40" spans="2:13">
      <c r="B40" t="s">
        <v>53</v>
      </c>
      <c r="K40" t="s">
        <v>16</v>
      </c>
      <c r="L40" s="3">
        <v>102</v>
      </c>
      <c r="M40" t="s">
        <v>1</v>
      </c>
    </row>
    <row r="41" spans="2:13" ht="16.2">
      <c r="B41" t="s">
        <v>56</v>
      </c>
      <c r="K41" t="s">
        <v>69</v>
      </c>
      <c r="L41" s="3">
        <v>30</v>
      </c>
      <c r="M41" t="s">
        <v>72</v>
      </c>
    </row>
    <row r="43" spans="2:13" ht="16.2">
      <c r="B43" t="s">
        <v>54</v>
      </c>
      <c r="C43" s="5">
        <f>C33/100</f>
        <v>9.5</v>
      </c>
      <c r="K43" s="6" t="s">
        <v>37</v>
      </c>
      <c r="L43" s="3">
        <v>1000</v>
      </c>
      <c r="M43" t="s">
        <v>38</v>
      </c>
    </row>
    <row r="44" spans="2:13" ht="16.2">
      <c r="B44" t="s">
        <v>54</v>
      </c>
      <c r="C44" s="3">
        <v>10</v>
      </c>
      <c r="D44" t="s">
        <v>55</v>
      </c>
      <c r="K44" t="s">
        <v>39</v>
      </c>
      <c r="L44" s="3">
        <v>9.81</v>
      </c>
      <c r="M44" t="s">
        <v>40</v>
      </c>
    </row>
    <row r="45" spans="2:13" ht="16.2">
      <c r="B45" t="s">
        <v>17</v>
      </c>
      <c r="C45">
        <f>C33/C44</f>
        <v>95</v>
      </c>
      <c r="D45" t="s">
        <v>8</v>
      </c>
    </row>
    <row r="46" spans="2:13" ht="16.2">
      <c r="K46" t="s">
        <v>17</v>
      </c>
      <c r="L46" s="2">
        <f>L41*1000000/(L43*L44*L40*L39)</f>
        <v>33.424093115779918</v>
      </c>
      <c r="M46" t="s">
        <v>8</v>
      </c>
    </row>
    <row r="47" spans="2:13" ht="15.6">
      <c r="B47" t="s">
        <v>59</v>
      </c>
      <c r="K47" t="s">
        <v>11</v>
      </c>
      <c r="L47" s="5">
        <f>L35*SQRT(L46)/L40^0.75</f>
        <v>27.019104219547298</v>
      </c>
    </row>
    <row r="48" spans="2:13">
      <c r="B48" t="s">
        <v>57</v>
      </c>
    </row>
    <row r="49" spans="2:13">
      <c r="K49" t="s">
        <v>73</v>
      </c>
    </row>
    <row r="50" spans="2:13" ht="15.6">
      <c r="B50" t="s">
        <v>61</v>
      </c>
      <c r="K50" s="16" t="s">
        <v>87</v>
      </c>
    </row>
    <row r="51" spans="2:13" ht="15.6">
      <c r="B51" t="s">
        <v>11</v>
      </c>
      <c r="C51" s="5">
        <f>791.7*C32^-0.486</f>
        <v>112.91311217692697</v>
      </c>
      <c r="K51" s="16" t="s">
        <v>74</v>
      </c>
    </row>
    <row r="53" spans="2:13" ht="15.6">
      <c r="B53" t="s">
        <v>60</v>
      </c>
      <c r="K53" t="s">
        <v>75</v>
      </c>
    </row>
    <row r="54" spans="2:13" ht="15.6">
      <c r="B54" t="s">
        <v>58</v>
      </c>
      <c r="C54" s="5">
        <f>C51*C32^0.75/SQRT(C33/C44)</f>
        <v>233.96699239767881</v>
      </c>
      <c r="D54" t="s">
        <v>6</v>
      </c>
    </row>
    <row r="55" spans="2:13">
      <c r="B55" t="s">
        <v>3</v>
      </c>
      <c r="C55" s="3">
        <v>60</v>
      </c>
      <c r="D55" t="s">
        <v>4</v>
      </c>
      <c r="K55" s="12" t="s">
        <v>71</v>
      </c>
      <c r="L55" s="13">
        <v>0.81499999999999995</v>
      </c>
    </row>
    <row r="56" spans="2:13">
      <c r="B56" t="s">
        <v>7</v>
      </c>
      <c r="C56" s="5">
        <f>60*C55/C54</f>
        <v>15.386785815842781</v>
      </c>
      <c r="K56" t="s">
        <v>16</v>
      </c>
      <c r="L56" s="3">
        <v>106</v>
      </c>
      <c r="M56" t="s">
        <v>1</v>
      </c>
    </row>
    <row r="57" spans="2:13">
      <c r="B57" t="s">
        <v>7</v>
      </c>
      <c r="C57" s="3">
        <v>15</v>
      </c>
      <c r="D57" t="s">
        <v>55</v>
      </c>
      <c r="K57" t="s">
        <v>69</v>
      </c>
      <c r="L57" s="3">
        <v>40.799999999999997</v>
      </c>
      <c r="M57" t="s">
        <v>72</v>
      </c>
    </row>
    <row r="59" spans="2:13" ht="16.2">
      <c r="B59" t="s">
        <v>5</v>
      </c>
      <c r="C59">
        <f>60*C55/C57</f>
        <v>240</v>
      </c>
      <c r="D59" t="s">
        <v>6</v>
      </c>
      <c r="K59" t="s">
        <v>17</v>
      </c>
      <c r="L59" s="2">
        <f>L57*1000000/(L43*L44*L56*L55)</f>
        <v>48.142393873455596</v>
      </c>
      <c r="M59" t="s">
        <v>8</v>
      </c>
    </row>
    <row r="60" spans="2:13" ht="15.6">
      <c r="B60" t="s">
        <v>11</v>
      </c>
      <c r="C60" s="5">
        <f>C59*SQRT(C45)/C32^0.75</f>
        <v>115.82465819110699</v>
      </c>
    </row>
    <row r="61" spans="2:13">
      <c r="K61" t="s">
        <v>76</v>
      </c>
    </row>
    <row r="62" spans="2:13">
      <c r="B62" t="s">
        <v>63</v>
      </c>
      <c r="C62" t="s">
        <v>64</v>
      </c>
      <c r="K62" t="s">
        <v>77</v>
      </c>
    </row>
    <row r="63" spans="2:13">
      <c r="C63" t="s">
        <v>65</v>
      </c>
      <c r="L63" s="5"/>
    </row>
    <row r="64" spans="2:13">
      <c r="C64" t="s">
        <v>66</v>
      </c>
      <c r="K64" s="6" t="s">
        <v>20</v>
      </c>
      <c r="L64" s="11">
        <v>0.08</v>
      </c>
    </row>
    <row r="65" spans="3:14">
      <c r="C65" t="s">
        <v>67</v>
      </c>
      <c r="K65" t="s">
        <v>78</v>
      </c>
      <c r="L65" s="5">
        <f>L64*L40</f>
        <v>8.16</v>
      </c>
      <c r="M65" t="s">
        <v>1</v>
      </c>
    </row>
    <row r="67" spans="3:14">
      <c r="K67" t="s">
        <v>80</v>
      </c>
      <c r="L67" s="3">
        <v>730</v>
      </c>
      <c r="M67" t="s">
        <v>1</v>
      </c>
    </row>
    <row r="68" spans="3:14" ht="15.6">
      <c r="K68" t="s">
        <v>79</v>
      </c>
      <c r="L68">
        <f>10.33-0.0012*L67</f>
        <v>9.4540000000000006</v>
      </c>
      <c r="M68" t="s">
        <v>1</v>
      </c>
    </row>
    <row r="69" spans="3:14">
      <c r="K69" t="s">
        <v>81</v>
      </c>
      <c r="L69" s="3">
        <v>22</v>
      </c>
      <c r="M69" s="14" t="s">
        <v>82</v>
      </c>
    </row>
    <row r="70" spans="3:14">
      <c r="K70" t="s">
        <v>83</v>
      </c>
      <c r="L70" s="15">
        <v>0.26419999999999999</v>
      </c>
      <c r="M70" t="s">
        <v>1</v>
      </c>
    </row>
    <row r="71" spans="3:14">
      <c r="K71" s="12" t="s">
        <v>84</v>
      </c>
      <c r="L71" s="3">
        <v>0</v>
      </c>
      <c r="M71" t="s">
        <v>1</v>
      </c>
      <c r="N71" t="s">
        <v>85</v>
      </c>
    </row>
    <row r="72" spans="3:14" ht="15.6">
      <c r="K72" t="s">
        <v>92</v>
      </c>
      <c r="L72" s="3">
        <v>5</v>
      </c>
      <c r="M72" t="s">
        <v>1</v>
      </c>
    </row>
    <row r="73" spans="3:14">
      <c r="K73" t="s">
        <v>86</v>
      </c>
      <c r="L73" s="5">
        <f>L68-L70-L65-L72</f>
        <v>-3.9702000000000002</v>
      </c>
      <c r="M73" t="s">
        <v>1</v>
      </c>
      <c r="N73" t="s">
        <v>93</v>
      </c>
    </row>
    <row r="75" spans="3:14">
      <c r="K75" s="16"/>
    </row>
    <row r="76" spans="3:14">
      <c r="K76" s="16"/>
    </row>
  </sheetData>
  <mergeCells count="2">
    <mergeCell ref="K18:K19"/>
    <mergeCell ref="K20:K2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2023-06-02T01:48:22Z</dcterms:created>
  <dcterms:modified xsi:type="dcterms:W3CDTF">2023-06-03T13:43:10Z</dcterms:modified>
</cp:coreProperties>
</file>